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emf" ContentType="image/x-emf"/>
  <Override PartName="/xl/pivotTables/pivotTable1.xml" ContentType="application/vnd.openxmlformats-officedocument.spreadsheetml.pivotTable+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activeTab="2"/>
  </bookViews>
  <sheets>
    <sheet name="forRPM" sheetId="21" r:id="rId1"/>
    <sheet name="SC-NR" sheetId="2" r:id="rId2"/>
    <sheet name="7PSourceSummary" sheetId="5" r:id="rId3"/>
    <sheet name="M_Input_Out" sheetId="16" r:id="rId4"/>
    <sheet name="M_Input" sheetId="6" r:id="rId5"/>
    <sheet name="MMap" sheetId="7" r:id="rId6"/>
    <sheet name="Savings" sheetId="11" r:id="rId7"/>
    <sheet name="Cost" sheetId="9" r:id="rId8"/>
    <sheet name="ES 2007-2013" sheetId="20" r:id="rId9"/>
    <sheet name="ESTAR ASAP" sheetId="17" r:id="rId10"/>
    <sheet name="Notes" sheetId="10" r:id="rId11"/>
    <sheet name="EnergyStarProductList" sheetId="14" r:id="rId12"/>
    <sheet name="ES Pivot" sheetId="15" r:id="rId13"/>
    <sheet name="Sources" sheetId="4" r:id="rId14"/>
    <sheet name="ToDo7P" sheetId="8" r:id="rId15"/>
    <sheet name="U.S. and State totals" sheetId="18" r:id="rId16"/>
    <sheet name="LOG" sheetId="22" r:id="rId17"/>
  </sheets>
  <externalReferences>
    <externalReference r:id="rId18"/>
    <externalReference r:id="rId19"/>
  </externalReferences>
  <definedNames>
    <definedName name="_xlnm._FilterDatabase" localSheetId="15" hidden="1">'U.S. and State totals'!#REF!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CHIEV">[1]!ACHIEV</definedName>
    <definedName name="APPLIC">[1]!APPLIC</definedName>
    <definedName name="BLDGTYPE">[1]!BLDGTYPE</definedName>
    <definedName name="MeasOut">M_Input_Out!$A$1:$EA$11</definedName>
    <definedName name="Population">'[2]Pop Forecast (Base Case)'!$B$5:$BC$10</definedName>
    <definedName name="POST2013">[1]!POST2013</definedName>
    <definedName name="_xlnm.Print_Titles" localSheetId="15">'U.S. and State totals'!$A$2:$IV$7</definedName>
    <definedName name="VSTOCK">[1]Lookup!$C$4:$D$12</definedName>
  </definedNames>
  <calcPr calcId="125725"/>
  <pivotCaches>
    <pivotCache cacheId="5" r:id="rId20"/>
  </pivotCaches>
</workbook>
</file>

<file path=xl/calcChain.xml><?xml version="1.0" encoding="utf-8"?>
<calcChain xmlns="http://schemas.openxmlformats.org/spreadsheetml/2006/main">
  <c r="B15" i="22"/>
  <c r="B14"/>
  <c r="B13"/>
  <c r="B12"/>
  <c r="B11"/>
  <c r="B10"/>
  <c r="B9"/>
  <c r="B8"/>
  <c r="B7"/>
  <c r="B6"/>
  <c r="B5"/>
  <c r="B4"/>
  <c r="C10" i="2"/>
  <c r="A9"/>
  <c r="A6"/>
  <c r="D9"/>
  <c r="D8"/>
  <c r="C9"/>
  <c r="D2" i="5"/>
  <c r="C8" i="2"/>
  <c r="C5" i="21"/>
  <c r="C4"/>
  <c r="C3"/>
  <c r="E132" i="10"/>
  <c r="I5" i="21" l="1"/>
  <c r="AF4"/>
  <c r="AG4"/>
  <c r="AH4"/>
  <c r="AI4"/>
  <c r="AJ4"/>
  <c r="AK4"/>
  <c r="AL4"/>
  <c r="AM4"/>
  <c r="AN4"/>
  <c r="AO4"/>
  <c r="AP4"/>
  <c r="AQ4"/>
  <c r="AR4"/>
  <c r="AS4"/>
  <c r="AT4"/>
  <c r="AU4"/>
  <c r="AV4"/>
  <c r="AW4"/>
  <c r="AX4"/>
  <c r="AY4"/>
  <c r="AZ4"/>
  <c r="BA4"/>
  <c r="BB4"/>
  <c r="BC4"/>
  <c r="BD4"/>
  <c r="AF5"/>
  <c r="AG5"/>
  <c r="AH5"/>
  <c r="AI5"/>
  <c r="AJ5"/>
  <c r="AK5"/>
  <c r="AL5"/>
  <c r="AM5"/>
  <c r="AN5"/>
  <c r="AO5"/>
  <c r="AP5"/>
  <c r="AQ5"/>
  <c r="AR5"/>
  <c r="AS5"/>
  <c r="AT5"/>
  <c r="AU5"/>
  <c r="AV5"/>
  <c r="AW5"/>
  <c r="AX5"/>
  <c r="AY5"/>
  <c r="AZ5"/>
  <c r="BA5"/>
  <c r="BB5"/>
  <c r="BC5"/>
  <c r="BD5"/>
  <c r="AG3"/>
  <c r="AH3"/>
  <c r="AI3"/>
  <c r="AJ3"/>
  <c r="AK3"/>
  <c r="AL3"/>
  <c r="AM3"/>
  <c r="AN3"/>
  <c r="AO3"/>
  <c r="AP3"/>
  <c r="AQ3"/>
  <c r="AR3"/>
  <c r="AS3"/>
  <c r="AT3"/>
  <c r="AU3"/>
  <c r="AV3"/>
  <c r="AW3"/>
  <c r="AX3"/>
  <c r="AY3"/>
  <c r="AZ3"/>
  <c r="BA3"/>
  <c r="BB3"/>
  <c r="BC3"/>
  <c r="BD3"/>
  <c r="AF3"/>
  <c r="A4"/>
  <c r="I4"/>
  <c r="F4"/>
  <c r="G4"/>
  <c r="H4"/>
  <c r="A5"/>
  <c r="F5"/>
  <c r="G5"/>
  <c r="H5"/>
  <c r="H3"/>
  <c r="G3"/>
  <c r="F3"/>
  <c r="I2"/>
  <c r="A3"/>
  <c r="AD2"/>
  <c r="AC2"/>
  <c r="AB2"/>
  <c r="AA2"/>
  <c r="Z2"/>
  <c r="Y2"/>
  <c r="X2"/>
  <c r="W2"/>
  <c r="V2"/>
  <c r="U2"/>
  <c r="T2"/>
  <c r="S2"/>
  <c r="R2"/>
  <c r="Q2"/>
  <c r="P2"/>
  <c r="O2"/>
  <c r="N2"/>
  <c r="M2"/>
  <c r="L2"/>
  <c r="K2"/>
  <c r="I3" l="1"/>
  <c r="B63" i="2"/>
  <c r="B64"/>
  <c r="B62"/>
  <c r="A63"/>
  <c r="A64"/>
  <c r="A62"/>
  <c r="D14" i="7" l="1"/>
  <c r="D15"/>
  <c r="D16"/>
  <c r="D17"/>
  <c r="D18"/>
  <c r="D19"/>
  <c r="D20"/>
  <c r="AA6" i="2"/>
  <c r="D13" i="7"/>
  <c r="B30" i="2"/>
  <c r="A28"/>
  <c r="B29"/>
  <c r="I19" i="7"/>
  <c r="B28" i="2" s="1"/>
  <c r="H18" i="7"/>
  <c r="A29" i="2" s="1"/>
  <c r="E41" i="20"/>
  <c r="H20" i="7" s="1"/>
  <c r="A30" i="2" s="1"/>
  <c r="F52" i="20"/>
  <c r="F54" s="1"/>
  <c r="F48"/>
  <c r="F49" s="1"/>
  <c r="C14" i="2"/>
  <c r="M5" i="20"/>
  <c r="D23"/>
  <c r="F51" s="1"/>
  <c r="F53" s="1"/>
  <c r="K46"/>
  <c r="K48" s="1"/>
  <c r="J10"/>
  <c r="I10" s="1"/>
  <c r="G10"/>
  <c r="H10" s="1"/>
  <c r="J9"/>
  <c r="L9" s="1"/>
  <c r="G9"/>
  <c r="H9" s="1"/>
  <c r="J8"/>
  <c r="I8" s="1"/>
  <c r="G8"/>
  <c r="H8" s="1"/>
  <c r="J7"/>
  <c r="I7" s="1"/>
  <c r="G7"/>
  <c r="H7" s="1"/>
  <c r="J6"/>
  <c r="I6" s="1"/>
  <c r="G6"/>
  <c r="H6" s="1"/>
  <c r="J5"/>
  <c r="L5" s="1"/>
  <c r="H5"/>
  <c r="G5"/>
  <c r="J4"/>
  <c r="J11" s="1"/>
  <c r="M11" s="1"/>
  <c r="G4"/>
  <c r="H4" s="1"/>
  <c r="M8" l="1"/>
  <c r="D24"/>
  <c r="D30" s="1"/>
  <c r="J12"/>
  <c r="M12" s="1"/>
  <c r="M9"/>
  <c r="D25"/>
  <c r="M10"/>
  <c r="M6"/>
  <c r="I5"/>
  <c r="M7"/>
  <c r="L6"/>
  <c r="I9"/>
  <c r="L7"/>
  <c r="L10"/>
  <c r="L4"/>
  <c r="L8"/>
  <c r="K45"/>
  <c r="K49" s="1"/>
  <c r="I4"/>
  <c r="K15" i="10"/>
  <c r="K17" s="1"/>
  <c r="M12" i="18"/>
  <c r="M8"/>
  <c r="M9"/>
  <c r="M11"/>
  <c r="M10"/>
  <c r="K7" i="10"/>
  <c r="K19" s="1"/>
  <c r="L12" i="18"/>
  <c r="L11"/>
  <c r="L10"/>
  <c r="L9"/>
  <c r="L8"/>
  <c r="K12" i="10"/>
  <c r="E13" i="2" l="1"/>
  <c r="E14" s="1"/>
  <c r="E22" s="1"/>
  <c r="E28" s="1"/>
  <c r="M21" i="11"/>
  <c r="C48"/>
  <c r="E45" i="20"/>
  <c r="E46" s="1"/>
  <c r="K20" i="10"/>
  <c r="J13" i="20"/>
  <c r="L11"/>
  <c r="AG62" i="2"/>
  <c r="D54"/>
  <c r="D53"/>
  <c r="D52"/>
  <c r="AG64"/>
  <c r="AG63"/>
  <c r="F10"/>
  <c r="G10" s="1"/>
  <c r="H10" s="1"/>
  <c r="I10" s="1"/>
  <c r="J10" s="1"/>
  <c r="K10" s="1"/>
  <c r="L10" s="1"/>
  <c r="M10" s="1"/>
  <c r="N10" s="1"/>
  <c r="O10" s="1"/>
  <c r="P10" s="1"/>
  <c r="Q10" s="1"/>
  <c r="R10" s="1"/>
  <c r="S10" s="1"/>
  <c r="T10" s="1"/>
  <c r="U10" s="1"/>
  <c r="V10" s="1"/>
  <c r="W10" s="1"/>
  <c r="X10" s="1"/>
  <c r="B14" i="6"/>
  <c r="D14"/>
  <c r="E18" i="7"/>
  <c r="E14" i="6" s="1"/>
  <c r="C18" i="7"/>
  <c r="C14" i="6" s="1"/>
  <c r="A18" i="7"/>
  <c r="A14" i="6" s="1"/>
  <c r="C54" i="11"/>
  <c r="E29" i="2" l="1"/>
  <c r="F14"/>
  <c r="G14" s="1"/>
  <c r="G22" s="1"/>
  <c r="E30"/>
  <c r="E32" s="1"/>
  <c r="E49" i="20"/>
  <c r="E48"/>
  <c r="G28" i="2"/>
  <c r="G29"/>
  <c r="G30"/>
  <c r="H14"/>
  <c r="I14" s="1"/>
  <c r="J14" s="1"/>
  <c r="F22"/>
  <c r="J14" i="20"/>
  <c r="M13"/>
  <c r="D26"/>
  <c r="D31" s="1"/>
  <c r="C108" i="2"/>
  <c r="E11"/>
  <c r="E54" i="20" l="1"/>
  <c r="E52"/>
  <c r="E53"/>
  <c r="E51"/>
  <c r="M7" i="11"/>
  <c r="C42"/>
  <c r="F29" i="2"/>
  <c r="F30"/>
  <c r="F28"/>
  <c r="G32"/>
  <c r="I22"/>
  <c r="H22"/>
  <c r="J15" i="20"/>
  <c r="M14"/>
  <c r="K14" i="2"/>
  <c r="L14" s="1"/>
  <c r="M14" s="1"/>
  <c r="N14" s="1"/>
  <c r="J22"/>
  <c r="E61"/>
  <c r="E60"/>
  <c r="E21"/>
  <c r="E108"/>
  <c r="E71"/>
  <c r="E70"/>
  <c r="E12"/>
  <c r="E35"/>
  <c r="F11"/>
  <c r="E27"/>
  <c r="E107"/>
  <c r="B66"/>
  <c r="J28" l="1"/>
  <c r="J29"/>
  <c r="J30"/>
  <c r="H29"/>
  <c r="H28"/>
  <c r="H30"/>
  <c r="I30"/>
  <c r="I28"/>
  <c r="I29"/>
  <c r="F32"/>
  <c r="M15" i="20"/>
  <c r="M16"/>
  <c r="K22" i="2"/>
  <c r="F108"/>
  <c r="F35"/>
  <c r="F27"/>
  <c r="F61"/>
  <c r="F60"/>
  <c r="F21"/>
  <c r="F71"/>
  <c r="F107"/>
  <c r="F12"/>
  <c r="F70"/>
  <c r="G11"/>
  <c r="H32" l="1"/>
  <c r="J32"/>
  <c r="K28"/>
  <c r="K30"/>
  <c r="K29"/>
  <c r="I32"/>
  <c r="L22"/>
  <c r="G107"/>
  <c r="G108"/>
  <c r="H11"/>
  <c r="G35"/>
  <c r="G27"/>
  <c r="G70"/>
  <c r="G61"/>
  <c r="G21"/>
  <c r="G12"/>
  <c r="G71"/>
  <c r="G60"/>
  <c r="K32" l="1"/>
  <c r="L29"/>
  <c r="L30"/>
  <c r="L28"/>
  <c r="M22"/>
  <c r="H107"/>
  <c r="H71"/>
  <c r="H70"/>
  <c r="H12"/>
  <c r="I11"/>
  <c r="H108"/>
  <c r="H61"/>
  <c r="H21"/>
  <c r="H27"/>
  <c r="H60"/>
  <c r="H35"/>
  <c r="L32" l="1"/>
  <c r="M30"/>
  <c r="M28"/>
  <c r="M29"/>
  <c r="O14"/>
  <c r="N22"/>
  <c r="I107"/>
  <c r="I61"/>
  <c r="I60"/>
  <c r="I21"/>
  <c r="I71"/>
  <c r="I70"/>
  <c r="I12"/>
  <c r="I27"/>
  <c r="I108"/>
  <c r="I35"/>
  <c r="J11"/>
  <c r="N28" l="1"/>
  <c r="N29"/>
  <c r="N30"/>
  <c r="M32"/>
  <c r="P14"/>
  <c r="O22"/>
  <c r="J108"/>
  <c r="J35"/>
  <c r="J27"/>
  <c r="J107"/>
  <c r="J61"/>
  <c r="J60"/>
  <c r="J21"/>
  <c r="J70"/>
  <c r="J12"/>
  <c r="K11"/>
  <c r="J71"/>
  <c r="N32" l="1"/>
  <c r="O28"/>
  <c r="O29"/>
  <c r="O30"/>
  <c r="Q14"/>
  <c r="P22"/>
  <c r="K107"/>
  <c r="K108"/>
  <c r="L11"/>
  <c r="K35"/>
  <c r="K27"/>
  <c r="K71"/>
  <c r="K60"/>
  <c r="K12"/>
  <c r="K70"/>
  <c r="K61"/>
  <c r="K21"/>
  <c r="O32" l="1"/>
  <c r="P29"/>
  <c r="P28"/>
  <c r="P30"/>
  <c r="R14"/>
  <c r="Q22"/>
  <c r="L107"/>
  <c r="L108"/>
  <c r="L71"/>
  <c r="L70"/>
  <c r="L12"/>
  <c r="M11"/>
  <c r="L60"/>
  <c r="L35"/>
  <c r="L61"/>
  <c r="L27"/>
  <c r="L21"/>
  <c r="P32" l="1"/>
  <c r="Q30"/>
  <c r="Q28"/>
  <c r="Q29"/>
  <c r="S14"/>
  <c r="R22"/>
  <c r="M61"/>
  <c r="M60"/>
  <c r="M21"/>
  <c r="M108"/>
  <c r="M71"/>
  <c r="M70"/>
  <c r="M12"/>
  <c r="M107"/>
  <c r="M35"/>
  <c r="N11"/>
  <c r="M27"/>
  <c r="R28" l="1"/>
  <c r="R29"/>
  <c r="R30"/>
  <c r="Q32"/>
  <c r="T14"/>
  <c r="S22"/>
  <c r="N108"/>
  <c r="N35"/>
  <c r="N27"/>
  <c r="N61"/>
  <c r="N60"/>
  <c r="N21"/>
  <c r="N71"/>
  <c r="N107"/>
  <c r="N70"/>
  <c r="O11"/>
  <c r="N12"/>
  <c r="S28" l="1"/>
  <c r="S30"/>
  <c r="S29"/>
  <c r="R32"/>
  <c r="U14"/>
  <c r="T22"/>
  <c r="O107"/>
  <c r="O108"/>
  <c r="P11"/>
  <c r="O35"/>
  <c r="O27"/>
  <c r="O70"/>
  <c r="O61"/>
  <c r="O21"/>
  <c r="O12"/>
  <c r="O71"/>
  <c r="O60"/>
  <c r="T29" l="1"/>
  <c r="T30"/>
  <c r="T28"/>
  <c r="S32"/>
  <c r="V14"/>
  <c r="U22"/>
  <c r="P107"/>
  <c r="P71"/>
  <c r="P70"/>
  <c r="P12"/>
  <c r="Q11"/>
  <c r="P61"/>
  <c r="P21"/>
  <c r="P27"/>
  <c r="P108"/>
  <c r="P35"/>
  <c r="P60"/>
  <c r="U30" l="1"/>
  <c r="U28"/>
  <c r="U29"/>
  <c r="T32"/>
  <c r="W14"/>
  <c r="V22"/>
  <c r="Q107"/>
  <c r="Q61"/>
  <c r="Q60"/>
  <c r="Q21"/>
  <c r="Q71"/>
  <c r="Q70"/>
  <c r="Q12"/>
  <c r="Q27"/>
  <c r="Q108"/>
  <c r="Q35"/>
  <c r="R11"/>
  <c r="U32" l="1"/>
  <c r="V29"/>
  <c r="V30"/>
  <c r="V28"/>
  <c r="X14"/>
  <c r="W22"/>
  <c r="R108"/>
  <c r="R35"/>
  <c r="R27"/>
  <c r="R107"/>
  <c r="R61"/>
  <c r="R60"/>
  <c r="R21"/>
  <c r="R70"/>
  <c r="R12"/>
  <c r="S11"/>
  <c r="R71"/>
  <c r="W28" l="1"/>
  <c r="W29"/>
  <c r="W30"/>
  <c r="V32"/>
  <c r="X22"/>
  <c r="Z13"/>
  <c r="Y22" s="1"/>
  <c r="S107"/>
  <c r="S108"/>
  <c r="T11"/>
  <c r="S35"/>
  <c r="S27"/>
  <c r="S71"/>
  <c r="S60"/>
  <c r="S61"/>
  <c r="S21"/>
  <c r="S70"/>
  <c r="S12"/>
  <c r="Z22" l="1"/>
  <c r="X29"/>
  <c r="X28"/>
  <c r="X30"/>
  <c r="W32"/>
  <c r="Z30"/>
  <c r="Z29"/>
  <c r="Z28"/>
  <c r="T107"/>
  <c r="T108"/>
  <c r="T71"/>
  <c r="T70"/>
  <c r="T12"/>
  <c r="U11"/>
  <c r="T60"/>
  <c r="T35"/>
  <c r="T61"/>
  <c r="T21"/>
  <c r="T27"/>
  <c r="X32" l="1"/>
  <c r="Y28"/>
  <c r="Z32"/>
  <c r="U61"/>
  <c r="U60"/>
  <c r="U21"/>
  <c r="U108"/>
  <c r="U71"/>
  <c r="U70"/>
  <c r="U12"/>
  <c r="U35"/>
  <c r="V11"/>
  <c r="U27"/>
  <c r="U107"/>
  <c r="V108" l="1"/>
  <c r="V35"/>
  <c r="V27"/>
  <c r="V61"/>
  <c r="V60"/>
  <c r="V21"/>
  <c r="V71"/>
  <c r="V107"/>
  <c r="W11"/>
  <c r="V70"/>
  <c r="V12"/>
  <c r="Y30"/>
  <c r="W107" l="1"/>
  <c r="W108"/>
  <c r="X11"/>
  <c r="W35"/>
  <c r="W27"/>
  <c r="W70"/>
  <c r="W61"/>
  <c r="W21"/>
  <c r="W12"/>
  <c r="W60"/>
  <c r="W71"/>
  <c r="Y29"/>
  <c r="Y32" l="1"/>
  <c r="X107"/>
  <c r="X71"/>
  <c r="X70"/>
  <c r="X12"/>
  <c r="X108"/>
  <c r="X61"/>
  <c r="X21"/>
  <c r="X27"/>
  <c r="X60"/>
  <c r="X35"/>
  <c r="C52" i="11" l="1"/>
  <c r="Z18" i="2" l="1"/>
  <c r="Z38" l="1"/>
  <c r="Y38" s="1"/>
  <c r="Y64" s="1"/>
  <c r="AE5" i="21" s="1"/>
  <c r="Z36" i="2"/>
  <c r="Y36" s="1"/>
  <c r="Y62" s="1"/>
  <c r="AE3" i="21" s="1"/>
  <c r="Z39" i="2"/>
  <c r="Z40"/>
  <c r="Z37"/>
  <c r="Y37" s="1"/>
  <c r="Y63" s="1"/>
  <c r="AE4" i="21" s="1"/>
  <c r="Y40" i="2" l="1"/>
  <c r="Y66"/>
  <c r="Y87" l="1"/>
  <c r="Y90"/>
  <c r="Y91"/>
  <c r="Y84"/>
  <c r="Y76"/>
  <c r="Y100"/>
  <c r="Y73"/>
  <c r="Y94"/>
  <c r="Y81"/>
  <c r="Y101"/>
  <c r="Y80"/>
  <c r="Y72"/>
  <c r="Y109" s="1"/>
  <c r="Y96"/>
  <c r="Y86"/>
  <c r="Y82"/>
  <c r="Y83"/>
  <c r="Y85"/>
  <c r="Y102"/>
  <c r="Y97"/>
  <c r="Y74"/>
  <c r="Y75"/>
  <c r="Y98"/>
  <c r="Y78"/>
  <c r="Y88"/>
  <c r="Y99"/>
  <c r="Y92"/>
  <c r="Y79"/>
  <c r="Y93"/>
  <c r="Y89"/>
  <c r="Y103"/>
  <c r="Y77"/>
  <c r="Y95"/>
  <c r="Y119" l="1"/>
  <c r="Y114"/>
  <c r="Y128"/>
  <c r="Y121"/>
  <c r="Y127"/>
  <c r="Y125"/>
  <c r="Y124"/>
  <c r="Y111"/>
  <c r="Y122"/>
  <c r="Y139"/>
  <c r="Y132"/>
  <c r="Y129"/>
  <c r="Y138"/>
  <c r="Y120"/>
  <c r="Y134"/>
  <c r="Y118"/>
  <c r="Y116"/>
  <c r="Y130"/>
  <c r="Y112"/>
  <c r="Y126"/>
  <c r="Y110"/>
  <c r="Y135"/>
  <c r="Y136"/>
  <c r="Y137"/>
  <c r="Y115"/>
  <c r="Y123"/>
  <c r="Y113"/>
  <c r="Y133"/>
  <c r="Y140"/>
  <c r="Y131"/>
  <c r="Y117"/>
  <c r="Y143" l="1"/>
  <c r="C50" i="11"/>
  <c r="C44"/>
  <c r="L12" i="17"/>
  <c r="G17"/>
  <c r="I70"/>
  <c r="E70"/>
  <c r="F70" s="1"/>
  <c r="I58"/>
  <c r="G58"/>
  <c r="G57"/>
  <c r="I57" s="1"/>
  <c r="I56"/>
  <c r="G56"/>
  <c r="G55"/>
  <c r="I55" s="1"/>
  <c r="I59" s="1"/>
  <c r="G15"/>
  <c r="D15"/>
  <c r="J14" s="1"/>
  <c r="H14"/>
  <c r="F14"/>
  <c r="E14"/>
  <c r="H13"/>
  <c r="F13"/>
  <c r="I13" s="1"/>
  <c r="E13"/>
  <c r="H12"/>
  <c r="H17" s="1"/>
  <c r="F12"/>
  <c r="I12" s="1"/>
  <c r="E12"/>
  <c r="E15" s="1"/>
  <c r="D5"/>
  <c r="I17" l="1"/>
  <c r="H15"/>
  <c r="J12"/>
  <c r="F15"/>
  <c r="J13"/>
  <c r="D9" i="6" l="1"/>
  <c r="D10"/>
  <c r="D11"/>
  <c r="D12"/>
  <c r="D13"/>
  <c r="D15"/>
  <c r="D8"/>
  <c r="B9"/>
  <c r="B10"/>
  <c r="B11"/>
  <c r="B12"/>
  <c r="B13"/>
  <c r="B15"/>
  <c r="E14" i="7"/>
  <c r="E9" i="6" s="1"/>
  <c r="E15" i="7"/>
  <c r="E10" i="6" s="1"/>
  <c r="E20" i="7"/>
  <c r="E11" i="6" s="1"/>
  <c r="E16" i="7"/>
  <c r="E12" i="6" s="1"/>
  <c r="E17" i="7"/>
  <c r="E13" i="6" s="1"/>
  <c r="E13" i="7"/>
  <c r="A17"/>
  <c r="A13" i="6" s="1"/>
  <c r="A16" i="7"/>
  <c r="A12" i="6" s="1"/>
  <c r="A14" i="7"/>
  <c r="A9" i="6" s="1"/>
  <c r="G12" i="11"/>
  <c r="D12"/>
  <c r="E12" s="1"/>
  <c r="F12" s="1"/>
  <c r="C14" i="7" s="1"/>
  <c r="C9" i="6" s="1"/>
  <c r="A15" i="7" l="1"/>
  <c r="A10" i="6" s="1"/>
  <c r="A19" i="7"/>
  <c r="A15" i="6" s="1"/>
  <c r="B8"/>
  <c r="A13" i="7"/>
  <c r="A8" i="6" s="1"/>
  <c r="A20" i="7"/>
  <c r="A11" i="6" s="1"/>
  <c r="Q10" i="11"/>
  <c r="R10" s="1"/>
  <c r="S10" s="1"/>
  <c r="Q12"/>
  <c r="R12" s="1"/>
  <c r="S12" s="1"/>
  <c r="E8" i="6"/>
  <c r="E19" i="7"/>
  <c r="E15" i="6" s="1"/>
  <c r="D11" i="11"/>
  <c r="E11" s="1"/>
  <c r="F11" s="1"/>
  <c r="C15" i="7" s="1"/>
  <c r="C10" i="6" s="1"/>
  <c r="D10" i="11"/>
  <c r="E10" s="1"/>
  <c r="F10" s="1"/>
  <c r="C13" i="7" s="1"/>
  <c r="C8" i="6" s="1"/>
  <c r="C8" i="9"/>
  <c r="C7"/>
  <c r="G19" i="11"/>
  <c r="D19"/>
  <c r="E19" s="1"/>
  <c r="F19" s="1"/>
  <c r="G13"/>
  <c r="D13"/>
  <c r="E13" s="1"/>
  <c r="F13" s="1"/>
  <c r="C20" i="7" s="1"/>
  <c r="C11" i="6" s="1"/>
  <c r="G11" i="11"/>
  <c r="Q11"/>
  <c r="R11" s="1"/>
  <c r="S11" s="1"/>
  <c r="G10"/>
  <c r="Q9"/>
  <c r="R9" s="1"/>
  <c r="S9" s="1"/>
  <c r="G9"/>
  <c r="D9"/>
  <c r="E9" s="1"/>
  <c r="F9" s="1"/>
  <c r="B17" i="8"/>
  <c r="B18"/>
  <c r="B19"/>
  <c r="B20"/>
  <c r="B21"/>
  <c r="B22"/>
  <c r="B23"/>
  <c r="B24"/>
  <c r="B25"/>
  <c r="B26"/>
  <c r="B27"/>
  <c r="B4"/>
  <c r="B5"/>
  <c r="B6"/>
  <c r="B7"/>
  <c r="B8"/>
  <c r="B9"/>
  <c r="B10"/>
  <c r="B11"/>
  <c r="B12"/>
  <c r="B13"/>
  <c r="B14"/>
  <c r="B15"/>
  <c r="B16"/>
  <c r="B3"/>
  <c r="B2" i="6"/>
  <c r="A2" i="7"/>
  <c r="C34" i="11" l="1"/>
  <c r="D34"/>
  <c r="C45" s="1"/>
  <c r="C46" s="1"/>
  <c r="S16"/>
  <c r="F15" l="1"/>
  <c r="M15" s="1"/>
  <c r="C35"/>
  <c r="C36" s="1"/>
  <c r="F16"/>
  <c r="D35"/>
  <c r="D36" s="1"/>
  <c r="C23" s="1"/>
  <c r="G16"/>
  <c r="C16" i="7"/>
  <c r="C12" i="6" s="1"/>
  <c r="G15" i="11"/>
  <c r="M16" l="1"/>
  <c r="C53"/>
  <c r="C56" s="1"/>
  <c r="C57" s="1"/>
  <c r="C17" i="7"/>
  <c r="C13" i="6" s="1"/>
  <c r="G23" i="11"/>
  <c r="I23" s="1"/>
  <c r="K23" s="1"/>
  <c r="L23" s="1"/>
  <c r="E23"/>
  <c r="F23" s="1"/>
  <c r="I16"/>
  <c r="K16" s="1"/>
  <c r="L16" s="1"/>
  <c r="I15"/>
  <c r="K15" s="1"/>
  <c r="L15" s="1"/>
  <c r="M23" l="1"/>
  <c r="C19" i="7"/>
  <c r="C15" i="6" s="1"/>
  <c r="D27" i="2" l="1"/>
  <c r="D43"/>
  <c r="D64"/>
  <c r="D107"/>
  <c r="D63"/>
  <c r="D51"/>
  <c r="D62"/>
  <c r="D35"/>
  <c r="C11"/>
  <c r="E14" i="5" l="1"/>
  <c r="W43" i="2"/>
  <c r="S43"/>
  <c r="O43"/>
  <c r="K43"/>
  <c r="G43"/>
  <c r="X43"/>
  <c r="P43"/>
  <c r="L43"/>
  <c r="C42"/>
  <c r="R43"/>
  <c r="J43"/>
  <c r="T43"/>
  <c r="H43"/>
  <c r="V43"/>
  <c r="F43"/>
  <c r="U43"/>
  <c r="Q43"/>
  <c r="M43"/>
  <c r="I43"/>
  <c r="E43"/>
  <c r="N43"/>
  <c r="F37"/>
  <c r="T37"/>
  <c r="N37"/>
  <c r="J37"/>
  <c r="G37"/>
  <c r="I37"/>
  <c r="P37"/>
  <c r="K37"/>
  <c r="W37"/>
  <c r="Q37"/>
  <c r="U37"/>
  <c r="S37"/>
  <c r="H37"/>
  <c r="V37"/>
  <c r="R37"/>
  <c r="X37"/>
  <c r="M37"/>
  <c r="L37"/>
  <c r="E37"/>
  <c r="O37"/>
  <c r="K36"/>
  <c r="Q36"/>
  <c r="S36"/>
  <c r="P36"/>
  <c r="O36"/>
  <c r="T36"/>
  <c r="W36"/>
  <c r="H36"/>
  <c r="V36"/>
  <c r="F36"/>
  <c r="L36"/>
  <c r="M36"/>
  <c r="J36"/>
  <c r="G36"/>
  <c r="X36"/>
  <c r="U36"/>
  <c r="R36"/>
  <c r="N36"/>
  <c r="E36"/>
  <c r="I36"/>
  <c r="U38"/>
  <c r="G38"/>
  <c r="K38"/>
  <c r="Q38"/>
  <c r="S38"/>
  <c r="E38"/>
  <c r="P38"/>
  <c r="T38"/>
  <c r="V38"/>
  <c r="R38"/>
  <c r="F38"/>
  <c r="L38"/>
  <c r="N38"/>
  <c r="I38"/>
  <c r="J38"/>
  <c r="M38"/>
  <c r="O38"/>
  <c r="W38"/>
  <c r="H38"/>
  <c r="X38"/>
  <c r="U40" l="1"/>
  <c r="H40"/>
  <c r="P40"/>
  <c r="X44"/>
  <c r="X46"/>
  <c r="X64" s="1"/>
  <c r="AD5" i="21" s="1"/>
  <c r="X45" i="2"/>
  <c r="X63" s="1"/>
  <c r="AD4" i="21" s="1"/>
  <c r="T44" i="2"/>
  <c r="T46"/>
  <c r="T64" s="1"/>
  <c r="Z5" i="21" s="1"/>
  <c r="T45" i="2"/>
  <c r="T63" s="1"/>
  <c r="Z4" i="21" s="1"/>
  <c r="P44" i="2"/>
  <c r="P46"/>
  <c r="P64" s="1"/>
  <c r="V5" i="21" s="1"/>
  <c r="P45" i="2"/>
  <c r="P63" s="1"/>
  <c r="V4" i="21" s="1"/>
  <c r="L44" i="2"/>
  <c r="L46"/>
  <c r="L64" s="1"/>
  <c r="R5" i="21" s="1"/>
  <c r="L45" i="2"/>
  <c r="L63" s="1"/>
  <c r="R4" i="21" s="1"/>
  <c r="H44" i="2"/>
  <c r="H46"/>
  <c r="H64" s="1"/>
  <c r="N5" i="21" s="1"/>
  <c r="H45" i="2"/>
  <c r="H63" s="1"/>
  <c r="N4" i="21" s="1"/>
  <c r="U44" i="2"/>
  <c r="U45"/>
  <c r="U63" s="1"/>
  <c r="AA4" i="21" s="1"/>
  <c r="U46" i="2"/>
  <c r="U64" s="1"/>
  <c r="AA5" i="21" s="1"/>
  <c r="Q44" i="2"/>
  <c r="Q45"/>
  <c r="Q63" s="1"/>
  <c r="W4" i="21" s="1"/>
  <c r="Q46" i="2"/>
  <c r="Q64" s="1"/>
  <c r="W5" i="21" s="1"/>
  <c r="M44" i="2"/>
  <c r="M45"/>
  <c r="M63" s="1"/>
  <c r="S4" i="21" s="1"/>
  <c r="M46" i="2"/>
  <c r="M64" s="1"/>
  <c r="S5" i="21" s="1"/>
  <c r="I44" i="2"/>
  <c r="I45"/>
  <c r="I63" s="1"/>
  <c r="O4" i="21" s="1"/>
  <c r="I46" i="2"/>
  <c r="I64" s="1"/>
  <c r="O5" i="21" s="1"/>
  <c r="E44" i="2"/>
  <c r="E46"/>
  <c r="E64" s="1"/>
  <c r="K5" i="21" s="1"/>
  <c r="E45" i="2"/>
  <c r="E63" s="1"/>
  <c r="K4" i="21" s="1"/>
  <c r="V45" i="2"/>
  <c r="V63" s="1"/>
  <c r="AB4" i="21" s="1"/>
  <c r="V46" i="2"/>
  <c r="V64" s="1"/>
  <c r="AB5" i="21" s="1"/>
  <c r="V44" i="2"/>
  <c r="R45"/>
  <c r="R63" s="1"/>
  <c r="X4" i="21" s="1"/>
  <c r="R46" i="2"/>
  <c r="R64" s="1"/>
  <c r="X5" i="21" s="1"/>
  <c r="R44" i="2"/>
  <c r="N45"/>
  <c r="N63" s="1"/>
  <c r="T4" i="21" s="1"/>
  <c r="N46" i="2"/>
  <c r="N64" s="1"/>
  <c r="T5" i="21" s="1"/>
  <c r="N44" i="2"/>
  <c r="J45"/>
  <c r="J63" s="1"/>
  <c r="P4" i="21" s="1"/>
  <c r="J46" i="2"/>
  <c r="J64" s="1"/>
  <c r="P5" i="21" s="1"/>
  <c r="J44" i="2"/>
  <c r="F45"/>
  <c r="F63" s="1"/>
  <c r="L4" i="21" s="1"/>
  <c r="F46" i="2"/>
  <c r="F64" s="1"/>
  <c r="L5" i="21" s="1"/>
  <c r="F44" i="2"/>
  <c r="W46"/>
  <c r="W64" s="1"/>
  <c r="AC5" i="21" s="1"/>
  <c r="W45" i="2"/>
  <c r="W63" s="1"/>
  <c r="AC4" i="21" s="1"/>
  <c r="W44" i="2"/>
  <c r="S46"/>
  <c r="S64" s="1"/>
  <c r="Y5" i="21" s="1"/>
  <c r="S45" i="2"/>
  <c r="S63" s="1"/>
  <c r="Y4" i="21" s="1"/>
  <c r="S44" i="2"/>
  <c r="O46"/>
  <c r="O64" s="1"/>
  <c r="U5" i="21" s="1"/>
  <c r="O45" i="2"/>
  <c r="O63" s="1"/>
  <c r="U4" i="21" s="1"/>
  <c r="O44" i="2"/>
  <c r="K46"/>
  <c r="K64" s="1"/>
  <c r="Q5" i="21" s="1"/>
  <c r="K45" i="2"/>
  <c r="K63" s="1"/>
  <c r="Q4" i="21" s="1"/>
  <c r="K44" i="2"/>
  <c r="G46"/>
  <c r="G64" s="1"/>
  <c r="M5" i="21" s="1"/>
  <c r="G45" i="2"/>
  <c r="G63" s="1"/>
  <c r="M4" i="21" s="1"/>
  <c r="G44" i="2"/>
  <c r="I40"/>
  <c r="N40"/>
  <c r="G40"/>
  <c r="F40"/>
  <c r="T40"/>
  <c r="Q40"/>
  <c r="E40"/>
  <c r="X40"/>
  <c r="L40"/>
  <c r="W40"/>
  <c r="S40"/>
  <c r="M40"/>
  <c r="R40"/>
  <c r="J40"/>
  <c r="V40"/>
  <c r="O40"/>
  <c r="K40"/>
  <c r="Z64" l="1"/>
  <c r="Z63"/>
  <c r="E54"/>
  <c r="F54" s="1"/>
  <c r="G54" s="1"/>
  <c r="H54" s="1"/>
  <c r="I54" s="1"/>
  <c r="J54" s="1"/>
  <c r="K54" s="1"/>
  <c r="L54" s="1"/>
  <c r="M54" s="1"/>
  <c r="N54" s="1"/>
  <c r="O54" s="1"/>
  <c r="P54" s="1"/>
  <c r="Q54" s="1"/>
  <c r="R54" s="1"/>
  <c r="S54" s="1"/>
  <c r="T54" s="1"/>
  <c r="U54" s="1"/>
  <c r="V54" s="1"/>
  <c r="W54" s="1"/>
  <c r="X54" s="1"/>
  <c r="E53"/>
  <c r="F53" s="1"/>
  <c r="G53" s="1"/>
  <c r="H53" s="1"/>
  <c r="I53" s="1"/>
  <c r="J53" s="1"/>
  <c r="K53" s="1"/>
  <c r="L53" s="1"/>
  <c r="M53" s="1"/>
  <c r="N53" s="1"/>
  <c r="O53" s="1"/>
  <c r="P53" s="1"/>
  <c r="Q53" s="1"/>
  <c r="R53" s="1"/>
  <c r="S53" s="1"/>
  <c r="T53" s="1"/>
  <c r="U53" s="1"/>
  <c r="V53" s="1"/>
  <c r="W53" s="1"/>
  <c r="X53" s="1"/>
  <c r="I62"/>
  <c r="O3" i="21" s="1"/>
  <c r="I48" i="2"/>
  <c r="F48"/>
  <c r="F62"/>
  <c r="L3" i="21" s="1"/>
  <c r="H48" i="2"/>
  <c r="H62"/>
  <c r="N3" i="21" s="1"/>
  <c r="P62" i="2"/>
  <c r="V3" i="21" s="1"/>
  <c r="P48" i="2"/>
  <c r="G62"/>
  <c r="M3" i="21" s="1"/>
  <c r="G48" i="2"/>
  <c r="E48"/>
  <c r="E52"/>
  <c r="E62"/>
  <c r="K3" i="21" s="1"/>
  <c r="N48" i="2"/>
  <c r="N62"/>
  <c r="T3" i="21" s="1"/>
  <c r="J48" i="2"/>
  <c r="J62"/>
  <c r="P3" i="21" s="1"/>
  <c r="S62" i="2"/>
  <c r="Y3" i="21" s="1"/>
  <c r="S48" i="2"/>
  <c r="Q62"/>
  <c r="W3" i="21" s="1"/>
  <c r="Q48" i="2"/>
  <c r="T48"/>
  <c r="T62"/>
  <c r="Z3" i="21" s="1"/>
  <c r="K62" i="2"/>
  <c r="Q3" i="21" s="1"/>
  <c r="K48" i="2"/>
  <c r="M48"/>
  <c r="M62"/>
  <c r="S3" i="21" s="1"/>
  <c r="O48" i="2"/>
  <c r="O62"/>
  <c r="U3" i="21" s="1"/>
  <c r="R62" i="2"/>
  <c r="X3" i="21" s="1"/>
  <c r="R48" i="2"/>
  <c r="W62"/>
  <c r="AC3" i="21" s="1"/>
  <c r="W48" i="2"/>
  <c r="X48"/>
  <c r="X62"/>
  <c r="AD3" i="21" s="1"/>
  <c r="L62" i="2"/>
  <c r="R3" i="21" s="1"/>
  <c r="L48" i="2"/>
  <c r="U48"/>
  <c r="U62"/>
  <c r="AA3" i="21" s="1"/>
  <c r="V62" i="2"/>
  <c r="AB3" i="21" s="1"/>
  <c r="V48" i="2"/>
  <c r="Z62" l="1"/>
  <c r="O102"/>
  <c r="O82"/>
  <c r="O73"/>
  <c r="O72"/>
  <c r="O109" s="1"/>
  <c r="O99"/>
  <c r="O80"/>
  <c r="O84"/>
  <c r="O78"/>
  <c r="O74"/>
  <c r="O95"/>
  <c r="O91"/>
  <c r="O101"/>
  <c r="O94"/>
  <c r="O89"/>
  <c r="O100"/>
  <c r="O87"/>
  <c r="O83"/>
  <c r="O88"/>
  <c r="O66"/>
  <c r="O97"/>
  <c r="O85"/>
  <c r="O79"/>
  <c r="O86"/>
  <c r="O92"/>
  <c r="O90"/>
  <c r="O98"/>
  <c r="O96"/>
  <c r="O93"/>
  <c r="O130" s="1"/>
  <c r="O77"/>
  <c r="O75"/>
  <c r="O103"/>
  <c r="O81"/>
  <c r="O76"/>
  <c r="J99"/>
  <c r="J66"/>
  <c r="J79"/>
  <c r="J93"/>
  <c r="J73"/>
  <c r="J85"/>
  <c r="J92"/>
  <c r="J95"/>
  <c r="J97"/>
  <c r="J88"/>
  <c r="J80"/>
  <c r="J117" s="1"/>
  <c r="J77"/>
  <c r="J101"/>
  <c r="J75"/>
  <c r="J72"/>
  <c r="J109" s="1"/>
  <c r="J94"/>
  <c r="J102"/>
  <c r="J91"/>
  <c r="J89"/>
  <c r="J90"/>
  <c r="J74"/>
  <c r="J111" s="1"/>
  <c r="J98"/>
  <c r="J83"/>
  <c r="J86"/>
  <c r="J84"/>
  <c r="J87"/>
  <c r="J103"/>
  <c r="J96"/>
  <c r="J100"/>
  <c r="J137" s="1"/>
  <c r="J81"/>
  <c r="J82"/>
  <c r="J76"/>
  <c r="J78"/>
  <c r="E92"/>
  <c r="E76"/>
  <c r="E86"/>
  <c r="E88"/>
  <c r="E82"/>
  <c r="E94"/>
  <c r="E100"/>
  <c r="E84"/>
  <c r="E91"/>
  <c r="E79"/>
  <c r="E95"/>
  <c r="E102"/>
  <c r="E85"/>
  <c r="E78"/>
  <c r="E83"/>
  <c r="E97"/>
  <c r="E73"/>
  <c r="E75"/>
  <c r="E90"/>
  <c r="E77"/>
  <c r="E66"/>
  <c r="E101"/>
  <c r="E87"/>
  <c r="E124" s="1"/>
  <c r="E93"/>
  <c r="E72"/>
  <c r="E109" s="1"/>
  <c r="E98"/>
  <c r="E99"/>
  <c r="E89"/>
  <c r="E126" s="1"/>
  <c r="E96"/>
  <c r="E103"/>
  <c r="E80"/>
  <c r="E81"/>
  <c r="E74"/>
  <c r="E111" s="1"/>
  <c r="G66"/>
  <c r="G73"/>
  <c r="G84"/>
  <c r="G85"/>
  <c r="G95"/>
  <c r="G88"/>
  <c r="G103"/>
  <c r="G76"/>
  <c r="G91"/>
  <c r="G99"/>
  <c r="G87"/>
  <c r="G90"/>
  <c r="G100"/>
  <c r="G86"/>
  <c r="G92"/>
  <c r="G75"/>
  <c r="G97"/>
  <c r="G89"/>
  <c r="G80"/>
  <c r="G94"/>
  <c r="G102"/>
  <c r="G74"/>
  <c r="G111" s="1"/>
  <c r="G93"/>
  <c r="G130" s="1"/>
  <c r="G79"/>
  <c r="G72"/>
  <c r="G109" s="1"/>
  <c r="G98"/>
  <c r="G96"/>
  <c r="G83"/>
  <c r="G78"/>
  <c r="G101"/>
  <c r="G82"/>
  <c r="G77"/>
  <c r="G114" s="1"/>
  <c r="G81"/>
  <c r="I101"/>
  <c r="I86"/>
  <c r="I87"/>
  <c r="I102"/>
  <c r="I93"/>
  <c r="I78"/>
  <c r="I83"/>
  <c r="I89"/>
  <c r="I84"/>
  <c r="I103"/>
  <c r="I72"/>
  <c r="I109" s="1"/>
  <c r="I81"/>
  <c r="I97"/>
  <c r="I88"/>
  <c r="I91"/>
  <c r="I85"/>
  <c r="I96"/>
  <c r="I90"/>
  <c r="I100"/>
  <c r="I77"/>
  <c r="I92"/>
  <c r="I94"/>
  <c r="I66"/>
  <c r="I73"/>
  <c r="I76"/>
  <c r="I80"/>
  <c r="I95"/>
  <c r="I99"/>
  <c r="I79"/>
  <c r="I98"/>
  <c r="I75"/>
  <c r="I74"/>
  <c r="I111" s="1"/>
  <c r="I82"/>
  <c r="R66"/>
  <c r="R74"/>
  <c r="R76"/>
  <c r="R77"/>
  <c r="R103"/>
  <c r="R100"/>
  <c r="R91"/>
  <c r="R98"/>
  <c r="R92"/>
  <c r="R88"/>
  <c r="R101"/>
  <c r="R75"/>
  <c r="R79"/>
  <c r="R83"/>
  <c r="R94"/>
  <c r="R96"/>
  <c r="R86"/>
  <c r="R90"/>
  <c r="R89"/>
  <c r="R72"/>
  <c r="R109" s="1"/>
  <c r="R81"/>
  <c r="R87"/>
  <c r="R84"/>
  <c r="R73"/>
  <c r="R80"/>
  <c r="R117" s="1"/>
  <c r="R99"/>
  <c r="R93"/>
  <c r="R78"/>
  <c r="R115" s="1"/>
  <c r="R97"/>
  <c r="R102"/>
  <c r="R95"/>
  <c r="R132" s="1"/>
  <c r="R85"/>
  <c r="R82"/>
  <c r="S66"/>
  <c r="S73"/>
  <c r="S79"/>
  <c r="S94"/>
  <c r="S102"/>
  <c r="S103"/>
  <c r="S93"/>
  <c r="S80"/>
  <c r="S72"/>
  <c r="S109" s="1"/>
  <c r="S83"/>
  <c r="S90"/>
  <c r="S87"/>
  <c r="S82"/>
  <c r="S99"/>
  <c r="S92"/>
  <c r="S97"/>
  <c r="S89"/>
  <c r="S84"/>
  <c r="S121" s="1"/>
  <c r="S100"/>
  <c r="S76"/>
  <c r="S86"/>
  <c r="S95"/>
  <c r="S88"/>
  <c r="S75"/>
  <c r="S98"/>
  <c r="S78"/>
  <c r="S77"/>
  <c r="S74"/>
  <c r="S96"/>
  <c r="S101"/>
  <c r="S85"/>
  <c r="S91"/>
  <c r="S81"/>
  <c r="H84"/>
  <c r="H66"/>
  <c r="H101"/>
  <c r="H103"/>
  <c r="H102"/>
  <c r="H88"/>
  <c r="H72"/>
  <c r="H109" s="1"/>
  <c r="H90"/>
  <c r="H94"/>
  <c r="H85"/>
  <c r="H91"/>
  <c r="H92"/>
  <c r="H89"/>
  <c r="H96"/>
  <c r="H95"/>
  <c r="H83"/>
  <c r="H75"/>
  <c r="H98"/>
  <c r="H99"/>
  <c r="H73"/>
  <c r="H87"/>
  <c r="H79"/>
  <c r="H74"/>
  <c r="H80"/>
  <c r="H100"/>
  <c r="H81"/>
  <c r="H93"/>
  <c r="H97"/>
  <c r="H86"/>
  <c r="H77"/>
  <c r="H76"/>
  <c r="H82"/>
  <c r="H78"/>
  <c r="U97"/>
  <c r="U89"/>
  <c r="U86"/>
  <c r="U96"/>
  <c r="U77"/>
  <c r="U74"/>
  <c r="U93"/>
  <c r="U78"/>
  <c r="U98"/>
  <c r="U81"/>
  <c r="U92"/>
  <c r="U80"/>
  <c r="U102"/>
  <c r="U95"/>
  <c r="U99"/>
  <c r="U100"/>
  <c r="U85"/>
  <c r="U87"/>
  <c r="U83"/>
  <c r="U94"/>
  <c r="U76"/>
  <c r="U82"/>
  <c r="U75"/>
  <c r="U101"/>
  <c r="U138" s="1"/>
  <c r="U66"/>
  <c r="U103"/>
  <c r="U90"/>
  <c r="U88"/>
  <c r="U79"/>
  <c r="U72"/>
  <c r="U109" s="1"/>
  <c r="U84"/>
  <c r="U121" s="1"/>
  <c r="U73"/>
  <c r="U91"/>
  <c r="X101"/>
  <c r="X76"/>
  <c r="X99"/>
  <c r="X77"/>
  <c r="X83"/>
  <c r="X81"/>
  <c r="X78"/>
  <c r="X92"/>
  <c r="X66"/>
  <c r="X74"/>
  <c r="X102"/>
  <c r="X90"/>
  <c r="X103"/>
  <c r="X86"/>
  <c r="X97"/>
  <c r="X91"/>
  <c r="X94"/>
  <c r="X95"/>
  <c r="X72"/>
  <c r="X109" s="1"/>
  <c r="X87"/>
  <c r="X73"/>
  <c r="X85"/>
  <c r="X93"/>
  <c r="X80"/>
  <c r="X88"/>
  <c r="X82"/>
  <c r="X119" s="1"/>
  <c r="X96"/>
  <c r="X84"/>
  <c r="X79"/>
  <c r="X98"/>
  <c r="X89"/>
  <c r="X75"/>
  <c r="X100"/>
  <c r="M66"/>
  <c r="M88"/>
  <c r="M77"/>
  <c r="M79"/>
  <c r="M100"/>
  <c r="M98"/>
  <c r="M81"/>
  <c r="M103"/>
  <c r="M96"/>
  <c r="M85"/>
  <c r="M83"/>
  <c r="M92"/>
  <c r="M91"/>
  <c r="M82"/>
  <c r="M99"/>
  <c r="M94"/>
  <c r="M101"/>
  <c r="M89"/>
  <c r="M126" s="1"/>
  <c r="M86"/>
  <c r="M95"/>
  <c r="M90"/>
  <c r="M87"/>
  <c r="M76"/>
  <c r="M80"/>
  <c r="M117" s="1"/>
  <c r="M78"/>
  <c r="M72"/>
  <c r="M109" s="1"/>
  <c r="M75"/>
  <c r="M93"/>
  <c r="M130" s="1"/>
  <c r="M97"/>
  <c r="M134" s="1"/>
  <c r="M102"/>
  <c r="M73"/>
  <c r="M74"/>
  <c r="M84"/>
  <c r="T66"/>
  <c r="T78"/>
  <c r="T90"/>
  <c r="T96"/>
  <c r="T93"/>
  <c r="T99"/>
  <c r="T84"/>
  <c r="T83"/>
  <c r="T103"/>
  <c r="T101"/>
  <c r="T94"/>
  <c r="T89"/>
  <c r="T76"/>
  <c r="T80"/>
  <c r="T85"/>
  <c r="T122" s="1"/>
  <c r="T97"/>
  <c r="T100"/>
  <c r="T88"/>
  <c r="T72"/>
  <c r="T109" s="1"/>
  <c r="T75"/>
  <c r="T79"/>
  <c r="T86"/>
  <c r="T92"/>
  <c r="T102"/>
  <c r="T91"/>
  <c r="T82"/>
  <c r="T87"/>
  <c r="T81"/>
  <c r="T95"/>
  <c r="T98"/>
  <c r="T77"/>
  <c r="T74"/>
  <c r="T73"/>
  <c r="N102"/>
  <c r="N100"/>
  <c r="N93"/>
  <c r="N76"/>
  <c r="N72"/>
  <c r="N109" s="1"/>
  <c r="N73"/>
  <c r="N95"/>
  <c r="N98"/>
  <c r="N80"/>
  <c r="N99"/>
  <c r="N75"/>
  <c r="N85"/>
  <c r="N81"/>
  <c r="N66"/>
  <c r="N84"/>
  <c r="N89"/>
  <c r="N97"/>
  <c r="N92"/>
  <c r="N90"/>
  <c r="N88"/>
  <c r="N96"/>
  <c r="N103"/>
  <c r="N101"/>
  <c r="N83"/>
  <c r="N86"/>
  <c r="N78"/>
  <c r="N87"/>
  <c r="N79"/>
  <c r="N74"/>
  <c r="N82"/>
  <c r="N94"/>
  <c r="N131" s="1"/>
  <c r="N77"/>
  <c r="N114" s="1"/>
  <c r="N91"/>
  <c r="P72"/>
  <c r="P109" s="1"/>
  <c r="P87"/>
  <c r="P89"/>
  <c r="P77"/>
  <c r="P97"/>
  <c r="P90"/>
  <c r="P73"/>
  <c r="P95"/>
  <c r="P101"/>
  <c r="P92"/>
  <c r="P86"/>
  <c r="P103"/>
  <c r="P75"/>
  <c r="P79"/>
  <c r="P82"/>
  <c r="P99"/>
  <c r="P88"/>
  <c r="P91"/>
  <c r="P98"/>
  <c r="P80"/>
  <c r="P100"/>
  <c r="P81"/>
  <c r="P76"/>
  <c r="P93"/>
  <c r="P94"/>
  <c r="P96"/>
  <c r="P102"/>
  <c r="P66"/>
  <c r="P85"/>
  <c r="P78"/>
  <c r="P84"/>
  <c r="P74"/>
  <c r="P83"/>
  <c r="V90"/>
  <c r="V85"/>
  <c r="V96"/>
  <c r="V93"/>
  <c r="V78"/>
  <c r="V88"/>
  <c r="V72"/>
  <c r="V109" s="1"/>
  <c r="V77"/>
  <c r="V79"/>
  <c r="V103"/>
  <c r="V84"/>
  <c r="V82"/>
  <c r="V73"/>
  <c r="V102"/>
  <c r="V91"/>
  <c r="V80"/>
  <c r="V95"/>
  <c r="V76"/>
  <c r="V87"/>
  <c r="V97"/>
  <c r="V92"/>
  <c r="V101"/>
  <c r="V89"/>
  <c r="V75"/>
  <c r="V98"/>
  <c r="V94"/>
  <c r="V99"/>
  <c r="V86"/>
  <c r="V66"/>
  <c r="V74"/>
  <c r="V81"/>
  <c r="V83"/>
  <c r="V100"/>
  <c r="L97"/>
  <c r="L98"/>
  <c r="L76"/>
  <c r="L80"/>
  <c r="L96"/>
  <c r="L81"/>
  <c r="L101"/>
  <c r="L102"/>
  <c r="L75"/>
  <c r="L78"/>
  <c r="L84"/>
  <c r="L74"/>
  <c r="L79"/>
  <c r="L103"/>
  <c r="L86"/>
  <c r="L91"/>
  <c r="L100"/>
  <c r="L85"/>
  <c r="L94"/>
  <c r="L92"/>
  <c r="L90"/>
  <c r="L99"/>
  <c r="L136" s="1"/>
  <c r="L82"/>
  <c r="L83"/>
  <c r="L66"/>
  <c r="L72"/>
  <c r="L109" s="1"/>
  <c r="L95"/>
  <c r="L87"/>
  <c r="L88"/>
  <c r="L73"/>
  <c r="L77"/>
  <c r="L114" s="1"/>
  <c r="L93"/>
  <c r="L89"/>
  <c r="W97"/>
  <c r="W82"/>
  <c r="W95"/>
  <c r="W103"/>
  <c r="W98"/>
  <c r="W99"/>
  <c r="W77"/>
  <c r="W81"/>
  <c r="W85"/>
  <c r="W80"/>
  <c r="W75"/>
  <c r="W73"/>
  <c r="W96"/>
  <c r="W94"/>
  <c r="W90"/>
  <c r="W89"/>
  <c r="W74"/>
  <c r="W66"/>
  <c r="W100"/>
  <c r="W91"/>
  <c r="W84"/>
  <c r="W101"/>
  <c r="W86"/>
  <c r="W102"/>
  <c r="W93"/>
  <c r="W83"/>
  <c r="W120" s="1"/>
  <c r="W72"/>
  <c r="W109" s="1"/>
  <c r="W76"/>
  <c r="W79"/>
  <c r="W87"/>
  <c r="W92"/>
  <c r="W88"/>
  <c r="W78"/>
  <c r="K91"/>
  <c r="K84"/>
  <c r="K96"/>
  <c r="K79"/>
  <c r="K82"/>
  <c r="K81"/>
  <c r="K88"/>
  <c r="K73"/>
  <c r="K66"/>
  <c r="K86"/>
  <c r="K75"/>
  <c r="K98"/>
  <c r="K97"/>
  <c r="K78"/>
  <c r="K101"/>
  <c r="K87"/>
  <c r="K102"/>
  <c r="K95"/>
  <c r="K85"/>
  <c r="K92"/>
  <c r="K89"/>
  <c r="K99"/>
  <c r="K100"/>
  <c r="K94"/>
  <c r="K80"/>
  <c r="K93"/>
  <c r="K74"/>
  <c r="K72"/>
  <c r="K109" s="1"/>
  <c r="K77"/>
  <c r="K103"/>
  <c r="K76"/>
  <c r="K113" s="1"/>
  <c r="K90"/>
  <c r="K83"/>
  <c r="K120" s="1"/>
  <c r="Q91"/>
  <c r="Q97"/>
  <c r="Q95"/>
  <c r="Q96"/>
  <c r="Q103"/>
  <c r="Q80"/>
  <c r="Q92"/>
  <c r="Q99"/>
  <c r="Q79"/>
  <c r="Q73"/>
  <c r="Q90"/>
  <c r="Q86"/>
  <c r="Q77"/>
  <c r="Q101"/>
  <c r="Q88"/>
  <c r="Q100"/>
  <c r="Q98"/>
  <c r="Q66"/>
  <c r="Q84"/>
  <c r="Q81"/>
  <c r="Q74"/>
  <c r="Q78"/>
  <c r="Q75"/>
  <c r="Q82"/>
  <c r="Q94"/>
  <c r="Q89"/>
  <c r="Q76"/>
  <c r="Q93"/>
  <c r="Q72"/>
  <c r="Q109" s="1"/>
  <c r="Q102"/>
  <c r="Q87"/>
  <c r="Q85"/>
  <c r="Q83"/>
  <c r="E56"/>
  <c r="F52"/>
  <c r="F99"/>
  <c r="F72"/>
  <c r="F109" s="1"/>
  <c r="F90"/>
  <c r="F98"/>
  <c r="F95"/>
  <c r="F88"/>
  <c r="F81"/>
  <c r="F82"/>
  <c r="F91"/>
  <c r="F79"/>
  <c r="F101"/>
  <c r="F83"/>
  <c r="F66"/>
  <c r="F92"/>
  <c r="F78"/>
  <c r="F93"/>
  <c r="F103"/>
  <c r="F102"/>
  <c r="F73"/>
  <c r="F97"/>
  <c r="F86"/>
  <c r="F89"/>
  <c r="F126" s="1"/>
  <c r="F96"/>
  <c r="F87"/>
  <c r="F77"/>
  <c r="F75"/>
  <c r="F100"/>
  <c r="F85"/>
  <c r="F94"/>
  <c r="F76"/>
  <c r="F84"/>
  <c r="F74"/>
  <c r="F80"/>
  <c r="Z66" l="1"/>
  <c r="U119"/>
  <c r="J133"/>
  <c r="V120"/>
  <c r="L110"/>
  <c r="J131"/>
  <c r="M132"/>
  <c r="P128"/>
  <c r="R110"/>
  <c r="G126"/>
  <c r="I119"/>
  <c r="G138"/>
  <c r="E117"/>
  <c r="O116"/>
  <c r="O110"/>
  <c r="J118"/>
  <c r="U135"/>
  <c r="R119"/>
  <c r="U116"/>
  <c r="H122"/>
  <c r="S122"/>
  <c r="S137"/>
  <c r="R122"/>
  <c r="R114"/>
  <c r="G135"/>
  <c r="E136"/>
  <c r="E132"/>
  <c r="J127"/>
  <c r="L130"/>
  <c r="F120"/>
  <c r="N118"/>
  <c r="Q119"/>
  <c r="Q137"/>
  <c r="N111"/>
  <c r="X121"/>
  <c r="T134"/>
  <c r="R139"/>
  <c r="Q113"/>
  <c r="L129"/>
  <c r="M138"/>
  <c r="Q139"/>
  <c r="Q124"/>
  <c r="K129"/>
  <c r="S114"/>
  <c r="S125"/>
  <c r="I116"/>
  <c r="O113"/>
  <c r="O127"/>
  <c r="O120"/>
  <c r="O133"/>
  <c r="W135"/>
  <c r="L132"/>
  <c r="J139"/>
  <c r="V116"/>
  <c r="V131"/>
  <c r="O118"/>
  <c r="Q115"/>
  <c r="W128"/>
  <c r="Q129"/>
  <c r="K124"/>
  <c r="L140"/>
  <c r="V136"/>
  <c r="V128"/>
  <c r="N133"/>
  <c r="X112"/>
  <c r="X114"/>
  <c r="H118"/>
  <c r="H135"/>
  <c r="S127"/>
  <c r="R112"/>
  <c r="I113"/>
  <c r="I129"/>
  <c r="I133"/>
  <c r="I121"/>
  <c r="I138"/>
  <c r="G123"/>
  <c r="E120"/>
  <c r="J113"/>
  <c r="J123"/>
  <c r="J130"/>
  <c r="O122"/>
  <c r="O111"/>
  <c r="F113"/>
  <c r="F110"/>
  <c r="K137"/>
  <c r="W113"/>
  <c r="L126"/>
  <c r="V111"/>
  <c r="W115"/>
  <c r="W133"/>
  <c r="L118"/>
  <c r="P130"/>
  <c r="P117"/>
  <c r="N128"/>
  <c r="T135"/>
  <c r="T119"/>
  <c r="X124"/>
  <c r="X128"/>
  <c r="U128"/>
  <c r="U113"/>
  <c r="U122"/>
  <c r="K122"/>
  <c r="L125"/>
  <c r="M139"/>
  <c r="X133"/>
  <c r="U131"/>
  <c r="R121"/>
  <c r="R126"/>
  <c r="R138"/>
  <c r="I110"/>
  <c r="G115"/>
  <c r="J126"/>
  <c r="O129"/>
  <c r="F124"/>
  <c r="K127"/>
  <c r="K131"/>
  <c r="K135"/>
  <c r="K116"/>
  <c r="W130"/>
  <c r="W121"/>
  <c r="L122"/>
  <c r="L115"/>
  <c r="V118"/>
  <c r="V124"/>
  <c r="V121"/>
  <c r="V133"/>
  <c r="P132"/>
  <c r="T123"/>
  <c r="T125"/>
  <c r="T115"/>
  <c r="M110"/>
  <c r="M123"/>
  <c r="M136"/>
  <c r="M120"/>
  <c r="M118"/>
  <c r="X117"/>
  <c r="X127"/>
  <c r="U139"/>
  <c r="U134"/>
  <c r="H114"/>
  <c r="H116"/>
  <c r="H133"/>
  <c r="H125"/>
  <c r="S129"/>
  <c r="S116"/>
  <c r="R133"/>
  <c r="R135"/>
  <c r="G125"/>
  <c r="G110"/>
  <c r="E127"/>
  <c r="E123"/>
  <c r="O131"/>
  <c r="O136"/>
  <c r="O139"/>
  <c r="F112"/>
  <c r="F129"/>
  <c r="F125"/>
  <c r="Q120"/>
  <c r="Q131"/>
  <c r="K140"/>
  <c r="K115"/>
  <c r="K118"/>
  <c r="K121"/>
  <c r="W137"/>
  <c r="W132"/>
  <c r="L124"/>
  <c r="L120"/>
  <c r="L139"/>
  <c r="V135"/>
  <c r="V115"/>
  <c r="N130"/>
  <c r="M133"/>
  <c r="X132"/>
  <c r="X111"/>
  <c r="U127"/>
  <c r="U112"/>
  <c r="U120"/>
  <c r="H110"/>
  <c r="H129"/>
  <c r="S118"/>
  <c r="S135"/>
  <c r="R124"/>
  <c r="R120"/>
  <c r="I132"/>
  <c r="I128"/>
  <c r="I124"/>
  <c r="G120"/>
  <c r="G131"/>
  <c r="G122"/>
  <c r="E122"/>
  <c r="E119"/>
  <c r="J112"/>
  <c r="J122"/>
  <c r="F121"/>
  <c r="F137"/>
  <c r="F133"/>
  <c r="F115"/>
  <c r="F118"/>
  <c r="F127"/>
  <c r="Q126"/>
  <c r="Q138"/>
  <c r="Q110"/>
  <c r="Q117"/>
  <c r="Q134"/>
  <c r="K111"/>
  <c r="K138"/>
  <c r="K125"/>
  <c r="K133"/>
  <c r="W125"/>
  <c r="W139"/>
  <c r="W110"/>
  <c r="W118"/>
  <c r="L137"/>
  <c r="L116"/>
  <c r="L112"/>
  <c r="L133"/>
  <c r="V138"/>
  <c r="V113"/>
  <c r="V125"/>
  <c r="V122"/>
  <c r="P121"/>
  <c r="P139"/>
  <c r="P113"/>
  <c r="P135"/>
  <c r="P119"/>
  <c r="P123"/>
  <c r="P110"/>
  <c r="P126"/>
  <c r="N116"/>
  <c r="N120"/>
  <c r="N125"/>
  <c r="N135"/>
  <c r="N113"/>
  <c r="T110"/>
  <c r="T132"/>
  <c r="T128"/>
  <c r="T116"/>
  <c r="T137"/>
  <c r="T113"/>
  <c r="T140"/>
  <c r="T130"/>
  <c r="M122"/>
  <c r="M135"/>
  <c r="X126"/>
  <c r="X139"/>
  <c r="X136"/>
  <c r="U110"/>
  <c r="U125"/>
  <c r="U137"/>
  <c r="U133"/>
  <c r="H137"/>
  <c r="H112"/>
  <c r="H131"/>
  <c r="H139"/>
  <c r="S132"/>
  <c r="S136"/>
  <c r="S120"/>
  <c r="S140"/>
  <c r="S110"/>
  <c r="R130"/>
  <c r="R128"/>
  <c r="I136"/>
  <c r="I118"/>
  <c r="I126"/>
  <c r="G118"/>
  <c r="G134"/>
  <c r="G128"/>
  <c r="E140"/>
  <c r="E135"/>
  <c r="E115"/>
  <c r="E131"/>
  <c r="J119"/>
  <c r="J140"/>
  <c r="J116"/>
  <c r="G52"/>
  <c r="F56"/>
  <c r="M113"/>
  <c r="M112"/>
  <c r="X138"/>
  <c r="X137"/>
  <c r="F138"/>
  <c r="K112"/>
  <c r="W126"/>
  <c r="F111"/>
  <c r="F122"/>
  <c r="F134"/>
  <c r="F130"/>
  <c r="F119"/>
  <c r="F135"/>
  <c r="Q112"/>
  <c r="Q121"/>
  <c r="Q125"/>
  <c r="Q127"/>
  <c r="Q132"/>
  <c r="K110"/>
  <c r="W116"/>
  <c r="W111"/>
  <c r="W122"/>
  <c r="W134"/>
  <c r="L135"/>
  <c r="V126"/>
  <c r="P111"/>
  <c r="P136"/>
  <c r="P140"/>
  <c r="P114"/>
  <c r="N123"/>
  <c r="N134"/>
  <c r="N117"/>
  <c r="T117"/>
  <c r="T138"/>
  <c r="T136"/>
  <c r="M114"/>
  <c r="X129"/>
  <c r="U114"/>
  <c r="S130"/>
  <c r="I134"/>
  <c r="I130"/>
  <c r="G136"/>
  <c r="E137"/>
  <c r="J114"/>
  <c r="J132"/>
  <c r="O114"/>
  <c r="F117"/>
  <c r="F131"/>
  <c r="F114"/>
  <c r="F123"/>
  <c r="F140"/>
  <c r="F128"/>
  <c r="F132"/>
  <c r="F136"/>
  <c r="Q122"/>
  <c r="Q130"/>
  <c r="Q118"/>
  <c r="Q123"/>
  <c r="Q136"/>
  <c r="Q133"/>
  <c r="K114"/>
  <c r="K117"/>
  <c r="K126"/>
  <c r="K139"/>
  <c r="K134"/>
  <c r="K119"/>
  <c r="K128"/>
  <c r="W124"/>
  <c r="W138"/>
  <c r="W131"/>
  <c r="W117"/>
  <c r="W136"/>
  <c r="W119"/>
  <c r="L119"/>
  <c r="L131"/>
  <c r="L123"/>
  <c r="L121"/>
  <c r="L138"/>
  <c r="L113"/>
  <c r="V123"/>
  <c r="V112"/>
  <c r="V134"/>
  <c r="V117"/>
  <c r="V119"/>
  <c r="V114"/>
  <c r="V130"/>
  <c r="P120"/>
  <c r="P122"/>
  <c r="P131"/>
  <c r="P137"/>
  <c r="P125"/>
  <c r="P112"/>
  <c r="P138"/>
  <c r="P134"/>
  <c r="N119"/>
  <c r="N115"/>
  <c r="N140"/>
  <c r="N129"/>
  <c r="N136"/>
  <c r="N110"/>
  <c r="N137"/>
  <c r="T114"/>
  <c r="T124"/>
  <c r="T129"/>
  <c r="T131"/>
  <c r="T121"/>
  <c r="T127"/>
  <c r="M111"/>
  <c r="M131"/>
  <c r="M129"/>
  <c r="M140"/>
  <c r="M116"/>
  <c r="X116"/>
  <c r="X125"/>
  <c r="X110"/>
  <c r="X131"/>
  <c r="X140"/>
  <c r="X120"/>
  <c r="U140"/>
  <c r="U124"/>
  <c r="U132"/>
  <c r="U111"/>
  <c r="U126"/>
  <c r="H113"/>
  <c r="H130"/>
  <c r="H111"/>
  <c r="H136"/>
  <c r="H132"/>
  <c r="H128"/>
  <c r="H138"/>
  <c r="S128"/>
  <c r="S111"/>
  <c r="S112"/>
  <c r="S113"/>
  <c r="S134"/>
  <c r="S124"/>
  <c r="S117"/>
  <c r="S131"/>
  <c r="R134"/>
  <c r="R118"/>
  <c r="R123"/>
  <c r="R116"/>
  <c r="R129"/>
  <c r="R140"/>
  <c r="I135"/>
  <c r="I117"/>
  <c r="I131"/>
  <c r="I127"/>
  <c r="I125"/>
  <c r="I140"/>
  <c r="I115"/>
  <c r="I123"/>
  <c r="G119"/>
  <c r="G133"/>
  <c r="G117"/>
  <c r="G129"/>
  <c r="G124"/>
  <c r="G140"/>
  <c r="G121"/>
  <c r="E118"/>
  <c r="E130"/>
  <c r="E114"/>
  <c r="E134"/>
  <c r="E139"/>
  <c r="E121"/>
  <c r="E125"/>
  <c r="J115"/>
  <c r="J121"/>
  <c r="J138"/>
  <c r="J134"/>
  <c r="J110"/>
  <c r="O112"/>
  <c r="O135"/>
  <c r="O125"/>
  <c r="O126"/>
  <c r="O132"/>
  <c r="O117"/>
  <c r="O119"/>
  <c r="N139"/>
  <c r="N138"/>
  <c r="N122"/>
  <c r="N121"/>
  <c r="H121"/>
  <c r="H120"/>
  <c r="E129"/>
  <c r="E128"/>
  <c r="J136"/>
  <c r="J135"/>
  <c r="F139"/>
  <c r="F116"/>
  <c r="Q111"/>
  <c r="Q135"/>
  <c r="Q114"/>
  <c r="Q116"/>
  <c r="Q140"/>
  <c r="Q128"/>
  <c r="K130"/>
  <c r="K136"/>
  <c r="K132"/>
  <c r="K123"/>
  <c r="W129"/>
  <c r="W123"/>
  <c r="W127"/>
  <c r="W112"/>
  <c r="W114"/>
  <c r="L128"/>
  <c r="L111"/>
  <c r="L117"/>
  <c r="V137"/>
  <c r="V129"/>
  <c r="V132"/>
  <c r="V110"/>
  <c r="V127"/>
  <c r="P115"/>
  <c r="P133"/>
  <c r="P118"/>
  <c r="P116"/>
  <c r="P129"/>
  <c r="P127"/>
  <c r="P124"/>
  <c r="N124"/>
  <c r="N127"/>
  <c r="N112"/>
  <c r="N132"/>
  <c r="T111"/>
  <c r="T118"/>
  <c r="T139"/>
  <c r="T112"/>
  <c r="T126"/>
  <c r="T120"/>
  <c r="T133"/>
  <c r="M121"/>
  <c r="M115"/>
  <c r="M127"/>
  <c r="M128"/>
  <c r="M137"/>
  <c r="X135"/>
  <c r="X122"/>
  <c r="X123"/>
  <c r="X118"/>
  <c r="X113"/>
  <c r="U136"/>
  <c r="U129"/>
  <c r="U130"/>
  <c r="U123"/>
  <c r="H119"/>
  <c r="H134"/>
  <c r="H117"/>
  <c r="H127"/>
  <c r="H140"/>
  <c r="S133"/>
  <c r="S123"/>
  <c r="S126"/>
  <c r="S119"/>
  <c r="S139"/>
  <c r="R136"/>
  <c r="R127"/>
  <c r="R125"/>
  <c r="R137"/>
  <c r="R111"/>
  <c r="I112"/>
  <c r="I137"/>
  <c r="I120"/>
  <c r="G116"/>
  <c r="G112"/>
  <c r="G127"/>
  <c r="G113"/>
  <c r="E133"/>
  <c r="E110"/>
  <c r="J124"/>
  <c r="J128"/>
  <c r="J125"/>
  <c r="O140"/>
  <c r="O123"/>
  <c r="O137"/>
  <c r="O128"/>
  <c r="O121"/>
  <c r="U118"/>
  <c r="U117"/>
  <c r="W140"/>
  <c r="L127"/>
  <c r="L134"/>
  <c r="V139"/>
  <c r="V140"/>
  <c r="N126"/>
  <c r="M124"/>
  <c r="M119"/>
  <c r="M125"/>
  <c r="X130"/>
  <c r="X134"/>
  <c r="X115"/>
  <c r="U115"/>
  <c r="H115"/>
  <c r="H123"/>
  <c r="H124"/>
  <c r="H126"/>
  <c r="S138"/>
  <c r="S115"/>
  <c r="R131"/>
  <c r="R113"/>
  <c r="I114"/>
  <c r="I122"/>
  <c r="I139"/>
  <c r="G139"/>
  <c r="G137"/>
  <c r="G132"/>
  <c r="E138"/>
  <c r="E112"/>
  <c r="E116"/>
  <c r="E113"/>
  <c r="J120"/>
  <c r="J129"/>
  <c r="O134"/>
  <c r="O124"/>
  <c r="O138"/>
  <c r="O115"/>
  <c r="V142" l="1"/>
  <c r="N142"/>
  <c r="F142"/>
  <c r="E142"/>
  <c r="E143" s="1"/>
  <c r="G142"/>
  <c r="R142"/>
  <c r="L142"/>
  <c r="T142"/>
  <c r="Q142"/>
  <c r="H142"/>
  <c r="I142"/>
  <c r="J142"/>
  <c r="X142"/>
  <c r="K142"/>
  <c r="S142"/>
  <c r="U142"/>
  <c r="P142"/>
  <c r="W142"/>
  <c r="M142"/>
  <c r="O142"/>
  <c r="H52"/>
  <c r="G56"/>
  <c r="F143" l="1"/>
  <c r="G143" s="1"/>
  <c r="H143" s="1"/>
  <c r="I143" s="1"/>
  <c r="J143" s="1"/>
  <c r="K143" s="1"/>
  <c r="L143" s="1"/>
  <c r="M143" s="1"/>
  <c r="N143" s="1"/>
  <c r="O143" s="1"/>
  <c r="P143" s="1"/>
  <c r="Q143" s="1"/>
  <c r="R143" s="1"/>
  <c r="S143" s="1"/>
  <c r="T143" s="1"/>
  <c r="U143" s="1"/>
  <c r="V143" s="1"/>
  <c r="W143" s="1"/>
  <c r="X143" s="1"/>
  <c r="I52"/>
  <c r="H56"/>
  <c r="I56" l="1"/>
  <c r="J52"/>
  <c r="J56" l="1"/>
  <c r="K52"/>
  <c r="L52" l="1"/>
  <c r="K56"/>
  <c r="M52" l="1"/>
  <c r="L56"/>
  <c r="M56" l="1"/>
  <c r="N52"/>
  <c r="N56" l="1"/>
  <c r="O52"/>
  <c r="O56" l="1"/>
  <c r="P52"/>
  <c r="Q52" l="1"/>
  <c r="P56"/>
  <c r="Q56" l="1"/>
  <c r="R52"/>
  <c r="R56" l="1"/>
  <c r="S52"/>
  <c r="T52" l="1"/>
  <c r="S56"/>
  <c r="U52" l="1"/>
  <c r="T56"/>
  <c r="U56" l="1"/>
  <c r="V52"/>
  <c r="V56" l="1"/>
  <c r="W52"/>
  <c r="W56" l="1"/>
  <c r="X52"/>
  <c r="X56"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Use Supply Curve Bundled starting in column 2  "column()-9"</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  
Use column()-17 for the column reference</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4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2"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2"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Charlie Grist</author>
  </authors>
  <commentList>
    <comment ref="C12" authorId="0">
      <text>
        <r>
          <rPr>
            <b/>
            <sz val="9"/>
            <color indexed="81"/>
            <rFont val="Tahoma"/>
            <family val="2"/>
          </rPr>
          <t>Charlie Grist:</t>
        </r>
        <r>
          <rPr>
            <sz val="9"/>
            <color indexed="81"/>
            <rFont val="Tahoma"/>
            <family val="2"/>
          </rPr>
          <t xml:space="preserve">
From ES data.  Average of all qualifying models under ES 1.7.  </t>
        </r>
      </text>
    </comment>
    <comment ref="D23" authorId="0">
      <text>
        <r>
          <rPr>
            <b/>
            <sz val="9"/>
            <color indexed="81"/>
            <rFont val="Tahoma"/>
            <family val="2"/>
          </rPr>
          <t>Charlie Grist:</t>
        </r>
        <r>
          <rPr>
            <sz val="9"/>
            <color indexed="81"/>
            <rFont val="Tahoma"/>
            <family val="2"/>
          </rPr>
          <t xml:space="preserve">
2014 ESTAR spec is .87.  Assume ESTAR Qualified is somewhat better than spec.</t>
        </r>
      </text>
    </comment>
  </commentList>
</comments>
</file>

<file path=xl/comments4.xml><?xml version="1.0" encoding="utf-8"?>
<comments xmlns="http://schemas.openxmlformats.org/spreadsheetml/2006/main">
  <authors>
    <author>Maggie Mae Lahet</author>
  </authors>
  <commentList>
    <comment ref="E11" authorId="0">
      <text>
        <r>
          <rPr>
            <b/>
            <sz val="9"/>
            <color indexed="81"/>
            <rFont val="Tahoma"/>
            <family val="2"/>
          </rPr>
          <t>Maggie Mae Lahet:</t>
        </r>
        <r>
          <rPr>
            <sz val="9"/>
            <color indexed="81"/>
            <rFont val="Tahoma"/>
            <family val="2"/>
          </rPr>
          <t xml:space="preserve">
California stock is assumed 11% of U.S. total sales
</t>
        </r>
      </text>
    </comment>
    <comment ref="F11" authorId="0">
      <text>
        <r>
          <rPr>
            <b/>
            <sz val="9"/>
            <color indexed="81"/>
            <rFont val="Tahoma"/>
            <family val="2"/>
          </rPr>
          <t>Maggie Mae Lahet:</t>
        </r>
        <r>
          <rPr>
            <sz val="9"/>
            <color indexed="81"/>
            <rFont val="Tahoma"/>
            <family val="2"/>
          </rPr>
          <t xml:space="preserve">
NW regional sales assumed 4% of total U.S. sales 
</t>
        </r>
      </text>
    </comment>
    <comment ref="G11" authorId="0">
      <text>
        <r>
          <rPr>
            <b/>
            <sz val="9"/>
            <color indexed="81"/>
            <rFont val="Tahoma"/>
            <family val="2"/>
          </rPr>
          <t>Maggie Mae Lahet:</t>
        </r>
        <r>
          <rPr>
            <sz val="9"/>
            <color indexed="81"/>
            <rFont val="Tahoma"/>
            <family val="2"/>
          </rPr>
          <t xml:space="preserve">
stock = sales*8 years for POU and bottled (14 years for pressurized)
</t>
        </r>
      </text>
    </comment>
    <comment ref="D69" authorId="0">
      <text>
        <r>
          <rPr>
            <b/>
            <sz val="9"/>
            <color indexed="81"/>
            <rFont val="Tahoma"/>
            <family val="2"/>
          </rPr>
          <t>Maggie Mae Lahet:</t>
        </r>
        <r>
          <rPr>
            <sz val="9"/>
            <color indexed="81"/>
            <rFont val="Tahoma"/>
            <family val="2"/>
          </rPr>
          <t xml:space="preserve">
Market penetration is calculated as (energy star shipments/national shipments)
</t>
        </r>
      </text>
    </comment>
  </commentList>
</comments>
</file>

<file path=xl/comments5.xml><?xml version="1.0" encoding="utf-8"?>
<comments xmlns="http://schemas.openxmlformats.org/spreadsheetml/2006/main">
  <authors>
    <author>Charlie Grist</author>
  </authors>
  <commentList>
    <comment ref="G132" authorId="0">
      <text>
        <r>
          <rPr>
            <b/>
            <sz val="9"/>
            <color indexed="81"/>
            <rFont val="Tahoma"/>
            <family val="2"/>
          </rPr>
          <t>Charlie Grist:</t>
        </r>
        <r>
          <rPr>
            <sz val="9"/>
            <color indexed="81"/>
            <rFont val="Tahoma"/>
            <family val="2"/>
          </rPr>
          <t xml:space="preserve">
Disregard savings from ES spec.  Both OR and WA have adopted ES spec as minimum state level.  </t>
        </r>
      </text>
    </comment>
  </commentList>
</comments>
</file>

<file path=xl/sharedStrings.xml><?xml version="1.0" encoding="utf-8"?>
<sst xmlns="http://schemas.openxmlformats.org/spreadsheetml/2006/main" count="6061" uniqueCount="1428">
  <si>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</si>
  <si>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</si>
  <si>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</si>
  <si>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</si>
  <si>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</si>
  <si>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</si>
  <si>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</si>
  <si>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</si>
  <si>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</si>
  <si>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</si>
  <si>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</si>
  <si>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</si>
  <si>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</si>
  <si>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</si>
  <si>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</si>
  <si>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</si>
  <si>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</si>
  <si>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</si>
  <si>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</si>
  <si>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</si>
  <si>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</si>
  <si>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</si>
  <si>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</si>
  <si>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</si>
  <si>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</si>
  <si>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</si>
  <si>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</si>
  <si>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</si>
  <si>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</si>
  <si>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</si>
  <si>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</si>
  <si>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</si>
  <si>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</si>
  <si>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</si>
  <si>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</si>
  <si>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</si>
  <si>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</si>
  <si>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</si>
  <si>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</si>
  <si>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</si>
  <si>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</si>
  <si>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Measure Map</t>
  </si>
  <si>
    <t>Baseline Energy Use</t>
  </si>
  <si>
    <t>Baseline Penetration</t>
  </si>
  <si>
    <t xml:space="preserve">Description </t>
  </si>
  <si>
    <t>Date Done</t>
  </si>
  <si>
    <t>Who</t>
  </si>
  <si>
    <t>Result</t>
  </si>
  <si>
    <t>New cost data</t>
  </si>
  <si>
    <t>New performance data</t>
  </si>
  <si>
    <t>Update Source Summary</t>
  </si>
  <si>
    <t>Build Measure Map</t>
  </si>
  <si>
    <t>Figure out weighting scheme</t>
  </si>
  <si>
    <t>Build SC models</t>
  </si>
  <si>
    <t>Get saturation estimate</t>
  </si>
  <si>
    <t>Run ProCost</t>
  </si>
  <si>
    <t>Check savings against total load estimate</t>
  </si>
  <si>
    <t>Calibrate baseline use and turnover with Massoud's forecast</t>
  </si>
  <si>
    <t>Estimate baseline energy use and frozen efficiency points</t>
  </si>
  <si>
    <t>Update APPLIC, BASE, TURN, ACHIEV and CHAR in ComMaster</t>
  </si>
  <si>
    <t>Costs to 2012$</t>
  </si>
  <si>
    <t>Develop shape of savings and put in GLS</t>
  </si>
  <si>
    <t>http://www.zenithinternational.com/reports_data/136/US+Point+of+Use+Coolers+Report+2010</t>
  </si>
  <si>
    <t>http://www.researchandmarkets.com/research/9v73d2/usa_pou_and</t>
  </si>
  <si>
    <t>http://watercoolerseurope.eu/news/us-water-cooler-market-up-to-5-5-million-units</t>
  </si>
  <si>
    <t>All sources suggest 5,500,000 units installed in 2013 (from reports that cost money to read)</t>
  </si>
  <si>
    <t>Water dispenser</t>
  </si>
  <si>
    <t>U.S. units</t>
  </si>
  <si>
    <t>PNW as 4% of U.S.</t>
  </si>
  <si>
    <t># of PNW Coolers * total savings per unit</t>
  </si>
  <si>
    <t>Mwa savings</t>
  </si>
  <si>
    <t>POU and Bottled Water Dispenser</t>
  </si>
  <si>
    <t xml:space="preserve">EPA ENERGY STAR </t>
  </si>
  <si>
    <t>2013 summary report of shipments</t>
  </si>
  <si>
    <t>PRODUCT CATEGORY</t>
  </si>
  <si>
    <t>2013 UNITS SHIPPED</t>
  </si>
  <si>
    <t>2013 ESTIMATED MARKET PENETRATION</t>
  </si>
  <si>
    <t xml:space="preserve">ESTAR PNW AS 4% OF NATIONAL </t>
  </si>
  <si>
    <t>IMPLIED PNW TOTAL SHIPMENTS</t>
  </si>
  <si>
    <t>WATER COOLERS</t>
  </si>
  <si>
    <t>Cadmus Study: Codes and Standards Enhancement Initiative For PY2004: Title 20 Standards Development Analysis of Standards Options for Water Dispensers Prepared for: Gary B. Fernstrom, PG&amp;E</t>
  </si>
  <si>
    <t>Category</t>
  </si>
  <si>
    <t>Measure</t>
  </si>
  <si>
    <t>Savings</t>
  </si>
  <si>
    <t>Cost</t>
  </si>
  <si>
    <t>Timer Control</t>
  </si>
  <si>
    <t>Timer Savings (kWh/day)</t>
  </si>
  <si>
    <t>Timer Savings kWh/year</t>
  </si>
  <si>
    <t>Baseline Annual kWh</t>
  </si>
  <si>
    <t>Days Per Week On</t>
  </si>
  <si>
    <t>Hours per Day On Mode</t>
  </si>
  <si>
    <t>Hours per Week On Mode</t>
  </si>
  <si>
    <t>Hours per Off Mode</t>
  </si>
  <si>
    <t>Standby Hours Reduction %</t>
  </si>
  <si>
    <t>Schedule Weights</t>
  </si>
  <si>
    <t>ENERGY STAR 1.7</t>
  </si>
  <si>
    <t>Cold Only</t>
  </si>
  <si>
    <t>Weighted by Schedule</t>
  </si>
  <si>
    <t>US Navy Study</t>
  </si>
  <si>
    <t>Cadmus Study Measured</t>
  </si>
  <si>
    <t>Baseline</t>
  </si>
  <si>
    <t>Eff Case</t>
  </si>
  <si>
    <t>Cost 2012$</t>
  </si>
  <si>
    <t>Installation</t>
  </si>
  <si>
    <t>Source</t>
  </si>
  <si>
    <t>Hawaii Energy Program</t>
  </si>
  <si>
    <t>Total Cost Timer</t>
  </si>
  <si>
    <t>ENERGY STAR 2.0 Incremental Cost</t>
  </si>
  <si>
    <t>Digital Weekly Timer Controller</t>
  </si>
  <si>
    <t>15 mintes at fully burdened Labor Rate from SIW</t>
  </si>
  <si>
    <t>Teardown cost estimate from Cadmus Study to 2012$</t>
  </si>
  <si>
    <t>Shape</t>
  </si>
  <si>
    <t>Estimate</t>
  </si>
  <si>
    <t>Gas Interaction (therms)</t>
  </si>
  <si>
    <t>Timer on ES1.7 Hot &amp; Cold Water Cooler</t>
  </si>
  <si>
    <t>C-All-Plug-TimerOff6PM6AM-All-All-S</t>
  </si>
  <si>
    <t>Timer on ES Qualifying 1.7 Hot &amp; Cold Water Cooler</t>
  </si>
  <si>
    <t>ENERGY STAR 2.0 Hot &amp; Cold</t>
  </si>
  <si>
    <t>ES NON-QUALIFYING  Hot &amp; Cold (Cadmus)</t>
  </si>
  <si>
    <t>Average of ES Qualifying  Hot &amp; Cold</t>
  </si>
  <si>
    <t>Market Average Hot &amp; Cold Savings (kWh/year)</t>
  </si>
  <si>
    <t>Estimated Stock Share Hot &amp; Cold</t>
  </si>
  <si>
    <t>Estimated Sales Share Hot &amp; Cold</t>
  </si>
  <si>
    <t>Stock Average Hot &amp; Cold</t>
  </si>
  <si>
    <t>Market Average Hot and Cold</t>
  </si>
  <si>
    <t>Timer on Market Average Hot &amp; Cold Water Cooler</t>
  </si>
  <si>
    <t>Timer on Stock Average Hot &amp; Cold Water Cooler</t>
  </si>
  <si>
    <t>Life</t>
  </si>
  <si>
    <t>Timer on Non-Compliant ES1.7 Water Cooler</t>
  </si>
  <si>
    <t>ENERGY STAR Water Coolers Product List</t>
  </si>
  <si>
    <t>List Posted on October 26, 2012</t>
  </si>
  <si>
    <t>Below are currently qualified ENERGY STAR models available for sale in the U.S. and Canada.</t>
  </si>
  <si>
    <t>http://www.energystar.gov/index.cfm?fuseaction=find_a_product.showProductGroup&amp;pgw_code=WA</t>
  </si>
  <si>
    <t>ENERGY STAR Partner</t>
  </si>
  <si>
    <t>Brand</t>
  </si>
  <si>
    <t>Model Name</t>
  </si>
  <si>
    <t>Model Number</t>
  </si>
  <si>
    <t>Additional Model Information</t>
  </si>
  <si>
    <t>Product Type</t>
  </si>
  <si>
    <t>Water Source</t>
  </si>
  <si>
    <t>Standby Energy Consumption (kWh/day)</t>
  </si>
  <si>
    <t>Date Available On Market</t>
  </si>
  <si>
    <t>Date Qualified</t>
  </si>
  <si>
    <t>Aerus LLC</t>
  </si>
  <si>
    <t>Origins</t>
  </si>
  <si>
    <t>W175A</t>
  </si>
  <si>
    <t>Hot and Cold Unit</t>
  </si>
  <si>
    <t>Alpine Coolers</t>
  </si>
  <si>
    <t>Alpine</t>
  </si>
  <si>
    <t>3001</t>
  </si>
  <si>
    <t>Aurora</t>
  </si>
  <si>
    <t>Feel Well</t>
  </si>
  <si>
    <t>3001-OZ</t>
  </si>
  <si>
    <t>3001-UV</t>
  </si>
  <si>
    <t>3000</t>
  </si>
  <si>
    <t>3000-OZ</t>
  </si>
  <si>
    <t>3000-UV</t>
  </si>
  <si>
    <t>Avanti Products</t>
  </si>
  <si>
    <t>Avanti</t>
  </si>
  <si>
    <t>WDP75</t>
  </si>
  <si>
    <t>WHC59</t>
  </si>
  <si>
    <t>Clover Co., Ltd.</t>
  </si>
  <si>
    <t>Clover</t>
  </si>
  <si>
    <t>B14B</t>
  </si>
  <si>
    <t>Cook and Cold Unit</t>
  </si>
  <si>
    <t>B5C</t>
  </si>
  <si>
    <t>B7B</t>
  </si>
  <si>
    <t>SB5C</t>
  </si>
  <si>
    <t>B10B</t>
  </si>
  <si>
    <t>B9B</t>
  </si>
  <si>
    <t>B11A</t>
  </si>
  <si>
    <t>Bottled Water</t>
  </si>
  <si>
    <t>D14A</t>
  </si>
  <si>
    <t>Point Of Use (Tap Water Source)</t>
  </si>
  <si>
    <t>B14A</t>
  </si>
  <si>
    <t>B7A</t>
  </si>
  <si>
    <t>Clover; AQUVERSE</t>
  </si>
  <si>
    <t>D17A0</t>
  </si>
  <si>
    <t>5PH,5PH,</t>
  </si>
  <si>
    <t>B17A0</t>
  </si>
  <si>
    <t>Conair Corporation</t>
  </si>
  <si>
    <t>Cuisinart</t>
  </si>
  <si>
    <t>WCH1500</t>
  </si>
  <si>
    <t>Cuisinart Baby</t>
  </si>
  <si>
    <t>WCH1500BY</t>
  </si>
  <si>
    <t>Crystal Mountain Products Limited</t>
  </si>
  <si>
    <t>Crystal Mountain</t>
  </si>
  <si>
    <t>Glacier</t>
  </si>
  <si>
    <t>GLED2KTK1AC</t>
  </si>
  <si>
    <t>GLEC2WTW1AC</t>
  </si>
  <si>
    <t>GLED2RTR1AC</t>
  </si>
  <si>
    <t>GLED2WTW1AC</t>
  </si>
  <si>
    <t>Summit</t>
  </si>
  <si>
    <t>SUED2STS1AC</t>
  </si>
  <si>
    <t>ESED2*T*2#C</t>
  </si>
  <si>
    <t>The first "*" may be any alphanumeric character(A-Z or 0-9</t>
  </si>
  <si>
    <t>"#" may be any alphanumeric characters,A-Z or 0-9,; The second "*" may be any alphanumeric character,A-Z or 0-9,</t>
  </si>
  <si>
    <t>GLSC2WTW1AC</t>
  </si>
  <si>
    <t>GLSD2KTK1AC</t>
  </si>
  <si>
    <t>GLSD2WTW1AC</t>
  </si>
  <si>
    <t>GLEG2KTK2AC</t>
  </si>
  <si>
    <t>Mogul</t>
  </si>
  <si>
    <t>GLEG2WTW2AC</t>
  </si>
  <si>
    <t>Nevada</t>
  </si>
  <si>
    <t>NEEG2GTB2AC</t>
  </si>
  <si>
    <t>NEEG2GTL2AC</t>
  </si>
  <si>
    <t>SUED2STS2AC</t>
  </si>
  <si>
    <t>GLSC2WHW1AC</t>
  </si>
  <si>
    <t>GLSD2KHK1AC</t>
  </si>
  <si>
    <t>GLSD2WHW1AC</t>
  </si>
  <si>
    <t>ESED2*H*1#C</t>
  </si>
  <si>
    <t>GLEG2KHK2AC</t>
  </si>
  <si>
    <t>MOEG2WHW2AC</t>
  </si>
  <si>
    <t>NEEG2GHB2AC</t>
  </si>
  <si>
    <t>NEEG2GHD2AC</t>
  </si>
  <si>
    <t>NEEG2GHL2AC</t>
  </si>
  <si>
    <t>SUED2SHS2AC</t>
  </si>
  <si>
    <t>GLEC2WHW1AC</t>
  </si>
  <si>
    <t>GLED2KHK1AC</t>
  </si>
  <si>
    <t>GLED2RHR1AC</t>
  </si>
  <si>
    <t>GLED2WHW1AC</t>
  </si>
  <si>
    <t>SUED2SHS1AC</t>
  </si>
  <si>
    <t>ESED2*H*2#C</t>
  </si>
  <si>
    <t>Crystal Quest Manufacturing</t>
  </si>
  <si>
    <t>CRYSTAL QUEST</t>
  </si>
  <si>
    <t>Sharp Ultrafiltration Water Cooler</t>
  </si>
  <si>
    <t>CQE/WC-00909</t>
  </si>
  <si>
    <t>Turbo Ultrafiltration Water Cooler</t>
  </si>
  <si>
    <t>CQE/WC-00906</t>
  </si>
  <si>
    <t>Electrotemp Technologies, Inc.</t>
  </si>
  <si>
    <t>Electrotemp</t>
  </si>
  <si>
    <t>Colorado Springs</t>
  </si>
  <si>
    <t>CS-CK-300</t>
  </si>
  <si>
    <t>Cold Only Unit</t>
  </si>
  <si>
    <t>Black and Decker</t>
  </si>
  <si>
    <t>Top Loading</t>
  </si>
  <si>
    <t>7LIECK-W</t>
  </si>
  <si>
    <t>CSC-CK-300</t>
  </si>
  <si>
    <t>CSD-CK-300</t>
  </si>
  <si>
    <t>Vail</t>
  </si>
  <si>
    <t>VC-CK-400</t>
  </si>
  <si>
    <t>VD-CK-400</t>
  </si>
  <si>
    <t>7LIECK-*</t>
  </si>
  <si>
    <t>7LIECK-SC-*</t>
  </si>
  <si>
    <t>GLACIAL</t>
  </si>
  <si>
    <t>VIVA</t>
  </si>
  <si>
    <t>Aspen</t>
  </si>
  <si>
    <t>CK-102</t>
  </si>
  <si>
    <t>Bottom Loading</t>
  </si>
  <si>
    <t>8LIECK-W</t>
  </si>
  <si>
    <t>Bottom Loader</t>
  </si>
  <si>
    <t>10-001B</t>
  </si>
  <si>
    <t>CS-CK-301</t>
  </si>
  <si>
    <t>CSC-CH-300</t>
  </si>
  <si>
    <t>VC-CHK-400</t>
  </si>
  <si>
    <t>VD-CHK-400</t>
  </si>
  <si>
    <t>CSD-CH-300</t>
  </si>
  <si>
    <t>7LIECH-*</t>
  </si>
  <si>
    <t>7LIECH-SC-*</t>
  </si>
  <si>
    <t>10-030A</t>
  </si>
  <si>
    <t>CS-CH-310</t>
  </si>
  <si>
    <t>10-024</t>
  </si>
  <si>
    <t>8LIECH-BP</t>
  </si>
  <si>
    <t>8LIECH-BP-Z</t>
  </si>
  <si>
    <t>8LIECH-SSF-DCOS</t>
  </si>
  <si>
    <t>Viva</t>
  </si>
  <si>
    <t>8LIECH-SSF-COSUS</t>
  </si>
  <si>
    <t>7LIECH-SSF</t>
  </si>
  <si>
    <t>8LDIECH-*</t>
  </si>
  <si>
    <t>8LDIECH-SC-*</t>
  </si>
  <si>
    <t>8LIECH-*</t>
  </si>
  <si>
    <t>8LIECH-SC-*</t>
  </si>
  <si>
    <t>8LIECH-SCD-*</t>
  </si>
  <si>
    <t>Sharp</t>
  </si>
  <si>
    <t>SWD-T620-SS</t>
  </si>
  <si>
    <t>CS-CH-311</t>
  </si>
  <si>
    <t>Mont Blanc</t>
  </si>
  <si>
    <t>CH-1000</t>
  </si>
  <si>
    <t>CHK-1000</t>
  </si>
  <si>
    <t>SWD-50DH-WH</t>
  </si>
  <si>
    <t>8LCHK-*</t>
  </si>
  <si>
    <t>8LDIECHK-*</t>
  </si>
  <si>
    <t>8LDIECHK-SC-*</t>
  </si>
  <si>
    <t>8LIECHK-*</t>
  </si>
  <si>
    <t>8LIECHK-SC-*</t>
  </si>
  <si>
    <t>8LIECHK-SCD-*</t>
  </si>
  <si>
    <t>CH-102</t>
  </si>
  <si>
    <t>CHK-102</t>
  </si>
  <si>
    <t>SWD-65EH-GB</t>
  </si>
  <si>
    <t>SWD-70EH-BK</t>
  </si>
  <si>
    <t>SWD-70EHL-SL</t>
  </si>
  <si>
    <t>SWD-70EH-WH</t>
  </si>
  <si>
    <t>SWD-H810-SL</t>
  </si>
  <si>
    <t>SWD-H820D-SS</t>
  </si>
  <si>
    <t>SWD-T600-W</t>
  </si>
  <si>
    <t>SWD-T610-SL</t>
  </si>
  <si>
    <t>SWD-T700-W</t>
  </si>
  <si>
    <t>SWD-T710-SL</t>
  </si>
  <si>
    <t>SWD-75EHL-BD</t>
  </si>
  <si>
    <t>FilterPro (Zhongshan) Environmental Protection LLC</t>
  </si>
  <si>
    <t>FilterPro</t>
  </si>
  <si>
    <t>PWS-2000HCcde1gh</t>
  </si>
  <si>
    <t>Formosa Prosonic Equipment Sdn Bhd</t>
  </si>
  <si>
    <t>IGO</t>
  </si>
  <si>
    <t>F323</t>
  </si>
  <si>
    <t>F323K (compressor: CD124C-L1ZA)</t>
  </si>
  <si>
    <t>F528</t>
  </si>
  <si>
    <t>F528K (compressor: CD124C-L1ZA)</t>
  </si>
  <si>
    <t>F323K (compressor: CD124C-L1Z2)</t>
  </si>
  <si>
    <t>F528K (compressor CD124C-L1Z2)</t>
  </si>
  <si>
    <t>F323K (compressor: AES 25 DS)</t>
  </si>
  <si>
    <t>F528K (compressor AES 25 DS)</t>
  </si>
  <si>
    <t>F323H (compressor: AES 25 DS)</t>
  </si>
  <si>
    <t>F528H (compressor:AES 25 DS)</t>
  </si>
  <si>
    <t>Exclusive</t>
  </si>
  <si>
    <t>F828H</t>
  </si>
  <si>
    <t>F323H (compressor: CD124C- L1ZA)</t>
  </si>
  <si>
    <t>F528H (Compressor: CD124C-L1ZA)</t>
  </si>
  <si>
    <t>F323H (compressor: CD124C-L1Z2)</t>
  </si>
  <si>
    <t>F528H (compressor: CD124C-L1Z2)</t>
  </si>
  <si>
    <t>Foshan Shunde Midea Water Dispenser Manufacturing Co.,LTD</t>
  </si>
  <si>
    <t>GE Profile</t>
  </si>
  <si>
    <t>PXCP33SSS</t>
  </si>
  <si>
    <t>GE</t>
  </si>
  <si>
    <t>GXCF</t>
  </si>
  <si>
    <t>GXCF05DC</t>
  </si>
  <si>
    <t>GXCF05D</t>
  </si>
  <si>
    <t>GE Appliances and Lighting</t>
  </si>
  <si>
    <t>GXCF03KWW</t>
  </si>
  <si>
    <t>Profile</t>
  </si>
  <si>
    <t>PXCF</t>
  </si>
  <si>
    <t>PXCF22RBS</t>
  </si>
  <si>
    <t>PXCR</t>
  </si>
  <si>
    <t>PXCR33KSS</t>
  </si>
  <si>
    <t>Greenway Home Products Inc.</t>
  </si>
  <si>
    <t>Polar</t>
  </si>
  <si>
    <t>Water Cooler</t>
  </si>
  <si>
    <t>PWD1005BLS</t>
  </si>
  <si>
    <t>Greenway</t>
  </si>
  <si>
    <t>VWD5906W</t>
  </si>
  <si>
    <t>VWD5206W</t>
  </si>
  <si>
    <t>Watermaxx</t>
  </si>
  <si>
    <t>WWD224W</t>
  </si>
  <si>
    <t>PWD6445BLS</t>
  </si>
  <si>
    <t>Vitapur</t>
  </si>
  <si>
    <t>VWD1066BLS</t>
  </si>
  <si>
    <t>VWD5446BLS</t>
  </si>
  <si>
    <t>GWD6960BLS</t>
  </si>
  <si>
    <t>Presidents Choice</t>
  </si>
  <si>
    <t>PC-6B</t>
  </si>
  <si>
    <t>VWD6956BLS</t>
  </si>
  <si>
    <t>VWD5276BLK</t>
  </si>
  <si>
    <t>VWD5276W</t>
  </si>
  <si>
    <t>PWD5975BLS</t>
  </si>
  <si>
    <t>PWD5975W</t>
  </si>
  <si>
    <t>GWD5960BLS</t>
  </si>
  <si>
    <t>GWD5960W</t>
  </si>
  <si>
    <t>VWD5956BLS</t>
  </si>
  <si>
    <t>VWD5976BL</t>
  </si>
  <si>
    <t>GWD860W-3</t>
  </si>
  <si>
    <t>VWD866W-2</t>
  </si>
  <si>
    <t>VWD4656W</t>
  </si>
  <si>
    <t>VWD4656W-1</t>
  </si>
  <si>
    <t>GWD2630W</t>
  </si>
  <si>
    <t>PWD2635W</t>
  </si>
  <si>
    <t>VWD2636GRN</t>
  </si>
  <si>
    <t>VWD2636RED</t>
  </si>
  <si>
    <t>VWD2636W</t>
  </si>
  <si>
    <t>GWD4650W</t>
  </si>
  <si>
    <t>VWD8956BLS</t>
  </si>
  <si>
    <t>PWD8975BLS</t>
  </si>
  <si>
    <t>PWD8975W</t>
  </si>
  <si>
    <t>VWD8956W</t>
  </si>
  <si>
    <t>VWD146W-2</t>
  </si>
  <si>
    <t>PWD325W-2</t>
  </si>
  <si>
    <t>Garrison</t>
  </si>
  <si>
    <t>GAR1007W (043-1891)</t>
  </si>
  <si>
    <t>GAR1008BLS (043-1892)</t>
  </si>
  <si>
    <t>GWD160W</t>
  </si>
  <si>
    <t>PWD165W-2</t>
  </si>
  <si>
    <t>GWD200W-2</t>
  </si>
  <si>
    <t>VWD206W-2</t>
  </si>
  <si>
    <t>PWD255W-2</t>
  </si>
  <si>
    <t>VWD2266W</t>
  </si>
  <si>
    <t>PWD785BLS</t>
  </si>
  <si>
    <t>Haier America</t>
  </si>
  <si>
    <t>Haier</t>
  </si>
  <si>
    <t>Bottom Feed</t>
  </si>
  <si>
    <t>WDBF01B</t>
  </si>
  <si>
    <t>WDBF01S</t>
  </si>
  <si>
    <t>WDBF01W</t>
  </si>
  <si>
    <t>WDNS32**</t>
  </si>
  <si>
    <t>WDNS115***</t>
  </si>
  <si>
    <t>WDNT145S</t>
  </si>
  <si>
    <t>ZWDNT145S</t>
  </si>
  <si>
    <t>HYUNDAI Wacor Tec. Co., Ltd</t>
  </si>
  <si>
    <t>Hyundai</t>
  </si>
  <si>
    <t>Juliet 3</t>
  </si>
  <si>
    <t>Juliet 1</t>
  </si>
  <si>
    <t>Poseidon</t>
  </si>
  <si>
    <t>IGO Direct</t>
  </si>
  <si>
    <t>iGo</t>
  </si>
  <si>
    <t>F730HB010-EBWX</t>
  </si>
  <si>
    <t>BSS</t>
  </si>
  <si>
    <t>BSSES210EZ</t>
  </si>
  <si>
    <t>F528H</t>
  </si>
  <si>
    <t>without mask</t>
  </si>
  <si>
    <t>F323H,F323H,; F528H,with full mask,; F728H,F728H,</t>
  </si>
  <si>
    <t>F528K</t>
  </si>
  <si>
    <t>F323K,F323K,; F528K,with full mask,; F728K,F728K,</t>
  </si>
  <si>
    <t>Innovation Plus</t>
  </si>
  <si>
    <t>LITTLE LUXURY</t>
  </si>
  <si>
    <t>LLVF1</t>
  </si>
  <si>
    <t>Kemflo (Nanjing) Environmental Technical</t>
  </si>
  <si>
    <t>Whirlpool</t>
  </si>
  <si>
    <t>09D250030211</t>
  </si>
  <si>
    <t>WHKMD25</t>
  </si>
  <si>
    <t>09D450020590</t>
  </si>
  <si>
    <t>WHKMD45</t>
  </si>
  <si>
    <t>09B10P0040599</t>
  </si>
  <si>
    <t>WHKMB10P</t>
  </si>
  <si>
    <t>Kool Tek LLC</t>
  </si>
  <si>
    <t>Kool Tek</t>
  </si>
  <si>
    <t>CHCW/CHCB</t>
  </si>
  <si>
    <t>MYLG1585T</t>
  </si>
  <si>
    <t>CCCW/CCCB</t>
  </si>
  <si>
    <t>MYLGd1585T</t>
  </si>
  <si>
    <t>FCCW2/FCCB2</t>
  </si>
  <si>
    <t>BFHCW4</t>
  </si>
  <si>
    <t>MYL937S</t>
  </si>
  <si>
    <t>FHCW2/FHCB2</t>
  </si>
  <si>
    <t>Natural Choice Corporation</t>
  </si>
  <si>
    <t>Ion</t>
  </si>
  <si>
    <t>900</t>
  </si>
  <si>
    <t>901</t>
  </si>
  <si>
    <t>903</t>
  </si>
  <si>
    <t>902</t>
  </si>
  <si>
    <t>904</t>
  </si>
  <si>
    <t>905</t>
  </si>
  <si>
    <t>Nestle Waters North America</t>
  </si>
  <si>
    <t>NESTLE</t>
  </si>
  <si>
    <t>Drink Water Cooler</t>
  </si>
  <si>
    <t>SOVWB110ESBR</t>
  </si>
  <si>
    <t>VW110ES</t>
  </si>
  <si>
    <t>SORTOPPB210</t>
  </si>
  <si>
    <t>SORTOPPW210</t>
  </si>
  <si>
    <t>SORTP210ESNS</t>
  </si>
  <si>
    <t>SOVWB210ESBR</t>
  </si>
  <si>
    <t>VW210ES</t>
  </si>
  <si>
    <t>Ningbo Hicon International Industry Co., Ltd.</t>
  </si>
  <si>
    <t>HICON</t>
  </si>
  <si>
    <t>YL2-27CH2</t>
  </si>
  <si>
    <t>YLR2-5-67CH3</t>
  </si>
  <si>
    <t>YLR2-5-24H2</t>
  </si>
  <si>
    <t>YLR2-5-25H2</t>
  </si>
  <si>
    <t>Oasis International</t>
  </si>
  <si>
    <t>Oasis</t>
  </si>
  <si>
    <t>P1PVSK</t>
  </si>
  <si>
    <t>BPA1SK</t>
  </si>
  <si>
    <t>BPD1SK</t>
  </si>
  <si>
    <t>BPO1SK</t>
  </si>
  <si>
    <t>BSA1SK</t>
  </si>
  <si>
    <t>POUD1SK</t>
  </si>
  <si>
    <t>P1PVHSK</t>
  </si>
  <si>
    <t>POUSA1SHS</t>
  </si>
  <si>
    <t>POC2LRHK</t>
  </si>
  <si>
    <t>POU2LRHK</t>
  </si>
  <si>
    <t>POVC2LRHK</t>
  </si>
  <si>
    <t>BSA1SHS</t>
  </si>
  <si>
    <t>OASI-528DU01</t>
  </si>
  <si>
    <t>OASI-528DZ01</t>
  </si>
  <si>
    <t>OASIS</t>
  </si>
  <si>
    <t>BPA1SHS</t>
  </si>
  <si>
    <t>BPD1SHS</t>
  </si>
  <si>
    <t>BPO1SHS</t>
  </si>
  <si>
    <t>BSE1SHS</t>
  </si>
  <si>
    <t>B1NRHS</t>
  </si>
  <si>
    <t>B1RRHS</t>
  </si>
  <si>
    <t>B1SRHS</t>
  </si>
  <si>
    <t>POUD1SHS</t>
  </si>
  <si>
    <t>BR1CTHS</t>
  </si>
  <si>
    <t>B1CCTHS</t>
  </si>
  <si>
    <t>BLF1CTHS</t>
  </si>
  <si>
    <t>POUSE1SHS</t>
  </si>
  <si>
    <t>POU1CCTHS</t>
  </si>
  <si>
    <t>OASI-582DU01</t>
  </si>
  <si>
    <t>Primo Water Corporation</t>
  </si>
  <si>
    <t>Primo</t>
  </si>
  <si>
    <t>900127</t>
  </si>
  <si>
    <t>601088</t>
  </si>
  <si>
    <t>601089,601089,; 601090,601090,</t>
  </si>
  <si>
    <t>900113</t>
  </si>
  <si>
    <t>900133</t>
  </si>
  <si>
    <t>900135</t>
  </si>
  <si>
    <t>900146</t>
  </si>
  <si>
    <t>900159</t>
  </si>
  <si>
    <t>900185</t>
  </si>
  <si>
    <t>601000</t>
  </si>
  <si>
    <t>900129A</t>
  </si>
  <si>
    <t>900149A</t>
  </si>
  <si>
    <t>900178A</t>
  </si>
  <si>
    <t>900138A</t>
  </si>
  <si>
    <t>900139A</t>
  </si>
  <si>
    <t>900143A</t>
  </si>
  <si>
    <t>900161A</t>
  </si>
  <si>
    <t>900162A</t>
  </si>
  <si>
    <t>601001</t>
  </si>
  <si>
    <t>900145</t>
  </si>
  <si>
    <t>900149</t>
  </si>
  <si>
    <t>900172</t>
  </si>
  <si>
    <t xml:space="preserve">Bottom Loading </t>
  </si>
  <si>
    <t>900178</t>
  </si>
  <si>
    <t>900116</t>
  </si>
  <si>
    <t>900142</t>
  </si>
  <si>
    <t>900129</t>
  </si>
  <si>
    <t>900136</t>
  </si>
  <si>
    <t>900152</t>
  </si>
  <si>
    <t>Bottom Load Cooler</t>
  </si>
  <si>
    <t>900157</t>
  </si>
  <si>
    <t xml:space="preserve">Top Loading </t>
  </si>
  <si>
    <t>900143</t>
  </si>
  <si>
    <t>900161</t>
  </si>
  <si>
    <t>900162</t>
  </si>
  <si>
    <t>900144</t>
  </si>
  <si>
    <t>Top Load Cooler</t>
  </si>
  <si>
    <t>900158</t>
  </si>
  <si>
    <t>900138</t>
  </si>
  <si>
    <t>900139</t>
  </si>
  <si>
    <t>900105</t>
  </si>
  <si>
    <t>900118</t>
  </si>
  <si>
    <t>900119</t>
  </si>
  <si>
    <t>900128</t>
  </si>
  <si>
    <t>900130</t>
  </si>
  <si>
    <t>900134</t>
  </si>
  <si>
    <t>900137</t>
  </si>
  <si>
    <t>900183</t>
  </si>
  <si>
    <t>900184</t>
  </si>
  <si>
    <t>Pure Health Solutions, Inc</t>
  </si>
  <si>
    <t>Interpure</t>
  </si>
  <si>
    <t>Interpure Countertop IP1</t>
  </si>
  <si>
    <t>IPC1U</t>
  </si>
  <si>
    <t>IP1U</t>
  </si>
  <si>
    <t>Interpure Countertop IP2</t>
  </si>
  <si>
    <t>IPC2U</t>
  </si>
  <si>
    <t>IP2U</t>
  </si>
  <si>
    <t>Generation 3</t>
  </si>
  <si>
    <t>PWI</t>
  </si>
  <si>
    <t>PWIMB-ES</t>
  </si>
  <si>
    <t>PWIM-ES</t>
  </si>
  <si>
    <t>PWIRB-ES</t>
  </si>
  <si>
    <t>PWIR-ES</t>
  </si>
  <si>
    <t>QIDI Electric Group Co. Ltd.</t>
  </si>
  <si>
    <t>QIDI</t>
  </si>
  <si>
    <t>YLR2</t>
  </si>
  <si>
    <t>YL2-V116</t>
  </si>
  <si>
    <t>YL2-V116c</t>
  </si>
  <si>
    <t>YLR1</t>
  </si>
  <si>
    <t>YLR1-5-D12a</t>
  </si>
  <si>
    <t>YLR2-5-V202B</t>
  </si>
  <si>
    <t>YLR2-5-V116A</t>
  </si>
  <si>
    <t>YLR2-5-V116</t>
  </si>
  <si>
    <t>YLR2-5-V116c</t>
  </si>
  <si>
    <t>Quench USA Inc.</t>
  </si>
  <si>
    <t>Quench 720</t>
  </si>
  <si>
    <t>210UV</t>
  </si>
  <si>
    <t>720</t>
  </si>
  <si>
    <t>Vertex Water Products</t>
  </si>
  <si>
    <t>VERTEX</t>
  </si>
  <si>
    <t>PureWaterCooler</t>
  </si>
  <si>
    <t>PWC-450</t>
  </si>
  <si>
    <t>Pure Water Cooler</t>
  </si>
  <si>
    <t>PWC-600</t>
  </si>
  <si>
    <t>PWC-2000F</t>
  </si>
  <si>
    <t>PWC-1500A</t>
  </si>
  <si>
    <t>PWC-7000</t>
  </si>
  <si>
    <t>PWC-500A</t>
  </si>
  <si>
    <t>PWC-3500</t>
  </si>
  <si>
    <t>PWC-1800A</t>
  </si>
  <si>
    <t>PWC-1000A</t>
  </si>
  <si>
    <t>Water Solutions (Hong Kong) Limited</t>
  </si>
  <si>
    <t>MTN</t>
  </si>
  <si>
    <t>Reflections</t>
  </si>
  <si>
    <t>RW110</t>
  </si>
  <si>
    <t>Visions</t>
  </si>
  <si>
    <t>VW110</t>
  </si>
  <si>
    <t>RC110</t>
  </si>
  <si>
    <t>DW110ES</t>
  </si>
  <si>
    <t>DW110EZES</t>
  </si>
  <si>
    <t>MTN Inspiration</t>
  </si>
  <si>
    <t>IB110ES</t>
  </si>
  <si>
    <t>IB110EZES</t>
  </si>
  <si>
    <t>IB110LXES</t>
  </si>
  <si>
    <t>IB110LXEZES</t>
  </si>
  <si>
    <t>IW110ES</t>
  </si>
  <si>
    <t>IW110EZES</t>
  </si>
  <si>
    <t>IW110LXES</t>
  </si>
  <si>
    <t>IW110LXEZES</t>
  </si>
  <si>
    <t>MTN Reflection</t>
  </si>
  <si>
    <t>RB110ES</t>
  </si>
  <si>
    <t>RB110EZES</t>
  </si>
  <si>
    <t>RP110ES</t>
  </si>
  <si>
    <t>RS110EZES</t>
  </si>
  <si>
    <t>RW110ES</t>
  </si>
  <si>
    <t>RW110EZES</t>
  </si>
  <si>
    <t>MTN Vision</t>
  </si>
  <si>
    <t>VB110ES</t>
  </si>
  <si>
    <t>VB110EZ</t>
  </si>
  <si>
    <t>VB110EZES</t>
  </si>
  <si>
    <t>VB110LXES</t>
  </si>
  <si>
    <t>VB110LXEZES</t>
  </si>
  <si>
    <t>VW110EZES</t>
  </si>
  <si>
    <t>VW110LXES</t>
  </si>
  <si>
    <t>VW110LXEZES</t>
  </si>
  <si>
    <t>GNB210i-SIP</t>
  </si>
  <si>
    <t>GNB210,GNB210,; GNB210i,GNB210i,; GNW210,GNW210,; GNW210i,GNW210i,; GNW210i-SIP,GNW210i-SIP,</t>
  </si>
  <si>
    <t>GNB215i-SIP</t>
  </si>
  <si>
    <t>GNB215,GNB215,; GNB215i,GNB215i,; GNW215,GNW215,; GNW215i,GNW215i,; GNW215i-SIP,GNW215i-SIP,</t>
  </si>
  <si>
    <t>GCB215i-SIP</t>
  </si>
  <si>
    <t>GCB215,GCB215,; GCB215i,GCB215i,; GCW215,GCW215,; GCW215i,GCW215i,; GCW215i-SIP,GCW215i-SIP,</t>
  </si>
  <si>
    <t>HW2151G</t>
  </si>
  <si>
    <t>HB2151G,HB2151G,; HB2151G-SIP,HB2151G-SIP,; HB2153G,HB2153G,; HB2153G-SIP,HB2153G-SIP,; HW2151G-SIP,HW2151G-SIP,; HW2153G,HW2153G,; HW2153G-SIP,HW2153G-SIP,</t>
  </si>
  <si>
    <t>GCB210i-SIP</t>
  </si>
  <si>
    <t>GCB210,GCB210,; GCB210i,GCB210i,; GCW210,GCW210,; GCW210i,GCW210i,; GCW210i-SIP,GCW210i-SIP,</t>
  </si>
  <si>
    <t>DW215ES</t>
  </si>
  <si>
    <t>IB215ES</t>
  </si>
  <si>
    <t>IB215LXES</t>
  </si>
  <si>
    <t>IW215ES</t>
  </si>
  <si>
    <t>IW215LXES</t>
  </si>
  <si>
    <t>RB215ES</t>
  </si>
  <si>
    <t>RP215ES</t>
  </si>
  <si>
    <t>RS215ES</t>
  </si>
  <si>
    <t>RW215ES</t>
  </si>
  <si>
    <t>VB215ES</t>
  </si>
  <si>
    <t>VB215LXES</t>
  </si>
  <si>
    <t>VW215ES</t>
  </si>
  <si>
    <t>VW215LXES</t>
  </si>
  <si>
    <t>RB210</t>
  </si>
  <si>
    <t>RB210EZ</t>
  </si>
  <si>
    <t>RP210</t>
  </si>
  <si>
    <t>RP210EZ</t>
  </si>
  <si>
    <t>RS210</t>
  </si>
  <si>
    <t>RS210EZ</t>
  </si>
  <si>
    <t>RW210</t>
  </si>
  <si>
    <t>RW210EZ</t>
  </si>
  <si>
    <t>VB210</t>
  </si>
  <si>
    <t>VB210EZ</t>
  </si>
  <si>
    <t>VBLX210</t>
  </si>
  <si>
    <t>VBLX210EZ</t>
  </si>
  <si>
    <t>VW210</t>
  </si>
  <si>
    <t>VW210EZ</t>
  </si>
  <si>
    <t>VWLX210</t>
  </si>
  <si>
    <t>VWLX210EZ</t>
  </si>
  <si>
    <t>DW210ESS</t>
  </si>
  <si>
    <t>DW210EZESS</t>
  </si>
  <si>
    <t>DW215ESS</t>
  </si>
  <si>
    <t>IB210ESS</t>
  </si>
  <si>
    <t>IB210EZESS</t>
  </si>
  <si>
    <t>IB210LXESS</t>
  </si>
  <si>
    <t>IB210LXEZESS</t>
  </si>
  <si>
    <t>IB215ESS</t>
  </si>
  <si>
    <t>IB215LXESS</t>
  </si>
  <si>
    <t>IW210ESS</t>
  </si>
  <si>
    <t>IW210EZESS</t>
  </si>
  <si>
    <t>IW210LXESS</t>
  </si>
  <si>
    <t>IW210LXEZESS</t>
  </si>
  <si>
    <t>IW215ESS</t>
  </si>
  <si>
    <t>IW215LXESS</t>
  </si>
  <si>
    <t>RB210ESS</t>
  </si>
  <si>
    <t>RB210EZESS</t>
  </si>
  <si>
    <t>RB215ESS</t>
  </si>
  <si>
    <t>RP210ESS</t>
  </si>
  <si>
    <t>RP210EZESS</t>
  </si>
  <si>
    <t>RP215ESS</t>
  </si>
  <si>
    <t>RS210ESS</t>
  </si>
  <si>
    <t>RS210EZESS</t>
  </si>
  <si>
    <t>RS215ESS</t>
  </si>
  <si>
    <t>RW210ESS</t>
  </si>
  <si>
    <t>RW210EZESS</t>
  </si>
  <si>
    <t>RW215ESS</t>
  </si>
  <si>
    <t>VB210ESS</t>
  </si>
  <si>
    <t>VB210EZESS</t>
  </si>
  <si>
    <t>VB210LXESS</t>
  </si>
  <si>
    <t>VB210LXEZESS</t>
  </si>
  <si>
    <t>VB215ESS</t>
  </si>
  <si>
    <t>VB215LXESS</t>
  </si>
  <si>
    <t>VW210ESS</t>
  </si>
  <si>
    <t>VW210EZESS</t>
  </si>
  <si>
    <t>VW210LXESS</t>
  </si>
  <si>
    <t>VW210LXEZESS</t>
  </si>
  <si>
    <t>VW215ESS</t>
  </si>
  <si>
    <t>VW215LXESS</t>
  </si>
  <si>
    <t>DW210ES</t>
  </si>
  <si>
    <t>DW210EZES</t>
  </si>
  <si>
    <t>IB210ES</t>
  </si>
  <si>
    <t>IB210EZES</t>
  </si>
  <si>
    <t>IB210LXES</t>
  </si>
  <si>
    <t>IB210LXEZES</t>
  </si>
  <si>
    <t>IW210ES</t>
  </si>
  <si>
    <t>IW210EZES</t>
  </si>
  <si>
    <t>IW210LXES</t>
  </si>
  <si>
    <t>IW210LXEZES</t>
  </si>
  <si>
    <t>RB210ES</t>
  </si>
  <si>
    <t>RB210EZES</t>
  </si>
  <si>
    <t>RP210ES</t>
  </si>
  <si>
    <t>RP210EZES</t>
  </si>
  <si>
    <t>RS210ES</t>
  </si>
  <si>
    <t>RS210EZES</t>
  </si>
  <si>
    <t>RW210ES</t>
  </si>
  <si>
    <t>RW210EZES</t>
  </si>
  <si>
    <t>VB210ES</t>
  </si>
  <si>
    <t>VB210EZES</t>
  </si>
  <si>
    <t>VB210LXES</t>
  </si>
  <si>
    <t>VB210LXEZES</t>
  </si>
  <si>
    <t>VW210EZES</t>
  </si>
  <si>
    <t>VW210LXES</t>
  </si>
  <si>
    <t>VW210LXEZES</t>
  </si>
  <si>
    <t>Waterlogic International, LTD</t>
  </si>
  <si>
    <t>Waterlogic</t>
  </si>
  <si>
    <t>F-2FW-FS-C-TT-CS-WLT</t>
  </si>
  <si>
    <t>Culligan</t>
  </si>
  <si>
    <t>12-WL2200-CUL</t>
  </si>
  <si>
    <t>F-1000-FS-HCA-ROP-CS-WLS</t>
  </si>
  <si>
    <t>F-2000-FS-HC-DC-CS-WLF</t>
  </si>
  <si>
    <t>12-WL2100-CUL</t>
  </si>
  <si>
    <t>Innowave</t>
  </si>
  <si>
    <t>12-CHCFW3</t>
  </si>
  <si>
    <t>12-CHCU3</t>
  </si>
  <si>
    <t>12-CHCMU3,12-CHCMU3,; 12-RC-1,12-RC-1,; 12-RC-2,12-RC-2,; 12-RCP-1,12-RCP-1,; 12CHCMU3-ARA,12CHCMU3-ARA,; IIHCRC,IIHCRC,; IIMHCRC,IIMHCRC,; XFTS1,XFTS1,; XHH,XHH,</t>
  </si>
  <si>
    <t>19-GU-BLU</t>
  </si>
  <si>
    <t>F-2FW-FS-HC-TT-CS-WLT</t>
  </si>
  <si>
    <t>Young One Corporation</t>
  </si>
  <si>
    <t>Aquaria</t>
  </si>
  <si>
    <t>YP-F30</t>
  </si>
  <si>
    <t>YP-F3S</t>
  </si>
  <si>
    <t>YP-F3U</t>
  </si>
  <si>
    <t>YP-E30</t>
  </si>
  <si>
    <t>YP-E3S</t>
  </si>
  <si>
    <t>YP-E3U</t>
  </si>
  <si>
    <t>Average of Standby Energy Consumption (kWh/day)2</t>
  </si>
  <si>
    <t>Count of Standby Energy Consumption (kWh/day)</t>
  </si>
  <si>
    <t>Column Labels</t>
  </si>
  <si>
    <t>Row Labels</t>
  </si>
  <si>
    <t>Grand Total</t>
  </si>
  <si>
    <t>ENERGY STAR</t>
  </si>
  <si>
    <t>Research of Maggie Lahet</t>
  </si>
  <si>
    <t>Derek Stattin</t>
  </si>
  <si>
    <t>ASAP</t>
  </si>
  <si>
    <t>Cadmus Study for CA</t>
  </si>
  <si>
    <t>OR and WA State Standards</t>
  </si>
  <si>
    <t>Short Name</t>
  </si>
  <si>
    <t>Link</t>
  </si>
  <si>
    <t>Personal Communication</t>
  </si>
  <si>
    <t>Hawaii Energy and Cadmus Report for CA</t>
  </si>
  <si>
    <t xml:space="preserve">Data files are here:  </t>
  </si>
  <si>
    <t>Water Cooler Controller</t>
  </si>
  <si>
    <t>CG</t>
  </si>
  <si>
    <t>Final Stock Estimate and Forecast</t>
  </si>
  <si>
    <t>With Timer Control (kWh/day)</t>
  </si>
  <si>
    <t>Baseline Standby Losses (kWh/day)</t>
  </si>
  <si>
    <t>Estimates of Standby Loss</t>
  </si>
  <si>
    <t>Standby Annual</t>
  </si>
  <si>
    <t>Total Consumption Annual</t>
  </si>
  <si>
    <t>Delta T Annual</t>
  </si>
  <si>
    <t>Consumption (aMW)</t>
  </si>
  <si>
    <t>Savings (aMW)</t>
  </si>
  <si>
    <t>Stock Estimate</t>
  </si>
  <si>
    <t xml:space="preserve">Average Baseline Standby kWh/day </t>
  </si>
  <si>
    <t>Average Savings in kWh/day</t>
  </si>
  <si>
    <t>Market Average to ES 2.0 Upgrade</t>
  </si>
  <si>
    <t>New Incremental Sales Estimate (Annual)</t>
  </si>
  <si>
    <t>Shaped Savings Results; By Category and sorted by TRC BC ratio</t>
  </si>
  <si>
    <t>Savings Allocation by Category and Month for Segments 1</t>
  </si>
  <si>
    <t>Savings Allocation by Category and Month for Segments 2</t>
  </si>
  <si>
    <t>Busbar Savings</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</si>
  <si>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</si>
  <si>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</si>
  <si>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</si>
  <si>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</si>
  <si>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</si>
  <si>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</si>
  <si>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</si>
  <si>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</si>
  <si>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</si>
  <si>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</si>
  <si>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Wholesale KW</t>
  </si>
  <si>
    <t>Jan</t>
  </si>
  <si>
    <t>Feb</t>
  </si>
  <si>
    <t>Mar</t>
  </si>
  <si>
    <t>Apr</t>
  </si>
  <si>
    <t>May</t>
  </si>
  <si>
    <t>Jun</t>
  </si>
  <si>
    <t>Jul</t>
  </si>
  <si>
    <t>Aug</t>
  </si>
  <si>
    <t>Sep</t>
  </si>
  <si>
    <t>Oct</t>
  </si>
  <si>
    <t>Nov</t>
  </si>
  <si>
    <t>Dec</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</si>
  <si>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</si>
  <si>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</si>
  <si>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</si>
  <si>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</si>
  <si>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</si>
  <si>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</si>
  <si>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</si>
  <si>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</si>
  <si>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</si>
  <si>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</si>
  <si>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</si>
  <si>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</si>
  <si>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</si>
  <si>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</si>
  <si>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</si>
  <si>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</si>
  <si>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</si>
  <si>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</si>
  <si>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</si>
  <si>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</si>
  <si>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</si>
  <si>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</si>
  <si>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</si>
  <si>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</si>
  <si>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</si>
  <si>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</si>
  <si>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</si>
  <si>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</si>
  <si>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</si>
  <si>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</si>
  <si>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</si>
  <si>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</si>
  <si>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</si>
  <si>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</si>
  <si>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</si>
  <si>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</si>
  <si>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</si>
  <si>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</si>
  <si>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</si>
  <si>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</si>
  <si>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</si>
  <si>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</si>
  <si>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</si>
  <si>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</si>
  <si>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</si>
  <si>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</si>
  <si>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</si>
  <si>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</si>
  <si>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</si>
  <si>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</si>
  <si>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</si>
  <si>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</si>
  <si>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</si>
  <si>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</si>
  <si>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</si>
  <si>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</si>
  <si>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</si>
  <si>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</si>
  <si>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</si>
  <si>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</si>
  <si>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</si>
  <si>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</si>
  <si>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</si>
  <si>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</si>
  <si>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</si>
  <si>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</si>
  <si>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</si>
  <si>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</si>
  <si>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</si>
  <si>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</si>
  <si>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</si>
  <si>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</si>
  <si>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</si>
  <si>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</si>
  <si>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</si>
  <si>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</si>
  <si>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</si>
  <si>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</si>
  <si>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</si>
  <si>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</si>
  <si>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</si>
  <si>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</si>
  <si>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</si>
  <si>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</si>
  <si>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</si>
  <si>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</si>
  <si>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</si>
  <si>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</si>
  <si>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</si>
  <si>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</si>
  <si>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</si>
  <si>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</si>
  <si>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</si>
  <si>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</si>
  <si>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</si>
  <si>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</si>
  <si>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</si>
  <si>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</si>
  <si>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</si>
  <si>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</si>
  <si>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</si>
  <si>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</si>
  <si>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</si>
  <si>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</si>
  <si>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</si>
  <si>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</si>
  <si>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</si>
  <si>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</si>
  <si>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</si>
  <si>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</si>
  <si>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</si>
  <si>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</si>
  <si>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</si>
  <si>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</si>
  <si>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</si>
  <si>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</si>
  <si>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</si>
  <si>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</si>
  <si>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</si>
  <si>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</si>
  <si>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</si>
  <si>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</si>
  <si>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</si>
  <si>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</si>
  <si>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</si>
  <si>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</si>
  <si>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</si>
  <si>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</si>
  <si>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</si>
  <si>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</si>
  <si>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</si>
  <si>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</si>
  <si>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</si>
  <si>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</si>
  <si>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</si>
  <si>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</si>
  <si>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</si>
  <si>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</si>
  <si>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</si>
  <si>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</si>
  <si>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</si>
  <si>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</si>
  <si>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</si>
  <si>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</si>
  <si>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</si>
  <si>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</si>
  <si>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</si>
  <si>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</si>
  <si>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</si>
  <si>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</si>
  <si>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</si>
  <si>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</si>
  <si>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</si>
  <si>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</si>
  <si>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</si>
  <si>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</si>
  <si>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</si>
  <si>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</si>
  <si>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</si>
  <si>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</si>
  <si>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</si>
  <si>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</si>
  <si>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</si>
  <si>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</si>
  <si>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</si>
  <si>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</si>
  <si>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</si>
  <si>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</si>
  <si>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</si>
  <si>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</si>
  <si>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</si>
  <si>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</si>
  <si>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</si>
  <si>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</si>
  <si>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</si>
  <si>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</si>
  <si>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</si>
  <si>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</si>
  <si>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</si>
  <si>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</si>
  <si>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</si>
  <si>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</si>
  <si>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</si>
  <si>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</si>
  <si>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</si>
  <si>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</si>
  <si>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</si>
  <si>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</si>
  <si>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</si>
  <si>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</si>
  <si>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</si>
  <si>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</si>
  <si>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</si>
  <si>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</si>
  <si>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</si>
  <si>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</si>
  <si>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</si>
  <si>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</si>
  <si>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</si>
  <si>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</si>
  <si>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</si>
  <si>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</si>
  <si>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This includes both residential and commercial units.  Unknown split between residential and commercial.</t>
  </si>
  <si>
    <t>Type of Water Cooler</t>
  </si>
  <si>
    <t xml:space="preserve">2010 U.S. consumpion </t>
  </si>
  <si>
    <t>1.2 billion gallons</t>
  </si>
  <si>
    <t xml:space="preserve">&lt;-- if all are 5 gallon bottles </t>
  </si>
  <si>
    <t>2001 U.S. dept of congress reports 1 million sales of water coolers per year</t>
  </si>
  <si>
    <t>service</t>
  </si>
  <si>
    <t>type</t>
  </si>
  <si>
    <t>annual U.S. sales</t>
  </si>
  <si>
    <t>Annual California Sales</t>
  </si>
  <si>
    <t>Annual NW Sales</t>
  </si>
  <si>
    <t xml:space="preserve">California Stock </t>
  </si>
  <si>
    <t>U.S. Stock</t>
  </si>
  <si>
    <t xml:space="preserve">NW Stock </t>
  </si>
  <si>
    <t xml:space="preserve">% of type </t>
  </si>
  <si>
    <t xml:space="preserve">Hot and Cold </t>
  </si>
  <si>
    <t>Bottled and POU</t>
  </si>
  <si>
    <t xml:space="preserve">Cold Only </t>
  </si>
  <si>
    <t>Pressurized</t>
  </si>
  <si>
    <t>just POU and Bottled</t>
  </si>
  <si>
    <t>Typcial Dispenser Energy Components (kWh/day)</t>
  </si>
  <si>
    <t>Dispenser type</t>
  </si>
  <si>
    <t>useful cooling energy</t>
  </si>
  <si>
    <t>useful heating energy</t>
  </si>
  <si>
    <t>standby losses (cold only unit)</t>
  </si>
  <si>
    <t>standby losses (hot and cold unit)</t>
  </si>
  <si>
    <t xml:space="preserve">Bottled </t>
  </si>
  <si>
    <t>POU</t>
  </si>
  <si>
    <t>----</t>
  </si>
  <si>
    <t>---</t>
  </si>
  <si>
    <r>
      <t xml:space="preserve">Energy-Efficiency Criteria for ENERGY STAR Certified Water Coolers Using the "On Mode with No Water Draw" Test </t>
    </r>
    <r>
      <rPr>
        <sz val="10"/>
        <color theme="1"/>
        <rFont val="Arial"/>
        <family val="2"/>
      </rPr>
      <t xml:space="preserve">&lt;--- offical test method for water coolers </t>
    </r>
  </si>
  <si>
    <t xml:space="preserve">water cooler category </t>
  </si>
  <si>
    <t xml:space="preserve">Qualification Level </t>
  </si>
  <si>
    <t>Cold Only or Cook and Cold Units</t>
  </si>
  <si>
    <t>&lt;= .16 kWh/day</t>
  </si>
  <si>
    <t xml:space="preserve">Hot and Cold Units - Storage Type ** </t>
  </si>
  <si>
    <t>&lt;=.87 kWh/day</t>
  </si>
  <si>
    <t>Hot and Cold Units - On Demand</t>
  </si>
  <si>
    <t xml:space="preserve">&lt;= .18 kWh/day </t>
  </si>
  <si>
    <t>* Energy star test method for water coolers (rev. May 2013)</t>
  </si>
  <si>
    <t xml:space="preserve">** Point-of-Use, dry storage compartment and bottled water coolers are included in this category </t>
  </si>
  <si>
    <t xml:space="preserve">Derek Stattin recommends using 1.2 kWh/day as this was the previous Energy Star requirment </t>
  </si>
  <si>
    <t>ASAP Analysis of possible Federal Standard</t>
  </si>
  <si>
    <t>*assuming an effective date of 2017 for all standards</t>
  </si>
  <si>
    <t>2015 state savings analyses from ASAP appliance standards</t>
  </si>
  <si>
    <t>years of accumulated savings ---&gt;</t>
  </si>
  <si>
    <t>annual savings per unit</t>
  </si>
  <si>
    <t>Annual savings in 2025</t>
  </si>
  <si>
    <t>State</t>
  </si>
  <si>
    <t>Product</t>
  </si>
  <si>
    <t>Amount (kWh)</t>
  </si>
  <si>
    <t xml:space="preserve">incremental cost per unit ($) </t>
  </si>
  <si>
    <t>electricity (GWh)</t>
  </si>
  <si>
    <t>kWh</t>
  </si>
  <si>
    <t>estimate of total unit 2015</t>
  </si>
  <si>
    <t>Washington</t>
  </si>
  <si>
    <t>Water Dispenser</t>
  </si>
  <si>
    <t>Oregon</t>
  </si>
  <si>
    <t>Idaho</t>
  </si>
  <si>
    <t>Montana</t>
  </si>
  <si>
    <t>There was supposed to be a stock of 1,000,000 units in california in 2000, hard to believe PNW is so much bigger</t>
  </si>
  <si>
    <t>From ASAP</t>
  </si>
  <si>
    <t>Share of Hot&amp;Cold Units</t>
  </si>
  <si>
    <t>Derek Statin</t>
  </si>
  <si>
    <t>ESTAR Model Count</t>
  </si>
  <si>
    <t>Share of Cold Only</t>
  </si>
  <si>
    <t>Cadmus 2000 for CA</t>
  </si>
  <si>
    <t>Savings Potential</t>
  </si>
  <si>
    <t>Existing Units</t>
  </si>
  <si>
    <t>Percent Hot&amp;Cold</t>
  </si>
  <si>
    <t>Technical Potential Existing Units</t>
  </si>
  <si>
    <t>Total Savings Potential Existing Units (aMW)</t>
  </si>
  <si>
    <t>Timer savings on Existing per unit (kWh)</t>
  </si>
  <si>
    <t>New Units per year</t>
  </si>
  <si>
    <t>Total over 20 years</t>
  </si>
  <si>
    <t>Estimated Water Dispenser Stock and Sales (Cadmus 2004)</t>
  </si>
  <si>
    <t xml:space="preserve">Shift from Basline to ESTAR </t>
  </si>
  <si>
    <t>Savings (kWh/day)</t>
  </si>
  <si>
    <t>Savings kWh/year</t>
  </si>
  <si>
    <t>Units Methodology</t>
  </si>
  <si>
    <t>Forecast Version</t>
  </si>
  <si>
    <t>Vintage</t>
  </si>
  <si>
    <t>NR</t>
  </si>
  <si>
    <t>Measure Bundle</t>
  </si>
  <si>
    <t>Report Year</t>
  </si>
  <si>
    <t>Total Potential (aMW)</t>
  </si>
  <si>
    <t>TOTAL MAX</t>
  </si>
  <si>
    <t>TOTAL</t>
  </si>
  <si>
    <t>APPLY MEASURE APPLICABILITY, SATURATION TURNOVER RATE FOR MAX ANNUAL # UNITS</t>
  </si>
  <si>
    <t>Existing Stock</t>
  </si>
  <si>
    <t>Applicability</t>
  </si>
  <si>
    <t>Saturation</t>
  </si>
  <si>
    <t>Turnover Rate</t>
  </si>
  <si>
    <t>Carryover from Untreated New</t>
  </si>
  <si>
    <t>INCREMENTAL ACHIEVABILITY</t>
  </si>
  <si>
    <t>Acheivable and 85% Max Per Year</t>
  </si>
  <si>
    <t>CUMULATIVE ADOPTION</t>
  </si>
  <si>
    <t>SUPPLY CURVE SAVINGS BY BUNDLE</t>
  </si>
  <si>
    <t>aMW</t>
  </si>
  <si>
    <t>kWh per Luminaire</t>
  </si>
  <si>
    <t>lvlcost</t>
  </si>
  <si>
    <t>segment</t>
  </si>
  <si>
    <t>measure</t>
  </si>
  <si>
    <t>Max Annual Available</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</si>
  <si>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</si>
  <si>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</si>
  <si>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</si>
  <si>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</si>
  <si>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</si>
  <si>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</si>
  <si>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</si>
  <si>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</si>
  <si>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</si>
  <si>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</si>
  <si>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</si>
  <si>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</si>
  <si>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</si>
  <si>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</si>
  <si>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</si>
  <si>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</si>
  <si>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</si>
  <si>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</si>
  <si>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</si>
  <si>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</si>
  <si>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</si>
  <si>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</si>
  <si>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</si>
  <si>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</si>
  <si>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</si>
  <si>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</si>
  <si>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</si>
  <si>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</si>
  <si>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</si>
  <si>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</si>
  <si>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</si>
  <si>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</si>
  <si>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</si>
  <si>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</si>
  <si>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</si>
  <si>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</si>
  <si>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</si>
  <si>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</si>
  <si>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</si>
  <si>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</si>
  <si>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</si>
  <si>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</si>
  <si>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</si>
  <si>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</si>
  <si>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</si>
  <si>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</si>
  <si>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</si>
  <si>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</si>
  <si>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</si>
  <si>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</si>
  <si>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</si>
  <si>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</si>
  <si>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</si>
  <si>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</si>
  <si>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</si>
  <si>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</si>
  <si>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</si>
  <si>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</si>
  <si>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</si>
  <si>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</si>
  <si>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</si>
  <si>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</si>
  <si>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</si>
  <si>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</si>
  <si>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</si>
  <si>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</si>
  <si>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</si>
  <si>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</si>
  <si>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</si>
  <si>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</si>
  <si>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</si>
  <si>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</si>
  <si>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</si>
  <si>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</si>
  <si>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</si>
  <si>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</si>
  <si>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</si>
  <si>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SC-NR</t>
  </si>
  <si>
    <t>Total per Year</t>
  </si>
  <si>
    <t>Cumulative at Earliest Deployment</t>
  </si>
  <si>
    <t>Timer savings on New ES2.0 per unit (kWh)</t>
  </si>
  <si>
    <t>Timer savings on non-ESTAR</t>
  </si>
  <si>
    <t>Percent ESTAR</t>
  </si>
  <si>
    <t>Percent non ESTAR</t>
  </si>
  <si>
    <t>Timer on ES 2.0 Hot &amp; Cold Water Cooler</t>
  </si>
  <si>
    <t># UNITS FOR EXISTING STOCK</t>
  </si>
  <si>
    <t>Non-Building Stock</t>
  </si>
  <si>
    <t>UNITS</t>
  </si>
  <si>
    <t># UNITS CARRYOVER FROM UNTREATED NEW STOCK</t>
  </si>
  <si>
    <t>Life Offset</t>
  </si>
  <si>
    <t># UNITS TOTAL FOR NR POOL</t>
  </si>
  <si>
    <t>Annual Pool</t>
  </si>
  <si>
    <t>Annual Max</t>
  </si>
  <si>
    <t>Achievability =&gt;</t>
  </si>
  <si>
    <t>Program Max</t>
  </si>
  <si>
    <t>Measure Share</t>
  </si>
  <si>
    <t>7P Estimate Hot&amp;Cold Share</t>
  </si>
  <si>
    <t>Homes</t>
  </si>
  <si>
    <t>Fraction HOD</t>
  </si>
  <si>
    <t>Com Buildings</t>
  </si>
  <si>
    <t>Fraction Use Bottled</t>
  </si>
  <si>
    <t>Coolers per building</t>
  </si>
  <si>
    <t>Number of Coolers</t>
  </si>
  <si>
    <t>Table with row headers in column A and column headers in rows 5 through 7</t>
  </si>
  <si>
    <t>Number of Firms, Number of Establishments, Employment, and Annual Payroll by Enterprise Employment Size for the United States and States, Totals:  2012</t>
  </si>
  <si>
    <t xml:space="preserve"> release date:1/23/2015</t>
  </si>
  <si>
    <r>
      <t xml:space="preserve">SOURCE: 2012 County Business Patterns.  For information on confidentiality protection, sampling error, nonsampling error, and definitions, see </t>
    </r>
    <r>
      <rPr>
        <b/>
        <u/>
        <sz val="7"/>
        <rFont val="Arial"/>
        <family val="2"/>
      </rPr>
      <t>http://www.census.gov/econ/susb/methodology.html</t>
    </r>
  </si>
  <si>
    <t>FIPS CODE</t>
  </si>
  <si>
    <t>AREA DESCRIPTION</t>
  </si>
  <si>
    <t>ENTERPRISE EMPLOYMENT SIZE</t>
  </si>
  <si>
    <t>NUMBER OF FIRMS</t>
  </si>
  <si>
    <t>NUMBER OF ESTABLISHMENTS</t>
  </si>
  <si>
    <t>EMPLOYMENT</t>
  </si>
  <si>
    <t>EMPLOYMENT NOISE FLAG</t>
  </si>
  <si>
    <r>
      <t xml:space="preserve">ANNUAL PAYROLL </t>
    </r>
    <r>
      <rPr>
        <b/>
        <sz val="8"/>
        <color indexed="10"/>
        <rFont val="Arial"/>
        <family val="2"/>
      </rPr>
      <t>($1,000)</t>
    </r>
  </si>
  <si>
    <t>ANNUAL PAYROLL NOISE FLAG</t>
  </si>
  <si>
    <t>99</t>
  </si>
  <si>
    <t>United States</t>
  </si>
  <si>
    <t>1:   Total</t>
  </si>
  <si>
    <t>G</t>
  </si>
  <si>
    <t>2:   0-4</t>
  </si>
  <si>
    <t>3:   5-9</t>
  </si>
  <si>
    <t>4:   10-19</t>
  </si>
  <si>
    <t>5:   &lt;20</t>
  </si>
  <si>
    <t>6:   20-99</t>
  </si>
  <si>
    <t>7:   100-499</t>
  </si>
  <si>
    <t>8:   &lt;500</t>
  </si>
  <si>
    <t>9:   500+</t>
  </si>
  <si>
    <t>01</t>
  </si>
  <si>
    <t>Alabama</t>
  </si>
  <si>
    <t>02</t>
  </si>
  <si>
    <t>Alaska</t>
  </si>
  <si>
    <t>04</t>
  </si>
  <si>
    <t>Arizona</t>
  </si>
  <si>
    <t>H</t>
  </si>
  <si>
    <t>05</t>
  </si>
  <si>
    <t>Arkansas</t>
  </si>
  <si>
    <t>06</t>
  </si>
  <si>
    <t>California</t>
  </si>
  <si>
    <t>08</t>
  </si>
  <si>
    <t>Colorado</t>
  </si>
  <si>
    <t>09</t>
  </si>
  <si>
    <t>Connecticut</t>
  </si>
  <si>
    <t>10</t>
  </si>
  <si>
    <t>Delaware</t>
  </si>
  <si>
    <t>11</t>
  </si>
  <si>
    <t>District of Columbia</t>
  </si>
  <si>
    <t>12</t>
  </si>
  <si>
    <t>Florida</t>
  </si>
  <si>
    <t>13</t>
  </si>
  <si>
    <t>Georgia</t>
  </si>
  <si>
    <t>15</t>
  </si>
  <si>
    <t>Hawaii</t>
  </si>
  <si>
    <t>16</t>
  </si>
  <si>
    <t>17</t>
  </si>
  <si>
    <t>Illinois</t>
  </si>
  <si>
    <t>18</t>
  </si>
  <si>
    <t>Indiana</t>
  </si>
  <si>
    <t>19</t>
  </si>
  <si>
    <t>Iowa</t>
  </si>
  <si>
    <t>20</t>
  </si>
  <si>
    <t>Kansas</t>
  </si>
  <si>
    <t>21</t>
  </si>
  <si>
    <t>Kentucky</t>
  </si>
  <si>
    <t>22</t>
  </si>
  <si>
    <t>Louisiana</t>
  </si>
  <si>
    <t>23</t>
  </si>
  <si>
    <t>Maine</t>
  </si>
  <si>
    <t>24</t>
  </si>
  <si>
    <t>Maryland</t>
  </si>
  <si>
    <t>25</t>
  </si>
  <si>
    <t>Massachusetts</t>
  </si>
  <si>
    <t>26</t>
  </si>
  <si>
    <t>Michigan</t>
  </si>
  <si>
    <t>27</t>
  </si>
  <si>
    <t>Minnesota</t>
  </si>
  <si>
    <t>28</t>
  </si>
  <si>
    <t>Mississippi</t>
  </si>
  <si>
    <t>29</t>
  </si>
  <si>
    <t>Missouri</t>
  </si>
  <si>
    <t>30</t>
  </si>
  <si>
    <t>31</t>
  </si>
  <si>
    <t>Nebraska</t>
  </si>
  <si>
    <t>32</t>
  </si>
  <si>
    <t>33</t>
  </si>
  <si>
    <t>New Hampshire</t>
  </si>
  <si>
    <t>34</t>
  </si>
  <si>
    <t>New Jersey</t>
  </si>
  <si>
    <t>35</t>
  </si>
  <si>
    <t>New Mexico</t>
  </si>
  <si>
    <t>36</t>
  </si>
  <si>
    <t>New York</t>
  </si>
  <si>
    <t>37</t>
  </si>
  <si>
    <t>North Carolina</t>
  </si>
  <si>
    <t>38</t>
  </si>
  <si>
    <t>North Dakota</t>
  </si>
  <si>
    <t>39</t>
  </si>
  <si>
    <t>Ohio</t>
  </si>
  <si>
    <t>40</t>
  </si>
  <si>
    <t>Oklahoma</t>
  </si>
  <si>
    <t>41</t>
  </si>
  <si>
    <t>42</t>
  </si>
  <si>
    <t>Pennsylvania</t>
  </si>
  <si>
    <t>44</t>
  </si>
  <si>
    <t>Rhode Island</t>
  </si>
  <si>
    <t>45</t>
  </si>
  <si>
    <t>South Carolina</t>
  </si>
  <si>
    <t>46</t>
  </si>
  <si>
    <t>South Dakota</t>
  </si>
  <si>
    <t>47</t>
  </si>
  <si>
    <t>Tennessee</t>
  </si>
  <si>
    <t>48</t>
  </si>
  <si>
    <t>Texas</t>
  </si>
  <si>
    <t>49</t>
  </si>
  <si>
    <t>Utah</t>
  </si>
  <si>
    <t>50</t>
  </si>
  <si>
    <t>Vermont</t>
  </si>
  <si>
    <t>51</t>
  </si>
  <si>
    <t>Virginia</t>
  </si>
  <si>
    <t>53</t>
  </si>
  <si>
    <t>54</t>
  </si>
  <si>
    <t>West Virginia</t>
  </si>
  <si>
    <t>55</t>
  </si>
  <si>
    <t>Wisconsin</t>
  </si>
  <si>
    <t>56</t>
  </si>
  <si>
    <t>Wyoming</t>
  </si>
  <si>
    <t>OR</t>
  </si>
  <si>
    <t>WA</t>
  </si>
  <si>
    <t>ID</t>
  </si>
  <si>
    <t>MT</t>
  </si>
  <si>
    <t>Number Coolers</t>
  </si>
  <si>
    <t>Fraction use dispensers</t>
  </si>
  <si>
    <t>Coolers per Establishment</t>
  </si>
  <si>
    <t>Establishments</t>
  </si>
  <si>
    <t>Business Establishments</t>
  </si>
  <si>
    <t>Hot &amp; Cold Shipments</t>
  </si>
  <si>
    <t>Cold-Only Shipments</t>
  </si>
  <si>
    <t>assume lower penetration in PNW</t>
  </si>
  <si>
    <t>Fraction Bottled (versus POU &amp; Pressureized)</t>
  </si>
  <si>
    <t>from Cadmus</t>
  </si>
  <si>
    <t>ES 2.0 Hot &amp; Cold Shipments</t>
  </si>
  <si>
    <t>ES 2.0 Cold-Only Shipments</t>
  </si>
  <si>
    <t>Data for Supply Curve Development</t>
  </si>
  <si>
    <t>Non ES 2.0 Hot&amp; Cold Shipments</t>
  </si>
  <si>
    <t>Non ES 2.0 Cold-Only Shipments</t>
  </si>
  <si>
    <t xml:space="preserve">Year </t>
  </si>
  <si>
    <t>ES Coolers Shipped</t>
  </si>
  <si>
    <t>Number of Cooler Manufactures Responded to Survey</t>
  </si>
  <si>
    <t>Percentage of Cooler Manufactures Responded to Survey</t>
  </si>
  <si>
    <t>ES Market Penetration</t>
  </si>
  <si>
    <t>Extrapolated Percent of Non-ES</t>
  </si>
  <si>
    <t>Extrapolated Number of Non-ES</t>
  </si>
  <si>
    <t>Non-ES Coolers Shipped</t>
  </si>
  <si>
    <t>Total Coolers Shipped</t>
  </si>
  <si>
    <t>Life Assumption</t>
  </si>
  <si>
    <t>Assuming the average life of a water cooler is 7 years, then the total water coolers being used in the USA is:</t>
  </si>
  <si>
    <t>Water Coolers - adjust formula for number of years desired</t>
  </si>
  <si>
    <t>Number of people living in Washington, Oregon and Idaho</t>
  </si>
  <si>
    <t>U.S. Population</t>
  </si>
  <si>
    <t>Percentage of People in US living in Washington, Oregon and Idaho</t>
  </si>
  <si>
    <t>Total Cooler Estimate for Washington, Oregon and Idaho</t>
  </si>
  <si>
    <t>Estimated Total US Stock</t>
  </si>
  <si>
    <t>Estimated PNW Stock</t>
  </si>
  <si>
    <t>Distributors: Clover, MTN, Crystal</t>
  </si>
  <si>
    <t>Estimates from Derek Statin</t>
  </si>
  <si>
    <t>Average ES Share 2007-2010 (proxy for ES share under 2014 spec)</t>
  </si>
  <si>
    <t>Estimated Annual PNW Shipments</t>
  </si>
  <si>
    <t>Average US Annual Shipments 2007-2013</t>
  </si>
  <si>
    <t>Average US Annual Shipments 2010-2013</t>
  </si>
  <si>
    <t>Annual Growth</t>
  </si>
  <si>
    <t>y/y Growth</t>
  </si>
  <si>
    <t>Annual Unit Sales (coolers)</t>
  </si>
  <si>
    <t>Annual Units sales with growth</t>
  </si>
  <si>
    <t>None</t>
  </si>
  <si>
    <t>Residential &amp; Commercial Coolers</t>
  </si>
  <si>
    <t>PNW Shipments</t>
  </si>
  <si>
    <t>new ES spec will lower penetration from 86%</t>
  </si>
  <si>
    <t>Methodology:  Units are water dispensers.  Based on share down of US unit sales from ESTAR.  Sales data cover replacement units and new market growth as water cooler capture market share.  Use NR as proxy.  Savings based on timer on ESTAR and Non-ESTAR sales shares. Growth is based on sales 2007-2013, which grew at 8% per year.  Used 7% per year, but stopped growth after 10 years assuming market saturation at that point.  Assume cooler life is 6 years with recent influx of less durable residential models.</t>
  </si>
  <si>
    <t>ENERGY STAR 2.0 Cold Only</t>
  </si>
  <si>
    <t>Timer on ES 2.0 Cold Only Water Cooler</t>
  </si>
  <si>
    <t>Applic</t>
  </si>
  <si>
    <t>7P Estimate ColdOnly Share</t>
  </si>
  <si>
    <t>Applicability (Hot or Cold Type)</t>
  </si>
  <si>
    <t>Saturation (ES Penetration)</t>
  </si>
  <si>
    <t>Sats</t>
  </si>
  <si>
    <t>Assume influx of less durable residential units</t>
  </si>
  <si>
    <t>Q:\SeventhPlan\Conservation Analysis\Global EE Inputs\MC Files\MC_AND_LOADSHAPE_v3.0_24segment-7P-D9 - NewSegValues.xlsx</t>
  </si>
  <si>
    <t>Total Industrial-Total Industrial</t>
  </si>
  <si>
    <t>Sunday, 1 March , 2015 at 12:19 AM</t>
  </si>
  <si>
    <t>SUM</t>
  </si>
  <si>
    <t>New for 7P</t>
  </si>
  <si>
    <t>Standby losses only.  Standby losses avoided (kWh/day) * Days</t>
  </si>
  <si>
    <t xml:space="preserve">  NEW:  Difference between ES 2.0 and market average.  For the time, the baseline is the ES 2.0 cooler.  Assumes eventual conversion to 100% ES 2.0 or better.</t>
  </si>
  <si>
    <t>All existing water coolers with hot &amp; cold and cold-only functions</t>
  </si>
  <si>
    <t>ES 2.0 penetration estimated at 50%</t>
  </si>
  <si>
    <t>6 Years</t>
  </si>
  <si>
    <t>Cadmus Report modified by recent influx of less durable residential models</t>
  </si>
  <si>
    <t>Synthetic:  Off 6PM to 6AM by seven days per week for the timer measure.  For the New measure shape is flat.</t>
  </si>
  <si>
    <t>Moderate</t>
  </si>
  <si>
    <t>Estimates based on ES sales data</t>
  </si>
  <si>
    <t xml:space="preserve">There are two measures.  First is upgrading from market average cooler to ENERGY STAR 2.0 cooler.  Second measure is a timer on the ES 2.0 cooler.  Timer turns the cooler off during unoccupied period.  Off for 12 hours per day by seven days.  Both measures are modeled as NR opportunities.  </t>
  </si>
  <si>
    <t>Saturation of timers is nil</t>
  </si>
  <si>
    <t>Ramp Rate</t>
  </si>
  <si>
    <t>Resource Type</t>
  </si>
  <si>
    <t>Measure Category</t>
  </si>
  <si>
    <t>Sector</t>
  </si>
  <si>
    <t>End Use</t>
  </si>
  <si>
    <t>kW per unit</t>
  </si>
  <si>
    <t>kWh per unit</t>
  </si>
  <si>
    <t>TRC Net Levelized Cost (Net of All Benefits)</t>
  </si>
  <si>
    <t>MAX</t>
  </si>
  <si>
    <t>Commercial</t>
  </si>
  <si>
    <t>Refrigeration</t>
  </si>
  <si>
    <t>From Maggie Lahet's Report</t>
  </si>
  <si>
    <t>Professional judgement based on range of estimates above</t>
  </si>
  <si>
    <t>Stock 2016</t>
  </si>
  <si>
    <t>End-Use:</t>
  </si>
  <si>
    <t>Description</t>
  </si>
  <si>
    <t>When</t>
  </si>
  <si>
    <t>Back of Envelope</t>
  </si>
  <si>
    <t>Cost Data</t>
  </si>
  <si>
    <t>Savings Data</t>
  </si>
  <si>
    <t>Updated High Low Forecast</t>
  </si>
  <si>
    <t>Stock Data</t>
  </si>
  <si>
    <t>Review Cadmus Comments</t>
  </si>
</sst>
</file>

<file path=xl/styles.xml><?xml version="1.0" encoding="utf-8"?>
<styleSheet xmlns="http://schemas.openxmlformats.org/spreadsheetml/2006/main">
  <numFmts count="19">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_-* #,##0.00_-;\-* #,##0.00_-;_-* &quot;-&quot;??_-;_-@_-"/>
    <numFmt numFmtId="172" formatCode="_(* #,##0.0_);_(* \(#,##0.0\);_(* &quot;-&quot;??_);_(@_)"/>
    <numFmt numFmtId="173" formatCode="m\/d\/yyyy"/>
    <numFmt numFmtId="174" formatCode="0.0;[Red]\-0.0"/>
    <numFmt numFmtId="175" formatCode="\ "/>
    <numFmt numFmtId="176" formatCode="_(* #,##0.0_);_(* \(#,##0.0\);_(* &quot;-&quot;?_);_(@_)"/>
    <numFmt numFmtId="177" formatCode="0.000"/>
    <numFmt numFmtId="178" formatCode="0.0%"/>
  </numFmts>
  <fonts count="77">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b/>
      <sz val="10"/>
      <color theme="0" tint="-0.34998626667073579"/>
      <name val="Arial"/>
      <family val="2"/>
    </font>
    <font>
      <sz val="10"/>
      <color theme="0" tint="-0.34998626667073579"/>
      <name val="Arial"/>
      <family val="2"/>
    </font>
    <font>
      <b/>
      <sz val="9"/>
      <color indexed="81"/>
      <name val="Tahoma"/>
      <family val="2"/>
    </font>
    <font>
      <sz val="9"/>
      <color indexed="81"/>
      <name val="Tahoma"/>
      <family val="2"/>
    </font>
    <font>
      <sz val="6"/>
      <color indexed="8"/>
      <name val="Arial"/>
      <family val="2"/>
    </font>
    <font>
      <b/>
      <sz val="14"/>
      <color indexed="8"/>
      <name val="Arial"/>
      <family val="2"/>
    </font>
    <font>
      <b/>
      <sz val="12"/>
      <color indexed="8"/>
      <name val="Arial"/>
      <family val="2"/>
    </font>
    <font>
      <sz val="12"/>
      <color indexed="8"/>
      <name val="Arial"/>
      <family val="2"/>
    </font>
    <font>
      <sz val="9"/>
      <color rgb="FFFF0000"/>
      <name val="Arial"/>
      <family val="2"/>
    </font>
    <font>
      <b/>
      <sz val="8"/>
      <color indexed="9"/>
      <name val="Arial"/>
      <family val="2"/>
    </font>
    <font>
      <sz val="8"/>
      <color indexed="8"/>
      <name val="Arial"/>
      <family val="2"/>
    </font>
    <font>
      <b/>
      <sz val="8"/>
      <color rgb="FFFF0000"/>
      <name val="Arial"/>
      <family val="2"/>
    </font>
    <font>
      <sz val="10"/>
      <color indexed="9"/>
      <name val="Arial"/>
      <family val="2"/>
    </font>
    <font>
      <sz val="10"/>
      <color indexed="10"/>
      <name val="Arial"/>
      <family val="2"/>
    </font>
    <font>
      <i/>
      <sz val="12"/>
      <name val="Arial"/>
      <family val="2"/>
    </font>
    <font>
      <b/>
      <sz val="10"/>
      <color theme="1"/>
      <name val="Arial"/>
      <family val="2"/>
    </font>
    <font>
      <sz val="10"/>
      <color theme="0"/>
      <name val="Arial"/>
      <family val="2"/>
    </font>
    <font>
      <b/>
      <sz val="11"/>
      <color theme="1"/>
      <name val="Calibri"/>
      <family val="2"/>
      <scheme val="minor"/>
    </font>
    <font>
      <sz val="8"/>
      <color theme="0"/>
      <name val="Arial"/>
      <family val="2"/>
    </font>
    <font>
      <b/>
      <sz val="9"/>
      <name val="Arial"/>
      <family val="2"/>
    </font>
    <font>
      <sz val="8"/>
      <name val="Arial"/>
      <family val="2"/>
    </font>
    <font>
      <b/>
      <sz val="8"/>
      <name val="Arial"/>
      <family val="2"/>
    </font>
    <font>
      <sz val="8"/>
      <color indexed="8"/>
      <name val="Calibri"/>
      <family val="2"/>
    </font>
    <font>
      <b/>
      <sz val="7"/>
      <name val="Arial"/>
      <family val="2"/>
    </font>
    <font>
      <b/>
      <u/>
      <sz val="7"/>
      <name val="Arial"/>
      <family val="2"/>
    </font>
    <font>
      <b/>
      <sz val="8"/>
      <color indexed="8"/>
      <name val="Arial"/>
      <family val="2"/>
    </font>
    <font>
      <b/>
      <sz val="8"/>
      <color indexed="10"/>
      <name val="Arial"/>
      <family val="2"/>
    </font>
    <font>
      <sz val="8"/>
      <color theme="1"/>
      <name val="Arial"/>
      <family val="2"/>
    </font>
    <font>
      <b/>
      <i/>
      <sz val="11"/>
      <color theme="3"/>
      <name val="Calibri"/>
      <family val="2"/>
      <scheme val="minor"/>
    </font>
    <font>
      <sz val="11"/>
      <color theme="3"/>
      <name val="Calibri"/>
      <family val="2"/>
      <scheme val="minor"/>
    </font>
    <font>
      <u/>
      <sz val="11"/>
      <color theme="10"/>
      <name val="Calibri"/>
      <family val="2"/>
    </font>
    <font>
      <b/>
      <sz val="11"/>
      <color theme="0" tint="-0.34998626667073579"/>
      <name val="Calibri"/>
      <family val="2"/>
      <scheme val="minor"/>
    </font>
    <font>
      <b/>
      <sz val="9"/>
      <color rgb="FF333333"/>
      <name val="Verdana"/>
      <family val="2"/>
    </font>
    <font>
      <b/>
      <sz val="11"/>
      <color theme="0"/>
      <name val="Calibri"/>
      <family val="2"/>
      <scheme val="minor"/>
    </font>
  </fonts>
  <fills count="51">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bgColor indexed="64"/>
      </patternFill>
    </fill>
    <fill>
      <patternFill patternType="solid">
        <fgColor indexed="9"/>
        <bgColor indexed="9"/>
      </patternFill>
    </fill>
    <fill>
      <patternFill patternType="solid">
        <fgColor indexed="54"/>
        <bgColor indexed="9"/>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249977111117893"/>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style="thin">
        <color indexed="31"/>
      </right>
      <top/>
      <bottom style="thin">
        <color indexed="31"/>
      </bottom>
      <diagonal/>
    </border>
    <border>
      <left style="thin">
        <color indexed="31"/>
      </left>
      <right style="thin">
        <color indexed="31"/>
      </right>
      <top/>
      <bottom style="thin">
        <color indexed="31"/>
      </bottom>
      <diagonal/>
    </border>
    <border>
      <left style="thin">
        <color indexed="31"/>
      </left>
      <right/>
      <top/>
      <bottom style="thin">
        <color indexed="31"/>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s>
  <cellStyleXfs count="192">
    <xf numFmtId="0" fontId="0" fillId="0" borderId="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4" fillId="0" borderId="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0" borderId="0" applyNumberFormat="0" applyBorder="0" applyAlignment="0" applyProtection="0"/>
    <xf numFmtId="0" fontId="19" fillId="13" borderId="0" applyNumberFormat="0" applyBorder="0" applyAlignment="0" applyProtection="0"/>
    <xf numFmtId="0" fontId="19" fillId="21" borderId="0" applyNumberFormat="0" applyBorder="0" applyAlignment="0" applyProtection="0"/>
    <xf numFmtId="0" fontId="19" fillId="13" borderId="0" applyNumberFormat="0" applyBorder="0" applyAlignment="0" applyProtection="0"/>
    <xf numFmtId="0" fontId="19" fillId="25" borderId="0" applyNumberFormat="0" applyBorder="0" applyAlignment="0" applyProtection="0"/>
    <xf numFmtId="0" fontId="19" fillId="19" borderId="0" applyNumberFormat="0" applyBorder="0" applyAlignment="0" applyProtection="0"/>
    <xf numFmtId="0" fontId="19" fillId="24" borderId="0" applyNumberFormat="0" applyBorder="0" applyAlignment="0" applyProtection="0"/>
    <xf numFmtId="0" fontId="19" fillId="26" borderId="0" applyNumberFormat="0" applyBorder="0" applyAlignment="0" applyProtection="0"/>
    <xf numFmtId="0" fontId="19" fillId="17" borderId="0" applyNumberFormat="0" applyBorder="0" applyAlignment="0" applyProtection="0"/>
    <xf numFmtId="0" fontId="19" fillId="27"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13" borderId="0" applyNumberFormat="0" applyBorder="0" applyAlignment="0" applyProtection="0"/>
    <xf numFmtId="0" fontId="19" fillId="25" borderId="0" applyNumberFormat="0" applyBorder="0" applyAlignment="0" applyProtection="0"/>
    <xf numFmtId="0" fontId="19" fillId="30" borderId="0" applyNumberFormat="0" applyBorder="0" applyAlignment="0" applyProtection="0"/>
    <xf numFmtId="0" fontId="19" fillId="24" borderId="0" applyNumberFormat="0" applyBorder="0" applyAlignment="0" applyProtection="0"/>
    <xf numFmtId="0" fontId="19" fillId="31" borderId="0" applyNumberFormat="0" applyBorder="0" applyAlignment="0" applyProtection="0"/>
    <xf numFmtId="0" fontId="20" fillId="13" borderId="0" applyNumberFormat="0" applyBorder="0" applyAlignment="0" applyProtection="0"/>
    <xf numFmtId="0" fontId="20" fillId="15" borderId="0" applyNumberFormat="0" applyBorder="0" applyAlignment="0" applyProtection="0"/>
    <xf numFmtId="0" fontId="21" fillId="19" borderId="12" applyNumberFormat="0" applyAlignment="0" applyProtection="0"/>
    <xf numFmtId="0" fontId="21" fillId="12" borderId="12" applyNumberFormat="0" applyAlignment="0" applyProtection="0"/>
    <xf numFmtId="0" fontId="22"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3" fillId="0" borderId="0"/>
    <xf numFmtId="0" fontId="24" fillId="0" borderId="0" applyNumberFormat="0" applyFill="0" applyBorder="0" applyAlignment="0" applyProtection="0"/>
    <xf numFmtId="0" fontId="25" fillId="14" borderId="0" applyNumberFormat="0" applyBorder="0" applyAlignment="0" applyProtection="0"/>
    <xf numFmtId="0" fontId="26" fillId="0" borderId="0">
      <alignment horizontal="center" wrapText="1"/>
    </xf>
    <xf numFmtId="0" fontId="27" fillId="0" borderId="14" applyNumberFormat="0" applyFill="0" applyAlignment="0" applyProtection="0"/>
    <xf numFmtId="0" fontId="28" fillId="0" borderId="15" applyNumberFormat="0" applyFill="0" applyAlignment="0" applyProtection="0"/>
    <xf numFmtId="0" fontId="29" fillId="0" borderId="16" applyNumberFormat="0" applyFill="0" applyAlignment="0" applyProtection="0"/>
    <xf numFmtId="0" fontId="30" fillId="0" borderId="17"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17" borderId="12" applyNumberFormat="0" applyAlignment="0" applyProtection="0"/>
    <xf numFmtId="0" fontId="34" fillId="0" borderId="18" applyNumberFormat="0" applyFill="0" applyAlignment="0" applyProtection="0"/>
    <xf numFmtId="0" fontId="35" fillId="35" borderId="0" applyNumberFormat="0" applyBorder="0" applyAlignment="0" applyProtection="0"/>
    <xf numFmtId="0" fontId="18" fillId="0" borderId="0"/>
    <xf numFmtId="0" fontId="18" fillId="0" borderId="0"/>
    <xf numFmtId="0" fontId="18"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18" fillId="0" borderId="0"/>
    <xf numFmtId="0" fontId="4" fillId="0" borderId="0"/>
    <xf numFmtId="0" fontId="4" fillId="0" borderId="0">
      <alignment readingOrder="1"/>
    </xf>
    <xf numFmtId="0" fontId="4" fillId="0" borderId="0">
      <alignment readingOrder="1"/>
    </xf>
    <xf numFmtId="0" fontId="4" fillId="0" borderId="0">
      <alignment readingOrder="1"/>
    </xf>
    <xf numFmtId="0" fontId="18"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37" fillId="0" borderId="0"/>
    <xf numFmtId="0" fontId="18" fillId="0" borderId="0"/>
    <xf numFmtId="0" fontId="18" fillId="0" borderId="0"/>
    <xf numFmtId="0" fontId="18" fillId="0" borderId="0"/>
    <xf numFmtId="0" fontId="18" fillId="0" borderId="0"/>
    <xf numFmtId="0" fontId="4" fillId="0" borderId="0">
      <alignment readingOrder="1"/>
    </xf>
    <xf numFmtId="0" fontId="4" fillId="0" borderId="0">
      <alignment readingOrder="1"/>
    </xf>
    <xf numFmtId="0" fontId="4" fillId="0" borderId="0">
      <alignment readingOrder="1"/>
    </xf>
    <xf numFmtId="0" fontId="18" fillId="36" borderId="19" applyNumberFormat="0" applyFont="0" applyAlignment="0" applyProtection="0"/>
    <xf numFmtId="0" fontId="4" fillId="36" borderId="19" applyNumberFormat="0" applyFont="0" applyAlignment="0" applyProtection="0"/>
    <xf numFmtId="0" fontId="38" fillId="19" borderId="20" applyNumberFormat="0" applyAlignment="0" applyProtection="0"/>
    <xf numFmtId="0" fontId="38"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1" fillId="0" borderId="22" applyNumberFormat="0" applyFill="0" applyAlignment="0" applyProtection="0"/>
    <xf numFmtId="0" fontId="42" fillId="0" borderId="0" applyNumberFormat="0" applyFill="0" applyBorder="0" applyAlignment="0" applyProtection="0"/>
    <xf numFmtId="0" fontId="4" fillId="0" borderId="0"/>
    <xf numFmtId="0" fontId="4" fillId="0" borderId="0"/>
    <xf numFmtId="0" fontId="32"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73" fillId="0" borderId="0" applyNumberFormat="0" applyFill="0" applyBorder="0" applyAlignment="0" applyProtection="0">
      <alignment vertical="top"/>
      <protection locked="0"/>
    </xf>
  </cellStyleXfs>
  <cellXfs count="399">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2" applyFont="1" applyFill="1" applyBorder="1" applyAlignment="1">
      <alignment horizontal="left" vertical="center" wrapText="1"/>
    </xf>
    <xf numFmtId="0" fontId="5" fillId="3" borderId="5" xfId="2" applyFont="1" applyFill="1" applyBorder="1" applyAlignment="1">
      <alignment horizontal="left" vertical="center" wrapText="1"/>
    </xf>
    <xf numFmtId="0" fontId="6" fillId="0" borderId="5" xfId="2" applyNumberFormat="1" applyFont="1" applyFill="1" applyBorder="1" applyAlignment="1">
      <alignment horizontal="left" vertical="center" wrapText="1"/>
    </xf>
    <xf numFmtId="0" fontId="6" fillId="0" borderId="5" xfId="2" applyFont="1" applyFill="1" applyBorder="1" applyAlignment="1">
      <alignment horizontal="left" vertical="center" wrapText="1"/>
    </xf>
    <xf numFmtId="0" fontId="2" fillId="0" borderId="5" xfId="2" applyFont="1" applyFill="1" applyBorder="1" applyAlignment="1">
      <alignment horizontal="left" vertical="center" wrapText="1"/>
    </xf>
    <xf numFmtId="0" fontId="6" fillId="0" borderId="5" xfId="2" applyFont="1" applyBorder="1" applyAlignment="1">
      <alignment horizontal="left" vertical="center" wrapText="1" readingOrder="1"/>
    </xf>
    <xf numFmtId="0" fontId="6" fillId="0" borderId="5" xfId="2" applyNumberFormat="1" applyFont="1" applyBorder="1" applyAlignment="1">
      <alignment horizontal="left" vertical="center" wrapText="1" readingOrder="1"/>
    </xf>
    <xf numFmtId="0" fontId="6" fillId="0" borderId="5" xfId="2" applyFont="1" applyBorder="1" applyAlignment="1">
      <alignment vertical="center" wrapText="1" readingOrder="1"/>
    </xf>
    <xf numFmtId="0" fontId="6" fillId="0" borderId="5" xfId="2" applyFont="1" applyBorder="1" applyAlignment="1">
      <alignment wrapText="1" readingOrder="1"/>
    </xf>
    <xf numFmtId="0" fontId="6" fillId="0" borderId="5" xfId="2" applyNumberFormat="1" applyFont="1" applyBorder="1" applyAlignment="1">
      <alignment vertical="center" wrapText="1" readingOrder="1"/>
    </xf>
    <xf numFmtId="0" fontId="8" fillId="0" borderId="0" xfId="5" applyFont="1"/>
    <xf numFmtId="0" fontId="9" fillId="0" borderId="0" xfId="7" applyFont="1"/>
    <xf numFmtId="0" fontId="4" fillId="0" borderId="0" xfId="5" applyFont="1"/>
    <xf numFmtId="5" fontId="4" fillId="0" borderId="0" xfId="5" applyNumberFormat="1" applyFont="1"/>
    <xf numFmtId="164" fontId="4" fillId="0" borderId="0" xfId="5" applyNumberFormat="1" applyFont="1"/>
    <xf numFmtId="164" fontId="9" fillId="0" borderId="0" xfId="5" applyNumberFormat="1" applyFont="1"/>
    <xf numFmtId="0" fontId="4" fillId="0" borderId="0" xfId="5" applyFont="1" applyFill="1"/>
    <xf numFmtId="165" fontId="4" fillId="0" borderId="0" xfId="5" applyNumberFormat="1" applyFont="1"/>
    <xf numFmtId="0" fontId="8" fillId="0" borderId="0" xfId="5"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0" applyFont="1">
      <alignment readingOrder="1"/>
    </xf>
    <xf numFmtId="0" fontId="4" fillId="0" borderId="0" xfId="5" applyFont="1" applyAlignment="1">
      <alignment horizontal="center"/>
    </xf>
    <xf numFmtId="0" fontId="10" fillId="4" borderId="6" xfId="5" applyFont="1" applyFill="1" applyBorder="1" applyAlignment="1">
      <alignment horizontal="centerContinuous"/>
    </xf>
    <xf numFmtId="0" fontId="11" fillId="4" borderId="6" xfId="5" applyFont="1" applyFill="1" applyBorder="1" applyAlignment="1">
      <alignment horizontal="centerContinuous"/>
    </xf>
    <xf numFmtId="0" fontId="11" fillId="4" borderId="7" xfId="5" applyFont="1" applyFill="1" applyBorder="1" applyAlignment="1">
      <alignment horizontal="centerContinuous"/>
    </xf>
    <xf numFmtId="0" fontId="12" fillId="4" borderId="8" xfId="5" applyFont="1" applyFill="1" applyBorder="1" applyAlignment="1">
      <alignment horizontal="centerContinuous"/>
    </xf>
    <xf numFmtId="0" fontId="11" fillId="7" borderId="8" xfId="5" applyFont="1" applyFill="1" applyBorder="1" applyAlignment="1">
      <alignment horizontal="center"/>
    </xf>
    <xf numFmtId="0" fontId="11" fillId="0" borderId="0" xfId="5" applyFont="1" applyFill="1" applyBorder="1" applyAlignment="1">
      <alignment horizontal="centerContinuous"/>
    </xf>
    <xf numFmtId="0" fontId="12" fillId="0" borderId="0" xfId="5" applyFont="1" applyFill="1" applyBorder="1" applyAlignment="1">
      <alignment horizontal="centerContinuous"/>
    </xf>
    <xf numFmtId="0" fontId="13" fillId="0" borderId="0" xfId="5" applyFont="1" applyFill="1" applyBorder="1" applyAlignment="1">
      <alignment horizontal="centerContinuous"/>
    </xf>
    <xf numFmtId="0" fontId="4" fillId="0" borderId="0" xfId="5" applyFont="1" applyFill="1" applyBorder="1"/>
    <xf numFmtId="0" fontId="13" fillId="9" borderId="5" xfId="5" applyFont="1" applyFill="1" applyBorder="1" applyAlignment="1">
      <alignment horizontal="center" wrapText="1"/>
    </xf>
    <xf numFmtId="0" fontId="13" fillId="9" borderId="11" xfId="5" applyFont="1" applyFill="1" applyBorder="1" applyAlignment="1">
      <alignment horizontal="center" wrapText="1"/>
    </xf>
    <xf numFmtId="0" fontId="13" fillId="9" borderId="4" xfId="5" applyFont="1" applyFill="1" applyBorder="1" applyAlignment="1">
      <alignment horizontal="center" wrapText="1"/>
    </xf>
    <xf numFmtId="0" fontId="13" fillId="9" borderId="4" xfId="0" applyFont="1" applyFill="1" applyBorder="1" applyAlignment="1">
      <alignment horizontal="center" wrapText="1"/>
    </xf>
    <xf numFmtId="0" fontId="13" fillId="10" borderId="8" xfId="5" applyFont="1" applyFill="1" applyBorder="1" applyAlignment="1">
      <alignment horizontal="center" wrapText="1"/>
    </xf>
    <xf numFmtId="0" fontId="13" fillId="10" borderId="5" xfId="5" applyFont="1" applyFill="1" applyBorder="1" applyAlignment="1">
      <alignment horizontal="center" wrapText="1"/>
    </xf>
    <xf numFmtId="0" fontId="13" fillId="0" borderId="0" xfId="5" applyFont="1" applyFill="1" applyBorder="1" applyAlignment="1">
      <alignment horizontal="center" wrapText="1"/>
    </xf>
    <xf numFmtId="164" fontId="0" fillId="0" borderId="0" xfId="0" applyNumberFormat="1">
      <alignment readingOrder="1"/>
    </xf>
    <xf numFmtId="0" fontId="4" fillId="0" borderId="0" xfId="3">
      <alignment readingOrder="1"/>
    </xf>
    <xf numFmtId="169" fontId="4" fillId="0" borderId="0" xfId="1" applyNumberFormat="1" applyFont="1">
      <alignment readingOrder="1"/>
    </xf>
    <xf numFmtId="164" fontId="0" fillId="0" borderId="0" xfId="0" applyNumberFormat="1" applyAlignment="1">
      <alignment horizontal="center" readingOrder="1"/>
    </xf>
    <xf numFmtId="0" fontId="4" fillId="0" borderId="0" xfId="3" applyFont="1" applyAlignment="1">
      <alignment horizontal="center" readingOrder="1"/>
    </xf>
    <xf numFmtId="0" fontId="4" fillId="0" borderId="0" xfId="0" applyFont="1" applyAlignment="1">
      <alignment horizontal="center" readingOrder="1"/>
    </xf>
    <xf numFmtId="0" fontId="17" fillId="2" borderId="0" xfId="6" applyFont="1" applyFill="1"/>
    <xf numFmtId="0" fontId="3" fillId="8" borderId="2" xfId="0" applyFont="1" applyFill="1" applyBorder="1"/>
    <xf numFmtId="0" fontId="14" fillId="3" borderId="0" xfId="6" applyFont="1" applyFill="1"/>
    <xf numFmtId="0" fontId="4" fillId="0" borderId="0" xfId="6" applyFont="1"/>
    <xf numFmtId="0" fontId="0" fillId="0" borderId="0" xfId="0" applyFont="1"/>
    <xf numFmtId="15" fontId="0" fillId="0" borderId="0" xfId="0" applyNumberFormat="1" applyAlignment="1">
      <alignment horizontal="center"/>
    </xf>
    <xf numFmtId="15" fontId="4" fillId="0" borderId="0" xfId="6" applyNumberFormat="1" applyFont="1" applyAlignment="1">
      <alignment horizontal="center"/>
    </xf>
    <xf numFmtId="0" fontId="0" fillId="0" borderId="0" xfId="0" applyAlignment="1">
      <alignment horizontal="center"/>
    </xf>
    <xf numFmtId="0" fontId="4" fillId="37" borderId="0" xfId="6" applyFont="1" applyFill="1" applyAlignment="1">
      <alignment horizontal="center"/>
    </xf>
    <xf numFmtId="0" fontId="0" fillId="3" borderId="0" xfId="0" applyFill="1"/>
    <xf numFmtId="0" fontId="4" fillId="0" borderId="0" xfId="102"/>
    <xf numFmtId="0" fontId="4" fillId="0" borderId="0" xfId="102" applyFont="1"/>
    <xf numFmtId="0" fontId="14" fillId="0" borderId="5" xfId="102" applyFont="1" applyBorder="1" applyAlignment="1">
      <alignment horizontal="center"/>
    </xf>
    <xf numFmtId="0" fontId="43" fillId="0" borderId="5" xfId="102" applyFont="1" applyFill="1" applyBorder="1" applyAlignment="1"/>
    <xf numFmtId="3" fontId="14" fillId="0" borderId="5" xfId="102" applyNumberFormat="1" applyFont="1" applyBorder="1" applyAlignment="1">
      <alignment horizontal="center"/>
    </xf>
    <xf numFmtId="168" fontId="14" fillId="38" borderId="5" xfId="53" applyNumberFormat="1" applyFont="1" applyFill="1" applyBorder="1" applyAlignment="1">
      <alignment horizontal="center"/>
    </xf>
    <xf numFmtId="168" fontId="44" fillId="0" borderId="5" xfId="102" applyNumberFormat="1" applyFont="1" applyBorder="1" applyAlignment="1"/>
    <xf numFmtId="171" fontId="44" fillId="0" borderId="5" xfId="102" applyNumberFormat="1" applyFont="1" applyBorder="1" applyAlignment="1"/>
    <xf numFmtId="0" fontId="44" fillId="0" borderId="5" xfId="102" applyFont="1" applyBorder="1" applyAlignment="1"/>
    <xf numFmtId="168" fontId="14" fillId="39" borderId="5" xfId="53" applyNumberFormat="1" applyFont="1" applyFill="1" applyBorder="1" applyAlignment="1">
      <alignment horizontal="center"/>
    </xf>
    <xf numFmtId="168" fontId="0" fillId="0" borderId="0" xfId="53" applyNumberFormat="1" applyFont="1"/>
    <xf numFmtId="168" fontId="4" fillId="0" borderId="0" xfId="102" applyNumberFormat="1"/>
    <xf numFmtId="9" fontId="0" fillId="0" borderId="0" xfId="161" applyFont="1"/>
    <xf numFmtId="0" fontId="4" fillId="40" borderId="0" xfId="102" applyFill="1"/>
    <xf numFmtId="0" fontId="4" fillId="3" borderId="0" xfId="102" applyFill="1"/>
    <xf numFmtId="0" fontId="4" fillId="3" borderId="0" xfId="102" applyFill="1" applyAlignment="1">
      <alignment wrapText="1"/>
    </xf>
    <xf numFmtId="164" fontId="4" fillId="0" borderId="0" xfId="102" applyNumberFormat="1"/>
    <xf numFmtId="43" fontId="0" fillId="0" borderId="0" xfId="53" applyNumberFormat="1" applyFont="1"/>
    <xf numFmtId="43" fontId="4" fillId="0" borderId="0" xfId="102" applyNumberFormat="1"/>
    <xf numFmtId="1" fontId="4" fillId="0" borderId="0" xfId="102" applyNumberFormat="1"/>
    <xf numFmtId="9" fontId="4" fillId="0" borderId="0" xfId="102" applyNumberFormat="1"/>
    <xf numFmtId="2" fontId="4" fillId="0" borderId="0" xfId="102" applyNumberFormat="1"/>
    <xf numFmtId="9" fontId="0" fillId="41" borderId="5" xfId="161" applyFont="1" applyFill="1" applyBorder="1"/>
    <xf numFmtId="172" fontId="0" fillId="0" borderId="0" xfId="53" applyNumberFormat="1" applyFont="1"/>
    <xf numFmtId="169" fontId="0" fillId="0" borderId="0" xfId="1" applyNumberFormat="1" applyFont="1"/>
    <xf numFmtId="169" fontId="0" fillId="0" borderId="0" xfId="0" applyNumberFormat="1"/>
    <xf numFmtId="1" fontId="0" fillId="0" borderId="0" xfId="0" applyNumberFormat="1"/>
    <xf numFmtId="0" fontId="2" fillId="0" borderId="0" xfId="4" applyFont="1"/>
    <xf numFmtId="0" fontId="0" fillId="3" borderId="0" xfId="0" applyFill="1" applyAlignment="1">
      <alignment wrapText="1"/>
    </xf>
    <xf numFmtId="0" fontId="4" fillId="0" borderId="0" xfId="0" applyFont="1" applyFill="1" applyBorder="1" applyAlignment="1">
      <alignment horizontal="center" readingOrder="1"/>
    </xf>
    <xf numFmtId="1" fontId="0" fillId="0" borderId="0" xfId="0" applyNumberFormat="1">
      <alignment readingOrder="1"/>
    </xf>
    <xf numFmtId="1" fontId="4" fillId="0" borderId="0" xfId="3" applyNumberFormat="1">
      <alignment readingOrder="1"/>
    </xf>
    <xf numFmtId="0" fontId="47" fillId="42" borderId="0" xfId="4" applyFont="1" applyFill="1" applyAlignment="1">
      <alignment vertical="center"/>
    </xf>
    <xf numFmtId="0" fontId="50" fillId="42" borderId="0" xfId="4" applyFont="1" applyFill="1" applyAlignment="1">
      <alignment vertical="center"/>
    </xf>
    <xf numFmtId="0" fontId="51" fillId="42" borderId="0" xfId="4" applyFont="1" applyFill="1" applyAlignment="1">
      <alignment vertical="center"/>
    </xf>
    <xf numFmtId="49" fontId="52" fillId="43" borderId="23" xfId="4" applyNumberFormat="1" applyFont="1" applyFill="1" applyBorder="1" applyAlignment="1">
      <alignment horizontal="center" vertical="center" wrapText="1"/>
    </xf>
    <xf numFmtId="49" fontId="52" fillId="43" borderId="24" xfId="4" applyNumberFormat="1" applyFont="1" applyFill="1" applyBorder="1" applyAlignment="1">
      <alignment horizontal="center" vertical="center" wrapText="1"/>
    </xf>
    <xf numFmtId="49" fontId="52" fillId="43" borderId="25" xfId="4" applyNumberFormat="1" applyFont="1" applyFill="1" applyBorder="1" applyAlignment="1">
      <alignment horizontal="center" vertical="center" wrapText="1"/>
    </xf>
    <xf numFmtId="0" fontId="53" fillId="42" borderId="0" xfId="4" applyFont="1" applyFill="1" applyAlignment="1">
      <alignment vertical="center"/>
    </xf>
    <xf numFmtId="49" fontId="53" fillId="42" borderId="26" xfId="4" applyNumberFormat="1" applyFont="1" applyFill="1" applyBorder="1" applyAlignment="1">
      <alignment horizontal="left" wrapText="1"/>
    </xf>
    <xf numFmtId="49" fontId="53" fillId="42" borderId="27" xfId="4" applyNumberFormat="1" applyFont="1" applyFill="1" applyBorder="1" applyAlignment="1">
      <alignment horizontal="left" wrapText="1"/>
    </xf>
    <xf numFmtId="2" fontId="53" fillId="42" borderId="27" xfId="4" applyNumberFormat="1" applyFont="1" applyFill="1" applyBorder="1" applyAlignment="1">
      <alignment horizontal="left" wrapText="1"/>
    </xf>
    <xf numFmtId="173" fontId="53" fillId="42" borderId="27" xfId="4" applyNumberFormat="1" applyFont="1" applyFill="1" applyBorder="1" applyAlignment="1">
      <alignment horizontal="left" wrapText="1"/>
    </xf>
    <xf numFmtId="173" fontId="53" fillId="42" borderId="28" xfId="4" applyNumberFormat="1" applyFont="1" applyFill="1" applyBorder="1" applyAlignment="1">
      <alignment horizontal="left" wrapText="1"/>
    </xf>
    <xf numFmtId="49" fontId="54" fillId="42" borderId="26" xfId="4" applyNumberFormat="1" applyFont="1" applyFill="1" applyBorder="1" applyAlignment="1">
      <alignment horizontal="left" wrapText="1"/>
    </xf>
    <xf numFmtId="49" fontId="54" fillId="42" borderId="27" xfId="4" applyNumberFormat="1" applyFont="1" applyFill="1" applyBorder="1" applyAlignment="1">
      <alignment horizontal="left" wrapText="1"/>
    </xf>
    <xf numFmtId="2" fontId="54" fillId="42" borderId="27" xfId="4" applyNumberFormat="1" applyFont="1" applyFill="1" applyBorder="1" applyAlignment="1">
      <alignment horizontal="left" wrapText="1"/>
    </xf>
    <xf numFmtId="173" fontId="54" fillId="42" borderId="27" xfId="4" applyNumberFormat="1" applyFont="1" applyFill="1" applyBorder="1" applyAlignment="1">
      <alignment horizontal="left" wrapText="1"/>
    </xf>
    <xf numFmtId="173" fontId="54" fillId="42" borderId="28" xfId="4" applyNumberFormat="1" applyFont="1" applyFill="1" applyBorder="1" applyAlignment="1">
      <alignment horizontal="left" wrapText="1"/>
    </xf>
    <xf numFmtId="0" fontId="54" fillId="42" borderId="0" xfId="4" applyFont="1" applyFill="1" applyAlignment="1">
      <alignment vertical="center"/>
    </xf>
    <xf numFmtId="0" fontId="4" fillId="0" borderId="0" xfId="4"/>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wrapText="1"/>
    </xf>
    <xf numFmtId="2" fontId="0" fillId="0" borderId="0" xfId="0" applyNumberFormat="1"/>
    <xf numFmtId="0" fontId="32" fillId="0" borderId="0" xfId="187" applyAlignment="1" applyProtection="1"/>
    <xf numFmtId="0" fontId="4" fillId="0" borderId="0" xfId="102" applyFill="1" applyAlignment="1">
      <alignment horizontal="center" vertical="center" wrapText="1"/>
    </xf>
    <xf numFmtId="0" fontId="4" fillId="0" borderId="0" xfId="102" applyFill="1" applyAlignment="1">
      <alignment wrapText="1"/>
    </xf>
    <xf numFmtId="168" fontId="4" fillId="3" borderId="0" xfId="188" applyNumberFormat="1" applyFont="1" applyFill="1"/>
    <xf numFmtId="0" fontId="55" fillId="44" borderId="9" xfId="0" applyFont="1" applyFill="1" applyBorder="1" applyAlignment="1">
      <alignment horizontal="left" readingOrder="1"/>
    </xf>
    <xf numFmtId="0" fontId="55" fillId="44" borderId="8" xfId="0" applyFont="1" applyFill="1" applyBorder="1" applyAlignment="1">
      <alignment horizontal="center" wrapText="1" readingOrder="1"/>
    </xf>
    <xf numFmtId="0" fontId="13" fillId="33" borderId="5" xfId="0" applyFont="1" applyFill="1" applyBorder="1" applyAlignment="1">
      <alignment horizontal="center" wrapText="1" readingOrder="1"/>
    </xf>
    <xf numFmtId="0" fontId="13" fillId="33" borderId="8" xfId="0" applyFont="1" applyFill="1" applyBorder="1" applyAlignment="1">
      <alignment horizontal="center" wrapText="1" readingOrder="1"/>
    </xf>
    <xf numFmtId="164" fontId="13" fillId="33" borderId="8" xfId="0" applyNumberFormat="1" applyFont="1" applyFill="1" applyBorder="1" applyAlignment="1">
      <alignment horizontal="center" wrapText="1" readingOrder="1"/>
    </xf>
    <xf numFmtId="164" fontId="13" fillId="33" borderId="29" xfId="0" applyNumberFormat="1" applyFont="1" applyFill="1" applyBorder="1" applyAlignment="1">
      <alignment horizontal="centerContinuous" wrapText="1" readingOrder="1"/>
    </xf>
    <xf numFmtId="164" fontId="13" fillId="33" borderId="30"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0" fontId="13" fillId="34" borderId="5" xfId="0" applyFont="1" applyFill="1" applyBorder="1" applyAlignment="1">
      <alignment horizontal="center" wrapText="1" readingOrder="1"/>
    </xf>
    <xf numFmtId="0" fontId="13" fillId="34" borderId="8" xfId="0" applyFont="1" applyFill="1" applyBorder="1" applyAlignment="1">
      <alignment horizontal="center" wrapText="1" readingOrder="1"/>
    </xf>
    <xf numFmtId="164" fontId="13" fillId="34" borderId="8" xfId="0" applyNumberFormat="1" applyFont="1" applyFill="1" applyBorder="1" applyAlignment="1">
      <alignment horizontal="center" wrapText="1" readingOrder="1"/>
    </xf>
    <xf numFmtId="164" fontId="12" fillId="0" borderId="0" xfId="0" applyNumberFormat="1" applyFont="1">
      <alignment readingOrder="1"/>
    </xf>
    <xf numFmtId="164" fontId="56" fillId="0" borderId="0" xfId="0" applyNumberFormat="1" applyFont="1">
      <alignment readingOrder="1"/>
    </xf>
    <xf numFmtId="0" fontId="55" fillId="45" borderId="9" xfId="0" applyFont="1" applyFill="1" applyBorder="1" applyAlignment="1">
      <alignment horizontal="left" wrapText="1" readingOrder="1"/>
    </xf>
    <xf numFmtId="0" fontId="55" fillId="45" borderId="8" xfId="0" applyFont="1" applyFill="1" applyBorder="1" applyAlignment="1">
      <alignment horizontal="center" wrapText="1" readingOrder="1"/>
    </xf>
    <xf numFmtId="0" fontId="55" fillId="44" borderId="10" xfId="0" applyFont="1" applyFill="1" applyBorder="1" applyAlignment="1">
      <alignment horizontal="center" wrapText="1"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34" xfId="0" applyBorder="1">
      <alignment readingOrder="1"/>
    </xf>
    <xf numFmtId="0" fontId="0" fillId="0" borderId="0"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0" fillId="0" borderId="38" xfId="0" applyBorder="1">
      <alignment readingOrder="1"/>
    </xf>
    <xf numFmtId="0" fontId="13" fillId="46" borderId="1" xfId="0" applyFont="1" applyFill="1" applyBorder="1" applyAlignment="1">
      <alignment horizontal="centerContinuous" wrapText="1" readingOrder="1"/>
    </xf>
    <xf numFmtId="0" fontId="13" fillId="46" borderId="3" xfId="0" applyFont="1" applyFill="1" applyBorder="1" applyAlignment="1">
      <alignment horizontal="centerContinuous" wrapText="1" readingOrder="1"/>
    </xf>
    <xf numFmtId="164" fontId="13" fillId="46" borderId="1" xfId="0" applyNumberFormat="1" applyFont="1" applyFill="1" applyBorder="1" applyAlignment="1">
      <alignment horizontal="centerContinuous" wrapText="1" readingOrder="1"/>
    </xf>
    <xf numFmtId="164" fontId="13" fillId="46" borderId="2" xfId="0" applyNumberFormat="1" applyFont="1" applyFill="1" applyBorder="1" applyAlignment="1">
      <alignment horizontal="centerContinuous" wrapText="1" readingOrder="1"/>
    </xf>
    <xf numFmtId="164" fontId="13" fillId="46" borderId="3" xfId="0" applyNumberFormat="1" applyFont="1" applyFill="1" applyBorder="1" applyAlignment="1">
      <alignment horizontal="centerContinuous" wrapText="1" readingOrder="1"/>
    </xf>
    <xf numFmtId="164" fontId="13" fillId="46" borderId="10" xfId="0" applyNumberFormat="1" applyFont="1" applyFill="1" applyBorder="1" applyAlignment="1">
      <alignment horizontal="center" wrapText="1" readingOrder="1"/>
    </xf>
    <xf numFmtId="174" fontId="13" fillId="34" borderId="8" xfId="0" applyNumberFormat="1" applyFont="1" applyFill="1" applyBorder="1" applyAlignment="1">
      <alignment horizontal="center" wrapText="1"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64" fontId="14" fillId="0" borderId="0" xfId="0" applyNumberFormat="1" applyFont="1">
      <alignment readingOrder="1"/>
    </xf>
    <xf numFmtId="175" fontId="14" fillId="0" borderId="0" xfId="0" applyNumberFormat="1" applyFont="1">
      <alignment readingOrder="1"/>
    </xf>
    <xf numFmtId="175" fontId="0" fillId="0" borderId="0" xfId="0" applyNumberFormat="1">
      <alignment readingOrder="1"/>
    </xf>
    <xf numFmtId="175" fontId="56" fillId="0" borderId="0" xfId="0" applyNumberFormat="1" applyFont="1">
      <alignment readingOrder="1"/>
    </xf>
    <xf numFmtId="0" fontId="14" fillId="0" borderId="0" xfId="0" applyFont="1" applyAlignment="1">
      <alignment horizontal="center" wrapText="1"/>
    </xf>
    <xf numFmtId="0" fontId="14" fillId="38" borderId="0" xfId="0" applyFont="1" applyFill="1" applyAlignment="1">
      <alignment horizontal="center" wrapText="1"/>
    </xf>
    <xf numFmtId="0" fontId="0" fillId="0" borderId="5" xfId="0" applyBorder="1"/>
    <xf numFmtId="3" fontId="0" fillId="38" borderId="5" xfId="0" applyNumberFormat="1" applyFill="1" applyBorder="1"/>
    <xf numFmtId="168" fontId="0" fillId="0" borderId="5" xfId="53" applyNumberFormat="1" applyFont="1" applyBorder="1"/>
    <xf numFmtId="168" fontId="4" fillId="38" borderId="5" xfId="53" applyNumberFormat="1" applyFont="1" applyFill="1" applyBorder="1"/>
    <xf numFmtId="3" fontId="0" fillId="37" borderId="5" xfId="0" applyNumberFormat="1" applyFill="1" applyBorder="1"/>
    <xf numFmtId="168" fontId="0" fillId="0" borderId="5" xfId="0" applyNumberFormat="1" applyBorder="1"/>
    <xf numFmtId="167" fontId="0" fillId="0" borderId="5" xfId="0" applyNumberFormat="1" applyBorder="1" applyAlignment="1">
      <alignment horizontal="center"/>
    </xf>
    <xf numFmtId="3" fontId="0" fillId="0" borderId="5" xfId="0" applyNumberFormat="1" applyBorder="1"/>
    <xf numFmtId="168" fontId="4" fillId="37" borderId="5" xfId="53" applyNumberFormat="1" applyFont="1" applyFill="1" applyBorder="1"/>
    <xf numFmtId="0" fontId="4" fillId="0" borderId="5" xfId="0" applyFont="1" applyBorder="1" applyAlignment="1">
      <alignment wrapText="1"/>
    </xf>
    <xf numFmtId="3" fontId="0" fillId="0" borderId="5" xfId="0" applyNumberFormat="1" applyBorder="1" applyAlignment="1">
      <alignment wrapText="1"/>
    </xf>
    <xf numFmtId="168" fontId="14" fillId="38" borderId="5" xfId="0" applyNumberFormat="1" applyFont="1" applyFill="1" applyBorder="1" applyAlignment="1">
      <alignment wrapText="1"/>
    </xf>
    <xf numFmtId="0" fontId="14" fillId="0" borderId="0" xfId="0" applyFont="1"/>
    <xf numFmtId="0" fontId="14" fillId="0" borderId="9" xfId="0" applyFont="1" applyBorder="1" applyAlignment="1">
      <alignment horizontal="center"/>
    </xf>
    <xf numFmtId="0" fontId="14" fillId="0" borderId="10" xfId="0" applyFont="1" applyBorder="1" applyAlignment="1">
      <alignment horizontal="center"/>
    </xf>
    <xf numFmtId="0" fontId="14" fillId="0" borderId="8" xfId="0" applyFont="1" applyBorder="1" applyAlignment="1">
      <alignment horizontal="center"/>
    </xf>
    <xf numFmtId="0" fontId="4" fillId="0" borderId="5" xfId="0" applyFont="1" applyBorder="1" applyAlignment="1">
      <alignment horizontal="center"/>
    </xf>
    <xf numFmtId="0" fontId="0" fillId="0" borderId="5" xfId="0" applyBorder="1" applyAlignment="1">
      <alignment horizontal="center"/>
    </xf>
    <xf numFmtId="0" fontId="4" fillId="0" borderId="5" xfId="0" quotePrefix="1" applyFont="1" applyBorder="1" applyAlignment="1">
      <alignment horizontal="center"/>
    </xf>
    <xf numFmtId="168" fontId="0" fillId="0" borderId="0" xfId="0" applyNumberFormat="1"/>
    <xf numFmtId="0" fontId="14" fillId="0" borderId="9" xfId="0" applyFont="1" applyBorder="1"/>
    <xf numFmtId="0" fontId="14" fillId="0" borderId="10" xfId="0" applyFont="1" applyBorder="1"/>
    <xf numFmtId="0" fontId="0" fillId="0" borderId="10" xfId="0" applyBorder="1"/>
    <xf numFmtId="0" fontId="14" fillId="0" borderId="5" xfId="0" applyFont="1" applyBorder="1"/>
    <xf numFmtId="0" fontId="4" fillId="0" borderId="6" xfId="0" applyFont="1" applyBorder="1"/>
    <xf numFmtId="0" fontId="0" fillId="0" borderId="39" xfId="0" applyBorder="1"/>
    <xf numFmtId="0" fontId="4" fillId="0" borderId="7" xfId="0" applyFont="1" applyBorder="1"/>
    <xf numFmtId="0" fontId="4" fillId="0" borderId="40" xfId="0" applyFont="1" applyBorder="1"/>
    <xf numFmtId="0" fontId="0" fillId="0" borderId="0" xfId="0" applyBorder="1"/>
    <xf numFmtId="0" fontId="0" fillId="0" borderId="41" xfId="0" applyBorder="1"/>
    <xf numFmtId="0" fontId="4" fillId="0" borderId="11" xfId="0" applyFont="1" applyBorder="1"/>
    <xf numFmtId="0" fontId="0" fillId="0" borderId="42" xfId="0" applyBorder="1"/>
    <xf numFmtId="0" fontId="4" fillId="0" borderId="4" xfId="0" applyFont="1" applyBorder="1"/>
    <xf numFmtId="0" fontId="4" fillId="0" borderId="0" xfId="0" applyFont="1"/>
    <xf numFmtId="0" fontId="57" fillId="37" borderId="0" xfId="0" applyFont="1" applyFill="1"/>
    <xf numFmtId="0" fontId="14" fillId="0" borderId="0" xfId="0" applyFont="1" applyAlignment="1">
      <alignment horizontal="left"/>
    </xf>
    <xf numFmtId="0" fontId="14" fillId="0" borderId="6" xfId="0" applyFont="1" applyBorder="1" applyAlignment="1">
      <alignment horizontal="center"/>
    </xf>
    <xf numFmtId="0" fontId="14" fillId="0" borderId="39" xfId="0" applyFont="1"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14" fillId="0" borderId="5" xfId="0" applyFont="1" applyBorder="1" applyAlignment="1">
      <alignment horizontal="center" wrapText="1"/>
    </xf>
    <xf numFmtId="0" fontId="14" fillId="0" borderId="9" xfId="0" applyFont="1" applyBorder="1" applyAlignment="1">
      <alignment horizontal="center" wrapText="1"/>
    </xf>
    <xf numFmtId="0" fontId="14" fillId="0" borderId="43" xfId="0" applyFont="1" applyBorder="1" applyAlignment="1">
      <alignment horizontal="center" wrapText="1"/>
    </xf>
    <xf numFmtId="0" fontId="14" fillId="0" borderId="4" xfId="0" applyFont="1" applyBorder="1" applyAlignment="1">
      <alignment horizontal="center" wrapText="1"/>
    </xf>
    <xf numFmtId="0" fontId="0" fillId="0" borderId="0" xfId="0" applyAlignment="1">
      <alignment horizontal="center" wrapText="1"/>
    </xf>
    <xf numFmtId="0" fontId="4" fillId="0" borderId="6" xfId="0" applyFont="1" applyBorder="1" applyAlignment="1">
      <alignment horizontal="center"/>
    </xf>
    <xf numFmtId="0" fontId="4" fillId="0" borderId="39" xfId="0" applyFont="1" applyBorder="1" applyAlignment="1">
      <alignment horizontal="center"/>
    </xf>
    <xf numFmtId="0" fontId="0" fillId="0" borderId="39" xfId="0" applyBorder="1" applyAlignment="1">
      <alignment horizontal="center"/>
    </xf>
    <xf numFmtId="6" fontId="0" fillId="0" borderId="39" xfId="0" applyNumberFormat="1" applyBorder="1" applyAlignment="1">
      <alignment horizontal="center"/>
    </xf>
    <xf numFmtId="168" fontId="0" fillId="0" borderId="44" xfId="53" applyNumberFormat="1" applyFont="1" applyBorder="1" applyAlignment="1">
      <alignment horizontal="center"/>
    </xf>
    <xf numFmtId="0" fontId="4" fillId="0" borderId="40" xfId="0" applyFont="1" applyBorder="1" applyAlignment="1">
      <alignment horizontal="center"/>
    </xf>
    <xf numFmtId="0" fontId="4" fillId="0" borderId="0" xfId="0" applyFont="1" applyBorder="1" applyAlignment="1">
      <alignment horizontal="center"/>
    </xf>
    <xf numFmtId="6" fontId="0" fillId="0" borderId="0" xfId="0" applyNumberFormat="1" applyBorder="1" applyAlignment="1">
      <alignment horizontal="center"/>
    </xf>
    <xf numFmtId="168" fontId="0" fillId="0" borderId="45" xfId="53" applyNumberFormat="1" applyFont="1" applyBorder="1" applyAlignment="1">
      <alignment horizontal="center"/>
    </xf>
    <xf numFmtId="0" fontId="4" fillId="0" borderId="11" xfId="0" applyFont="1" applyBorder="1" applyAlignment="1">
      <alignment horizontal="center"/>
    </xf>
    <xf numFmtId="0" fontId="4" fillId="0" borderId="42" xfId="0" applyFont="1" applyBorder="1" applyAlignment="1">
      <alignment horizontal="center"/>
    </xf>
    <xf numFmtId="0" fontId="0" fillId="0" borderId="42" xfId="0" applyBorder="1" applyAlignment="1">
      <alignment horizontal="center"/>
    </xf>
    <xf numFmtId="6" fontId="0" fillId="0" borderId="42" xfId="0" applyNumberFormat="1" applyBorder="1" applyAlignment="1">
      <alignment horizontal="center"/>
    </xf>
    <xf numFmtId="168" fontId="0" fillId="0" borderId="43" xfId="53" applyNumberFormat="1" applyFont="1" applyBorder="1" applyAlignment="1">
      <alignment horizontal="center"/>
    </xf>
    <xf numFmtId="168" fontId="14" fillId="38" borderId="0" xfId="0" applyNumberFormat="1" applyFont="1" applyFill="1"/>
    <xf numFmtId="0" fontId="4" fillId="39" borderId="0" xfId="0" applyFont="1" applyFill="1"/>
    <xf numFmtId="0" fontId="0" fillId="39" borderId="0" xfId="0" applyFill="1"/>
    <xf numFmtId="0" fontId="14" fillId="39" borderId="5" xfId="0" applyFont="1" applyFill="1" applyBorder="1" applyAlignment="1">
      <alignment horizontal="center" wrapText="1"/>
    </xf>
    <xf numFmtId="3" fontId="0" fillId="0" borderId="5" xfId="0" applyNumberFormat="1" applyBorder="1" applyAlignment="1">
      <alignment horizontal="center"/>
    </xf>
    <xf numFmtId="9" fontId="0" fillId="0" borderId="5" xfId="0" applyNumberFormat="1" applyBorder="1" applyAlignment="1">
      <alignment horizontal="center"/>
    </xf>
    <xf numFmtId="9" fontId="0" fillId="0" borderId="0" xfId="189" applyFont="1"/>
    <xf numFmtId="168" fontId="4" fillId="0" borderId="0" xfId="188" applyNumberFormat="1" applyFont="1"/>
    <xf numFmtId="172" fontId="4" fillId="0" borderId="0" xfId="102" applyNumberFormat="1"/>
    <xf numFmtId="0" fontId="14" fillId="2" borderId="7" xfId="0" applyFont="1" applyFill="1" applyBorder="1">
      <alignment readingOrder="1"/>
    </xf>
    <xf numFmtId="0" fontId="0" fillId="0" borderId="0" xfId="0" applyFill="1">
      <alignment readingOrder="1"/>
    </xf>
    <xf numFmtId="0" fontId="0" fillId="2" borderId="41" xfId="0" applyFill="1" applyBorder="1">
      <alignment readingOrder="1"/>
    </xf>
    <xf numFmtId="0" fontId="0" fillId="0" borderId="0" xfId="0" applyFill="1" applyAlignment="1">
      <alignment vertical="center" wrapText="1" readingOrder="1"/>
    </xf>
    <xf numFmtId="0" fontId="14" fillId="2" borderId="41" xfId="0" applyFont="1" applyFill="1" applyBorder="1">
      <alignment readingOrder="1"/>
    </xf>
    <xf numFmtId="0" fontId="0" fillId="2" borderId="10" xfId="0" applyNumberFormat="1" applyFill="1" applyBorder="1" applyAlignment="1">
      <alignment vertical="center" wrapText="1" readingOrder="1"/>
    </xf>
    <xf numFmtId="0" fontId="0" fillId="2" borderId="8" xfId="0" applyNumberFormat="1" applyFill="1" applyBorder="1" applyAlignment="1">
      <alignment vertical="center" wrapText="1" readingOrder="1"/>
    </xf>
    <xf numFmtId="0" fontId="0" fillId="2" borderId="42" xfId="0" applyNumberFormat="1" applyFill="1" applyBorder="1" applyAlignment="1">
      <alignment vertical="center" wrapText="1" readingOrder="1"/>
    </xf>
    <xf numFmtId="0" fontId="0" fillId="2" borderId="43" xfId="0" applyNumberFormat="1" applyFill="1" applyBorder="1" applyAlignment="1">
      <alignment vertical="center" wrapText="1" readingOrder="1"/>
    </xf>
    <xf numFmtId="0" fontId="0" fillId="3" borderId="0" xfId="0" applyFill="1">
      <alignment readingOrder="1"/>
    </xf>
    <xf numFmtId="0" fontId="59" fillId="47" borderId="0" xfId="0" applyFont="1" applyFill="1">
      <alignment readingOrder="1"/>
    </xf>
    <xf numFmtId="1" fontId="0" fillId="0" borderId="0" xfId="0" quotePrefix="1" applyNumberFormat="1">
      <alignment readingOrder="1"/>
    </xf>
    <xf numFmtId="0" fontId="0" fillId="3" borderId="0" xfId="0" applyFill="1" applyAlignment="1">
      <alignment vertical="center" wrapText="1" readingOrder="1"/>
    </xf>
    <xf numFmtId="0" fontId="0" fillId="0" borderId="0" xfId="0" quotePrefix="1">
      <alignment readingOrder="1"/>
    </xf>
    <xf numFmtId="0" fontId="0" fillId="2" borderId="0" xfId="0" applyFill="1">
      <alignment readingOrder="1"/>
    </xf>
    <xf numFmtId="168" fontId="0" fillId="0" borderId="0" xfId="188" applyNumberFormat="1" applyFont="1">
      <alignment readingOrder="1"/>
    </xf>
    <xf numFmtId="0" fontId="60" fillId="40" borderId="7" xfId="0" applyFont="1" applyFill="1" applyBorder="1"/>
    <xf numFmtId="0" fontId="60" fillId="3" borderId="5" xfId="0" applyFont="1" applyFill="1" applyBorder="1"/>
    <xf numFmtId="0" fontId="60" fillId="3" borderId="9" xfId="0" applyFont="1" applyFill="1" applyBorder="1"/>
    <xf numFmtId="0" fontId="60" fillId="40" borderId="5" xfId="0" applyFont="1" applyFill="1" applyBorder="1"/>
    <xf numFmtId="9" fontId="60" fillId="3" borderId="5" xfId="161" applyFont="1" applyFill="1" applyBorder="1"/>
    <xf numFmtId="0" fontId="0" fillId="0" borderId="0" xfId="0" applyFill="1" applyBorder="1">
      <alignment readingOrder="1"/>
    </xf>
    <xf numFmtId="0" fontId="60" fillId="3" borderId="6" xfId="0" applyFont="1" applyFill="1" applyBorder="1"/>
    <xf numFmtId="0" fontId="60" fillId="3" borderId="11" xfId="0" applyFont="1" applyFill="1" applyBorder="1"/>
    <xf numFmtId="168" fontId="0" fillId="0" borderId="0" xfId="188" applyNumberFormat="1" applyFont="1" applyFill="1">
      <alignment readingOrder="1"/>
    </xf>
    <xf numFmtId="164" fontId="0" fillId="48" borderId="0" xfId="0" applyNumberFormat="1" applyFill="1" applyAlignment="1">
      <alignment horizontal="center" readingOrder="1"/>
    </xf>
    <xf numFmtId="0" fontId="60" fillId="2" borderId="5" xfId="0" applyFont="1" applyFill="1" applyBorder="1"/>
    <xf numFmtId="0" fontId="0" fillId="0" borderId="0" xfId="0" applyAlignment="1">
      <alignment horizontal="center" readingOrder="1"/>
    </xf>
    <xf numFmtId="0" fontId="0" fillId="3" borderId="0" xfId="0" applyFill="1" applyAlignment="1">
      <alignment horizontal="center" readingOrder="1"/>
    </xf>
    <xf numFmtId="177" fontId="0" fillId="0" borderId="0" xfId="0" applyNumberFormat="1">
      <alignment readingOrder="1"/>
    </xf>
    <xf numFmtId="0" fontId="0" fillId="3" borderId="0" xfId="0" applyFill="1" applyAlignment="1">
      <alignment horizontal="right" readingOrder="1"/>
    </xf>
    <xf numFmtId="176" fontId="0" fillId="0" borderId="0" xfId="0" applyNumberFormat="1">
      <alignment readingOrder="1"/>
    </xf>
    <xf numFmtId="2" fontId="0" fillId="0" borderId="0" xfId="0" applyNumberFormat="1">
      <alignment readingOrder="1"/>
    </xf>
    <xf numFmtId="0" fontId="60" fillId="48" borderId="5" xfId="0" applyFont="1" applyFill="1" applyBorder="1"/>
    <xf numFmtId="164" fontId="60" fillId="48" borderId="5" xfId="0" applyNumberFormat="1" applyFont="1" applyFill="1" applyBorder="1"/>
    <xf numFmtId="0" fontId="4" fillId="39" borderId="9" xfId="102" applyFill="1" applyBorder="1"/>
    <xf numFmtId="9" fontId="4" fillId="39" borderId="8" xfId="102" applyNumberFormat="1" applyFill="1" applyBorder="1"/>
    <xf numFmtId="168" fontId="1" fillId="49" borderId="0" xfId="188" applyNumberFormat="1" applyFont="1" applyFill="1">
      <alignment readingOrder="1"/>
    </xf>
    <xf numFmtId="0" fontId="2" fillId="3" borderId="0" xfId="0" applyFont="1" applyFill="1" applyBorder="1"/>
    <xf numFmtId="9" fontId="58" fillId="2" borderId="46" xfId="0" applyNumberFormat="1" applyFont="1" applyFill="1" applyBorder="1">
      <alignment readingOrder="1"/>
    </xf>
    <xf numFmtId="168" fontId="0" fillId="2" borderId="0" xfId="188" applyNumberFormat="1" applyFont="1" applyFill="1">
      <alignment readingOrder="1"/>
    </xf>
    <xf numFmtId="168" fontId="0" fillId="2" borderId="0" xfId="0" applyNumberFormat="1" applyFill="1">
      <alignment readingOrder="1"/>
    </xf>
    <xf numFmtId="9" fontId="0" fillId="48" borderId="0" xfId="189" applyFont="1" applyFill="1">
      <alignment readingOrder="1"/>
    </xf>
    <xf numFmtId="9" fontId="0" fillId="48" borderId="0" xfId="161" applyFont="1" applyFill="1" applyAlignment="1">
      <alignment horizontal="center" readingOrder="1"/>
    </xf>
    <xf numFmtId="168" fontId="0" fillId="0" borderId="0" xfId="0" applyNumberFormat="1">
      <alignment readingOrder="1"/>
    </xf>
    <xf numFmtId="1" fontId="0" fillId="2" borderId="0" xfId="0" applyNumberFormat="1" applyFill="1">
      <alignment readingOrder="1"/>
    </xf>
    <xf numFmtId="0" fontId="4" fillId="0" borderId="0" xfId="3" applyFill="1">
      <alignment readingOrder="1"/>
    </xf>
    <xf numFmtId="0" fontId="60" fillId="3" borderId="7" xfId="0" applyFont="1" applyFill="1" applyBorder="1"/>
    <xf numFmtId="1" fontId="0" fillId="48" borderId="0" xfId="0" applyNumberFormat="1" applyFill="1" applyAlignment="1">
      <alignment horizontal="center" readingOrder="1"/>
    </xf>
    <xf numFmtId="9" fontId="0" fillId="0" borderId="0" xfId="0" applyNumberFormat="1">
      <alignment readingOrder="1"/>
    </xf>
    <xf numFmtId="168" fontId="4" fillId="40" borderId="0" xfId="188" applyNumberFormat="1" applyFont="1" applyFill="1"/>
    <xf numFmtId="9" fontId="4" fillId="40" borderId="0" xfId="102" applyNumberFormat="1" applyFill="1"/>
    <xf numFmtId="168" fontId="4" fillId="40" borderId="0" xfId="102" applyNumberFormat="1" applyFill="1"/>
    <xf numFmtId="0" fontId="61" fillId="0" borderId="0" xfId="103" applyFont="1" applyAlignment="1">
      <alignment horizontal="left"/>
    </xf>
    <xf numFmtId="0" fontId="53" fillId="0" borderId="0" xfId="103" applyFont="1"/>
    <xf numFmtId="3" fontId="53" fillId="0" borderId="0" xfId="103" applyNumberFormat="1" applyFont="1"/>
    <xf numFmtId="0" fontId="53" fillId="0" borderId="0" xfId="103" applyFont="1" applyAlignment="1">
      <alignment horizontal="center"/>
    </xf>
    <xf numFmtId="0" fontId="2" fillId="0" borderId="0" xfId="103"/>
    <xf numFmtId="0" fontId="62" fillId="0" borderId="0" xfId="103" applyFont="1" applyAlignment="1">
      <alignment horizontal="left"/>
    </xf>
    <xf numFmtId="0" fontId="53" fillId="0" borderId="0" xfId="103" applyFont="1" applyAlignment="1">
      <alignment horizontal="right"/>
    </xf>
    <xf numFmtId="0" fontId="63" fillId="0" borderId="0" xfId="103" applyFont="1" applyAlignment="1">
      <alignment horizontal="left"/>
    </xf>
    <xf numFmtId="0" fontId="64" fillId="0" borderId="0" xfId="103" applyFont="1" applyAlignment="1">
      <alignment horizontal="left"/>
    </xf>
    <xf numFmtId="0" fontId="65" fillId="0" borderId="0" xfId="103" applyFont="1"/>
    <xf numFmtId="0" fontId="66" fillId="0" borderId="0" xfId="103" applyFont="1" applyAlignment="1">
      <alignment horizontal="left"/>
    </xf>
    <xf numFmtId="49" fontId="70" fillId="0" borderId="47" xfId="103" applyNumberFormat="1" applyFont="1" applyBorder="1" applyAlignment="1">
      <alignment horizontal="center"/>
    </xf>
    <xf numFmtId="49" fontId="70" fillId="0" borderId="47" xfId="103" applyNumberFormat="1" applyFont="1" applyBorder="1"/>
    <xf numFmtId="3" fontId="70" fillId="0" borderId="47" xfId="103" applyNumberFormat="1" applyFont="1" applyBorder="1"/>
    <xf numFmtId="0" fontId="70" fillId="0" borderId="47" xfId="103" applyFont="1" applyBorder="1" applyAlignment="1">
      <alignment horizontal="center"/>
    </xf>
    <xf numFmtId="49" fontId="70" fillId="0" borderId="48" xfId="103" applyNumberFormat="1" applyFont="1" applyBorder="1" applyAlignment="1">
      <alignment horizontal="center"/>
    </xf>
    <xf numFmtId="49" fontId="70" fillId="0" borderId="48" xfId="103" applyNumberFormat="1" applyFont="1" applyBorder="1"/>
    <xf numFmtId="3" fontId="70" fillId="0" borderId="48" xfId="103" applyNumberFormat="1" applyFont="1" applyBorder="1"/>
    <xf numFmtId="0" fontId="70" fillId="0" borderId="48" xfId="103" applyFont="1" applyBorder="1" applyAlignment="1">
      <alignment horizontal="center"/>
    </xf>
    <xf numFmtId="0" fontId="70" fillId="0" borderId="0" xfId="103" applyFont="1" applyAlignment="1">
      <alignment horizontal="center"/>
    </xf>
    <xf numFmtId="0" fontId="70" fillId="0" borderId="0" xfId="103" applyFont="1"/>
    <xf numFmtId="3" fontId="70" fillId="0" borderId="0" xfId="103" applyNumberFormat="1" applyFont="1"/>
    <xf numFmtId="168" fontId="53" fillId="0" borderId="0" xfId="188" applyNumberFormat="1" applyFont="1"/>
    <xf numFmtId="9" fontId="4" fillId="40" borderId="0" xfId="189" applyFont="1" applyFill="1"/>
    <xf numFmtId="0" fontId="60" fillId="0" borderId="0" xfId="103" applyFont="1" applyAlignment="1">
      <alignment horizontal="center" vertical="center" wrapText="1"/>
    </xf>
    <xf numFmtId="0" fontId="71" fillId="0" borderId="0" xfId="103" applyFont="1" applyAlignment="1">
      <alignment horizontal="center" vertical="center" wrapText="1"/>
    </xf>
    <xf numFmtId="3" fontId="2" fillId="0" borderId="0" xfId="103" applyNumberFormat="1"/>
    <xf numFmtId="9" fontId="2" fillId="0" borderId="0" xfId="103" applyNumberFormat="1"/>
    <xf numFmtId="9" fontId="72" fillId="0" borderId="0" xfId="103" applyNumberFormat="1" applyFont="1"/>
    <xf numFmtId="3" fontId="72" fillId="0" borderId="0" xfId="103" applyNumberFormat="1" applyFont="1"/>
    <xf numFmtId="168" fontId="0" fillId="0" borderId="0" xfId="190" applyNumberFormat="1" applyFont="1"/>
    <xf numFmtId="168" fontId="60" fillId="0" borderId="0" xfId="103" applyNumberFormat="1" applyFont="1"/>
    <xf numFmtId="9" fontId="2" fillId="39" borderId="5" xfId="103" applyNumberFormat="1" applyFill="1" applyBorder="1"/>
    <xf numFmtId="0" fontId="2" fillId="3" borderId="6" xfId="103" applyFill="1" applyBorder="1"/>
    <xf numFmtId="0" fontId="2" fillId="3" borderId="39" xfId="103" applyFill="1" applyBorder="1"/>
    <xf numFmtId="0" fontId="2" fillId="3" borderId="44" xfId="103" applyFill="1" applyBorder="1"/>
    <xf numFmtId="0" fontId="2" fillId="0" borderId="40" xfId="103" applyBorder="1"/>
    <xf numFmtId="0" fontId="2" fillId="0" borderId="0" xfId="103" applyBorder="1"/>
    <xf numFmtId="0" fontId="2" fillId="0" borderId="45" xfId="103" applyBorder="1"/>
    <xf numFmtId="3" fontId="2" fillId="0" borderId="40" xfId="103" applyNumberFormat="1" applyBorder="1"/>
    <xf numFmtId="10" fontId="2" fillId="0" borderId="40" xfId="103" applyNumberFormat="1" applyBorder="1"/>
    <xf numFmtId="3" fontId="60" fillId="0" borderId="11" xfId="103" applyNumberFormat="1" applyFont="1" applyBorder="1"/>
    <xf numFmtId="0" fontId="60" fillId="0" borderId="42" xfId="103" applyFont="1" applyBorder="1"/>
    <xf numFmtId="0" fontId="2" fillId="0" borderId="42" xfId="103" applyBorder="1"/>
    <xf numFmtId="0" fontId="2" fillId="0" borderId="43" xfId="103" applyBorder="1"/>
    <xf numFmtId="168" fontId="2" fillId="0" borderId="0" xfId="188" applyNumberFormat="1" applyFont="1"/>
    <xf numFmtId="168" fontId="2" fillId="8" borderId="5" xfId="188" applyNumberFormat="1" applyFont="1" applyFill="1" applyBorder="1"/>
    <xf numFmtId="3" fontId="74" fillId="0" borderId="0" xfId="103" applyNumberFormat="1" applyFont="1"/>
    <xf numFmtId="178" fontId="0" fillId="0" borderId="0" xfId="189" applyNumberFormat="1" applyFont="1"/>
    <xf numFmtId="178" fontId="75" fillId="0" borderId="0" xfId="189" applyNumberFormat="1" applyFont="1"/>
    <xf numFmtId="9" fontId="2" fillId="8" borderId="5" xfId="103" applyNumberFormat="1" applyFill="1" applyBorder="1"/>
    <xf numFmtId="0" fontId="44" fillId="0" borderId="0" xfId="0" applyFont="1" applyAlignment="1">
      <alignment horizontal="center" readingOrder="1"/>
    </xf>
    <xf numFmtId="9" fontId="0" fillId="48" borderId="0" xfId="189" applyFont="1" applyFill="1" applyAlignment="1">
      <alignment horizontal="center" readingOrder="1"/>
    </xf>
    <xf numFmtId="0" fontId="0" fillId="37" borderId="0" xfId="0" applyFill="1"/>
    <xf numFmtId="1" fontId="0" fillId="37" borderId="0" xfId="0" applyNumberFormat="1" applyFill="1"/>
    <xf numFmtId="169" fontId="0" fillId="37" borderId="0" xfId="1" applyNumberFormat="1" applyFont="1" applyFill="1"/>
    <xf numFmtId="0" fontId="2" fillId="37" borderId="0" xfId="4" applyFont="1" applyFill="1"/>
    <xf numFmtId="9" fontId="0" fillId="37" borderId="0" xfId="189" applyFont="1" applyFill="1"/>
    <xf numFmtId="9" fontId="0" fillId="37" borderId="0" xfId="0" applyNumberFormat="1" applyFill="1"/>
    <xf numFmtId="0" fontId="0" fillId="0" borderId="0" xfId="0" applyFill="1"/>
    <xf numFmtId="0" fontId="58" fillId="40" borderId="0" xfId="0" applyFont="1" applyFill="1">
      <alignment readingOrder="1"/>
    </xf>
    <xf numFmtId="0" fontId="2" fillId="39" borderId="9" xfId="103" applyFill="1" applyBorder="1"/>
    <xf numFmtId="0" fontId="2" fillId="39" borderId="8" xfId="103" applyFill="1" applyBorder="1"/>
    <xf numFmtId="164" fontId="0" fillId="2" borderId="0" xfId="0" applyNumberFormat="1" applyFill="1">
      <alignment readingOrder="1"/>
    </xf>
    <xf numFmtId="0" fontId="60" fillId="3" borderId="39" xfId="0" applyFont="1" applyFill="1" applyBorder="1"/>
    <xf numFmtId="0" fontId="60" fillId="3" borderId="44" xfId="0" applyFont="1" applyFill="1" applyBorder="1"/>
    <xf numFmtId="0" fontId="60" fillId="3" borderId="42" xfId="0" applyFont="1" applyFill="1" applyBorder="1"/>
    <xf numFmtId="0" fontId="60" fillId="3" borderId="43" xfId="0" applyFont="1" applyFill="1" applyBorder="1"/>
    <xf numFmtId="2" fontId="0" fillId="10" borderId="0" xfId="0" applyNumberFormat="1" applyFill="1" applyAlignment="1">
      <alignment horizontal="center" readingOrder="1"/>
    </xf>
    <xf numFmtId="1" fontId="0" fillId="10" borderId="0" xfId="0" applyNumberFormat="1" applyFill="1" applyAlignment="1">
      <alignment horizontal="center" readingOrder="1"/>
    </xf>
    <xf numFmtId="43" fontId="0" fillId="10" borderId="0" xfId="53" applyFont="1" applyFill="1" applyAlignment="1">
      <alignment horizontal="center" readingOrder="1"/>
    </xf>
    <xf numFmtId="0" fontId="0" fillId="2" borderId="6" xfId="0" applyNumberFormat="1" applyFill="1" applyBorder="1" applyAlignment="1">
      <alignment horizontal="left" vertical="center" wrapText="1" readingOrder="1"/>
    </xf>
    <xf numFmtId="0" fontId="0" fillId="2" borderId="39" xfId="0" applyNumberFormat="1" applyFill="1" applyBorder="1" applyAlignment="1">
      <alignment horizontal="left" vertical="center" wrapText="1" readingOrder="1"/>
    </xf>
    <xf numFmtId="0" fontId="0" fillId="2" borderId="44" xfId="0" applyNumberFormat="1" applyFill="1" applyBorder="1" applyAlignment="1">
      <alignment horizontal="left" vertical="center" wrapText="1" readingOrder="1"/>
    </xf>
    <xf numFmtId="0" fontId="0" fillId="2" borderId="40" xfId="0" applyNumberFormat="1" applyFill="1" applyBorder="1" applyAlignment="1">
      <alignment horizontal="left" vertical="center" wrapText="1" readingOrder="1"/>
    </xf>
    <xf numFmtId="0" fontId="0" fillId="2" borderId="0" xfId="0" applyNumberFormat="1" applyFill="1" applyBorder="1" applyAlignment="1">
      <alignment horizontal="left" vertical="center" wrapText="1" readingOrder="1"/>
    </xf>
    <xf numFmtId="0" fontId="0" fillId="2" borderId="45" xfId="0" applyNumberFormat="1" applyFill="1" applyBorder="1" applyAlignment="1">
      <alignment horizontal="left" vertical="center" wrapText="1" readingOrder="1"/>
    </xf>
    <xf numFmtId="0" fontId="0" fillId="2" borderId="42" xfId="0" applyNumberFormat="1" applyFill="1" applyBorder="1" applyAlignment="1">
      <alignment horizontal="left" vertical="center" wrapText="1" readingOrder="1"/>
    </xf>
    <xf numFmtId="0" fontId="0" fillId="2" borderId="43" xfId="0" applyNumberFormat="1" applyFill="1" applyBorder="1" applyAlignment="1">
      <alignment horizontal="left" vertical="center" wrapText="1" readingOrder="1"/>
    </xf>
    <xf numFmtId="0" fontId="13" fillId="5" borderId="9" xfId="5" applyFont="1" applyFill="1" applyBorder="1" applyAlignment="1">
      <alignment horizontal="center"/>
    </xf>
    <xf numFmtId="0" fontId="13" fillId="5" borderId="10" xfId="5" applyFont="1" applyFill="1" applyBorder="1" applyAlignment="1">
      <alignment horizontal="center"/>
    </xf>
    <xf numFmtId="0" fontId="13" fillId="5" borderId="8" xfId="5"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5" applyFont="1" applyFill="1" applyBorder="1" applyAlignment="1">
      <alignment horizontal="center"/>
    </xf>
    <xf numFmtId="0" fontId="4" fillId="3" borderId="0" xfId="102" applyFill="1" applyAlignment="1">
      <alignment horizontal="center" vertical="center" wrapText="1"/>
    </xf>
    <xf numFmtId="0" fontId="4" fillId="3" borderId="0" xfId="102" applyFill="1" applyAlignment="1">
      <alignment horizontal="center" vertical="center"/>
    </xf>
    <xf numFmtId="0" fontId="14" fillId="0" borderId="0" xfId="0" applyFont="1" applyAlignment="1">
      <alignment horizontal="center" wrapText="1"/>
    </xf>
    <xf numFmtId="0" fontId="4" fillId="40" borderId="0" xfId="102" applyFill="1" applyAlignment="1">
      <alignment horizontal="left" vertical="center" wrapText="1"/>
    </xf>
    <xf numFmtId="49" fontId="48" fillId="42" borderId="0" xfId="4" applyNumberFormat="1" applyFont="1" applyFill="1" applyAlignment="1">
      <alignment horizontal="left"/>
    </xf>
    <xf numFmtId="49" fontId="49" fillId="42" borderId="0" xfId="4" applyNumberFormat="1" applyFont="1" applyFill="1" applyAlignment="1">
      <alignment horizontal="left"/>
    </xf>
    <xf numFmtId="49" fontId="13" fillId="42" borderId="0" xfId="4" applyNumberFormat="1" applyFont="1" applyFill="1" applyAlignment="1">
      <alignment horizontal="left"/>
    </xf>
    <xf numFmtId="0" fontId="68" fillId="0" borderId="7" xfId="103" applyFont="1" applyBorder="1" applyAlignment="1">
      <alignment horizontal="center" wrapText="1"/>
    </xf>
    <xf numFmtId="0" fontId="68" fillId="0" borderId="41" xfId="103" applyFont="1" applyBorder="1" applyAlignment="1">
      <alignment horizontal="center" wrapText="1"/>
    </xf>
    <xf numFmtId="0" fontId="68" fillId="0" borderId="4" xfId="103" applyFont="1" applyBorder="1" applyAlignment="1">
      <alignment horizontal="center" wrapText="1"/>
    </xf>
    <xf numFmtId="3" fontId="68" fillId="0" borderId="7" xfId="103" applyNumberFormat="1" applyFont="1" applyBorder="1" applyAlignment="1">
      <alignment horizontal="center" wrapText="1"/>
    </xf>
    <xf numFmtId="3" fontId="68" fillId="0" borderId="41" xfId="103" applyNumberFormat="1" applyFont="1" applyBorder="1" applyAlignment="1">
      <alignment horizontal="center" wrapText="1"/>
    </xf>
    <xf numFmtId="3" fontId="68" fillId="0" borderId="4" xfId="103" applyNumberFormat="1" applyFont="1" applyBorder="1" applyAlignment="1">
      <alignment horizontal="center" wrapText="1"/>
    </xf>
    <xf numFmtId="0" fontId="68" fillId="0" borderId="7" xfId="103" applyFont="1" applyBorder="1" applyAlignment="1">
      <alignment horizontal="center"/>
    </xf>
    <xf numFmtId="0" fontId="68" fillId="0" borderId="41" xfId="103" applyFont="1" applyBorder="1" applyAlignment="1">
      <alignment horizontal="center"/>
    </xf>
    <xf numFmtId="0" fontId="68" fillId="0" borderId="4" xfId="103" applyFont="1" applyBorder="1" applyAlignment="1">
      <alignment horizontal="center"/>
    </xf>
    <xf numFmtId="3" fontId="68" fillId="0" borderId="7" xfId="103" applyNumberFormat="1" applyFont="1" applyBorder="1" applyAlignment="1">
      <alignment horizontal="center"/>
    </xf>
    <xf numFmtId="3" fontId="68" fillId="0" borderId="41" xfId="103" applyNumberFormat="1" applyFont="1" applyBorder="1" applyAlignment="1">
      <alignment horizontal="center"/>
    </xf>
    <xf numFmtId="3" fontId="68" fillId="0" borderId="4" xfId="103" applyNumberFormat="1" applyFont="1" applyBorder="1" applyAlignment="1">
      <alignment horizontal="center"/>
    </xf>
    <xf numFmtId="0" fontId="59" fillId="47" borderId="44" xfId="0" applyFont="1" applyFill="1" applyBorder="1">
      <alignment readingOrder="1"/>
    </xf>
    <xf numFmtId="0" fontId="59" fillId="47" borderId="45" xfId="0" applyFont="1" applyFill="1" applyBorder="1">
      <alignment readingOrder="1"/>
    </xf>
    <xf numFmtId="0" fontId="0" fillId="3" borderId="6" xfId="0" applyFill="1" applyBorder="1">
      <alignment readingOrder="1"/>
    </xf>
    <xf numFmtId="0" fontId="0" fillId="3" borderId="40" xfId="0" applyFill="1" applyBorder="1">
      <alignment readingOrder="1"/>
    </xf>
    <xf numFmtId="0" fontId="0" fillId="3" borderId="11" xfId="0" applyFill="1" applyBorder="1">
      <alignment readingOrder="1"/>
    </xf>
    <xf numFmtId="164" fontId="58" fillId="48" borderId="42" xfId="0" applyNumberFormat="1" applyFont="1" applyFill="1" applyBorder="1" applyAlignment="1">
      <alignment horizontal="center" readingOrder="1"/>
    </xf>
    <xf numFmtId="0" fontId="76" fillId="50" borderId="29" xfId="0" applyFont="1" applyFill="1" applyBorder="1" applyAlignment="1">
      <alignment horizontal="center" wrapText="1"/>
    </xf>
    <xf numFmtId="0" fontId="76" fillId="50" borderId="49" xfId="0" applyFont="1" applyFill="1" applyBorder="1" applyAlignment="1">
      <alignment horizontal="center" wrapText="1"/>
    </xf>
    <xf numFmtId="14" fontId="0" fillId="0" borderId="0" xfId="0" applyNumberFormat="1"/>
  </cellXfs>
  <cellStyles count="192">
    <cellStyle name="20% - Accent1 2" xfId="8"/>
    <cellStyle name="20% - Accent1 2 2" xfId="9"/>
    <cellStyle name="20% - Accent2 2" xfId="10"/>
    <cellStyle name="20% - Accent3 2" xfId="11"/>
    <cellStyle name="20% - Accent3 2 2" xfId="12"/>
    <cellStyle name="20% - Accent4 2" xfId="13"/>
    <cellStyle name="20% - Accent4 2 2" xfId="14"/>
    <cellStyle name="20% - Accent5 2" xfId="15"/>
    <cellStyle name="20% - Accent6 2" xfId="16"/>
    <cellStyle name="40% - Accent1 2" xfId="17"/>
    <cellStyle name="40% - Accent1 2 2" xfId="18"/>
    <cellStyle name="40% - Accent2 2" xfId="19"/>
    <cellStyle name="40% - Accent2 2 2" xfId="20"/>
    <cellStyle name="40% - Accent3 2" xfId="21"/>
    <cellStyle name="40% - Accent3 2 2" xfId="22"/>
    <cellStyle name="40% - Accent4 2" xfId="23"/>
    <cellStyle name="40% - Accent4 2 2" xfId="24"/>
    <cellStyle name="40% - Accent5 2" xfId="25"/>
    <cellStyle name="40% - Accent6 2" xfId="26"/>
    <cellStyle name="40% - Accent6 2 2" xfId="27"/>
    <cellStyle name="60% - Accent1 2" xfId="28"/>
    <cellStyle name="60% - Accent1 2 2" xfId="29"/>
    <cellStyle name="60% - Accent2 2" xfId="30"/>
    <cellStyle name="60% - Accent2 2 2" xfId="31"/>
    <cellStyle name="60% - Accent3 2" xfId="32"/>
    <cellStyle name="60% - Accent3 2 2" xfId="33"/>
    <cellStyle name="60% - Accent4 2" xfId="34"/>
    <cellStyle name="60% - Accent4 2 2" xfId="35"/>
    <cellStyle name="60% - Accent5 2" xfId="36"/>
    <cellStyle name="60% - Accent6 2" xfId="37"/>
    <cellStyle name="60% - Accent6 2 2" xfId="38"/>
    <cellStyle name="Accent1 2" xfId="39"/>
    <cellStyle name="Accent1 2 2" xfId="40"/>
    <cellStyle name="Accent2 2" xfId="41"/>
    <cellStyle name="Accent3 2" xfId="42"/>
    <cellStyle name="Accent3 2 2" xfId="43"/>
    <cellStyle name="Accent4 2" xfId="44"/>
    <cellStyle name="Accent4 2 2" xfId="45"/>
    <cellStyle name="Accent5 2" xfId="46"/>
    <cellStyle name="Accent6 2" xfId="47"/>
    <cellStyle name="Bad 2" xfId="48"/>
    <cellStyle name="Bad 2 2" xfId="49"/>
    <cellStyle name="Calculation 2" xfId="50"/>
    <cellStyle name="Calculation 2 2" xfId="51"/>
    <cellStyle name="Check Cell 2" xfId="52"/>
    <cellStyle name="Comma" xfId="188" builtinId="3"/>
    <cellStyle name="Comma 2" xfId="53"/>
    <cellStyle name="Comma 2 2" xfId="54"/>
    <cellStyle name="Comma 2 2 2" xfId="55"/>
    <cellStyle name="Comma 2 2 3" xfId="56"/>
    <cellStyle name="Comma 2 3" xfId="57"/>
    <cellStyle name="Comma 2 4" xfId="58"/>
    <cellStyle name="Comma 3" xfId="59"/>
    <cellStyle name="Comma 3 2" xfId="60"/>
    <cellStyle name="Comma 3 2 2" xfId="61"/>
    <cellStyle name="Comma 3 2 3" xfId="62"/>
    <cellStyle name="Comma 3 3" xfId="63"/>
    <cellStyle name="Comma 3 4" xfId="64"/>
    <cellStyle name="Comma 4" xfId="190"/>
    <cellStyle name="Currency" xfId="1" builtinId="4"/>
    <cellStyle name="Currency 2" xfId="65"/>
    <cellStyle name="Currency 2 2" xfId="66"/>
    <cellStyle name="Currency 2 2 2" xfId="67"/>
    <cellStyle name="Currency 2 2 3" xfId="68"/>
    <cellStyle name="Currency 2 3" xfId="69"/>
    <cellStyle name="Currency 2 4" xfId="70"/>
    <cellStyle name="Currency 3" xfId="71"/>
    <cellStyle name="Currency 3 2" xfId="72"/>
    <cellStyle name="Currency 3 2 2" xfId="73"/>
    <cellStyle name="Currency 3 2 3" xfId="74"/>
    <cellStyle name="Currency 3 3" xfId="75"/>
    <cellStyle name="Currency 3 4" xfId="76"/>
    <cellStyle name="Data Field" xfId="77"/>
    <cellStyle name="Data Field 2" xfId="78"/>
    <cellStyle name="Data Field 2 2" xfId="79"/>
    <cellStyle name="Data Field 2 3" xfId="80"/>
    <cellStyle name="Data Field 3" xfId="81"/>
    <cellStyle name="Data Field 4" xfId="82"/>
    <cellStyle name="Data Name" xfId="83"/>
    <cellStyle name="Date/Time" xfId="84"/>
    <cellStyle name="Explanatory Text 2" xfId="85"/>
    <cellStyle name="Good 2" xfId="86"/>
    <cellStyle name="Heading" xfId="87"/>
    <cellStyle name="Heading 1 2" xfId="88"/>
    <cellStyle name="Heading 1 2 2" xfId="89"/>
    <cellStyle name="Heading 3 2" xfId="90"/>
    <cellStyle name="Heading 3 2 2" xfId="91"/>
    <cellStyle name="Heading 4 2" xfId="92"/>
    <cellStyle name="Heading 4 2 2" xfId="93"/>
    <cellStyle name="Hyperlink" xfId="187" builtinId="8"/>
    <cellStyle name="Hyperlink 2" xfId="94"/>
    <cellStyle name="Hyperlink 3" xfId="95"/>
    <cellStyle name="Hyperlink 4" xfId="191"/>
    <cellStyle name="Input 2" xfId="96"/>
    <cellStyle name="Linked Cell 2" xfId="97"/>
    <cellStyle name="Neutral 2" xfId="98"/>
    <cellStyle name="Normal" xfId="0" builtinId="0"/>
    <cellStyle name="Normal 10" xfId="99"/>
    <cellStyle name="Normal 11" xfId="100"/>
    <cellStyle name="Normal 12" xfId="101"/>
    <cellStyle name="Normal 13" xfId="3"/>
    <cellStyle name="Normal 13 2" xfId="102"/>
    <cellStyle name="Normal 14" xfId="103"/>
    <cellStyle name="Normal 14 2" xfId="104"/>
    <cellStyle name="Normal 14 3" xfId="105"/>
    <cellStyle name="Normal 14 4" xfId="106"/>
    <cellStyle name="Normal 15" xfId="107"/>
    <cellStyle name="Normal 15 2" xfId="108"/>
    <cellStyle name="Normal 15 3" xfId="109"/>
    <cellStyle name="Normal 16" xfId="110"/>
    <cellStyle name="Normal 17" xfId="111"/>
    <cellStyle name="Normal 2" xfId="112"/>
    <cellStyle name="Normal 2 2" xfId="113"/>
    <cellStyle name="Normal 2 2 2" xfId="114"/>
    <cellStyle name="Normal 2 2 2 2" xfId="115"/>
    <cellStyle name="Normal 2 2 2 3" xfId="116"/>
    <cellStyle name="Normal 2 2 3" xfId="117"/>
    <cellStyle name="Normal 2 2 4" xfId="118"/>
    <cellStyle name="Normal 2 3" xfId="119"/>
    <cellStyle name="Normal 2 3 2" xfId="120"/>
    <cellStyle name="Normal 2 3 3" xfId="121"/>
    <cellStyle name="Normal 2 4" xfId="122"/>
    <cellStyle name="Normal 2 4 2" xfId="123"/>
    <cellStyle name="Normal 2 4 3" xfId="124"/>
    <cellStyle name="Normal 2 5" xfId="125"/>
    <cellStyle name="Normal 2 6" xfId="126"/>
    <cellStyle name="Normal 2 6 2" xfId="127"/>
    <cellStyle name="Normal 2 7" xfId="128"/>
    <cellStyle name="Normal 3" xfId="4"/>
    <cellStyle name="Normal 3 2" xfId="129"/>
    <cellStyle name="Normal 3 2 2" xfId="130"/>
    <cellStyle name="Normal 3 2 3" xfId="131"/>
    <cellStyle name="Normal 3 3" xfId="132"/>
    <cellStyle name="Normal 3 4" xfId="133"/>
    <cellStyle name="Normal 4" xfId="134"/>
    <cellStyle name="Normal 4 2" xfId="135"/>
    <cellStyle name="Normal 4 3" xfId="136"/>
    <cellStyle name="Normal 4 3 2" xfId="137"/>
    <cellStyle name="Normal 4 3 3" xfId="138"/>
    <cellStyle name="Normal 4 4" xfId="139"/>
    <cellStyle name="Normal 4 4 2" xfId="140"/>
    <cellStyle name="Normal 4 4 3" xfId="141"/>
    <cellStyle name="Normal 4 5" xfId="142"/>
    <cellStyle name="Normal 4 5 2" xfId="143"/>
    <cellStyle name="Normal 4 5 3" xfId="144"/>
    <cellStyle name="Normal 4 6" xfId="145"/>
    <cellStyle name="Normal 4 7" xfId="146"/>
    <cellStyle name="Normal 5" xfId="147"/>
    <cellStyle name="Normal 5 2" xfId="148"/>
    <cellStyle name="Normal 6" xfId="149"/>
    <cellStyle name="Normal 7" xfId="150"/>
    <cellStyle name="Normal 7 2" xfId="151"/>
    <cellStyle name="Normal 8" xfId="152"/>
    <cellStyle name="Normal 8 2" xfId="153"/>
    <cellStyle name="Normal 9" xfId="154"/>
    <cellStyle name="Normal 9 2" xfId="155"/>
    <cellStyle name="Normal 9 3" xfId="156"/>
    <cellStyle name="Normal_MTDUCT" xfId="5"/>
    <cellStyle name="Normal_PC-LPDPackage-6P-D14" xfId="2"/>
    <cellStyle name="Normal_PC-PackRTOptimize-D1-6p-D2" xfId="6"/>
    <cellStyle name="Normal_ProCostFinAssumptions_Sector" xfId="7"/>
    <cellStyle name="Note 2" xfId="157"/>
    <cellStyle name="Note 2 2" xfId="158"/>
    <cellStyle name="Output 2" xfId="159"/>
    <cellStyle name="Output 2 2" xfId="160"/>
    <cellStyle name="Percent" xfId="189" builtinId="5"/>
    <cellStyle name="Percent 2" xfId="161"/>
    <cellStyle name="Percent 2 2" xfId="162"/>
    <cellStyle name="Percent 2 2 2" xfId="163"/>
    <cellStyle name="Percent 2 2 2 2" xfId="164"/>
    <cellStyle name="Percent 2 2 2 3" xfId="165"/>
    <cellStyle name="Percent 2 2 3" xfId="166"/>
    <cellStyle name="Percent 2 2 4" xfId="167"/>
    <cellStyle name="Percent 2 3" xfId="168"/>
    <cellStyle name="Percent 2 3 2" xfId="169"/>
    <cellStyle name="Percent 2 3 3" xfId="170"/>
    <cellStyle name="Percent 3" xfId="171"/>
    <cellStyle name="Percent 3 2" xfId="172"/>
    <cellStyle name="Percent 3 2 2" xfId="173"/>
    <cellStyle name="Percent 3 2 3" xfId="174"/>
    <cellStyle name="Percent 3 3" xfId="175"/>
    <cellStyle name="Percent 3 4" xfId="176"/>
    <cellStyle name="Percent 4" xfId="177"/>
    <cellStyle name="Percent 4 2" xfId="178"/>
    <cellStyle name="Percent 5" xfId="179"/>
    <cellStyle name="Title 2" xfId="180"/>
    <cellStyle name="Title 2 2" xfId="181"/>
    <cellStyle name="Total 2" xfId="182"/>
    <cellStyle name="Total 2 2" xfId="183"/>
    <cellStyle name="Warning Text 2" xfId="184"/>
    <cellStyle name="표준_ENERGY CONSUMP" xfId="185"/>
    <cellStyle name="常规_海外市场服务网站资料操作BOM" xfId="186"/>
  </cellStyles>
  <dxfs count="22">
    <dxf>
      <numFmt numFmtId="2" formatCode="0.00"/>
    </dxf>
    <dxf>
      <numFmt numFmtId="2" formatCode="0.00"/>
    </dxf>
    <dxf>
      <numFmt numFmtId="2" formatCode="0.00"/>
    </dxf>
    <dxf>
      <numFmt numFmtId="2" formatCode="0.00"/>
    </dxf>
    <dxf>
      <alignment wrapText="1" readingOrder="0"/>
    </dxf>
    <dxf>
      <alignment wrapText="1" readingOrder="0"/>
    </dxf>
    <dxf>
      <alignment wrapText="1" readingOrder="0"/>
    </dxf>
    <dxf>
      <font>
        <b val="0"/>
        <i val="0"/>
        <strike val="0"/>
        <condense val="0"/>
        <extend val="0"/>
        <outline val="0"/>
        <shadow val="0"/>
        <u val="none"/>
        <vertAlign val="baseline"/>
        <sz val="8"/>
        <color indexed="8"/>
        <name val="Arial"/>
        <scheme val="none"/>
      </font>
      <numFmt numFmtId="173" formatCode="m\/d\/yyyy"/>
      <fill>
        <patternFill patternType="solid">
          <fgColor indexed="9"/>
          <bgColor indexed="9"/>
        </patternFill>
      </fill>
      <alignment horizontal="left" vertical="bottom" textRotation="0" wrapText="1" indent="0" relativeIndent="0" justifyLastLine="0" shrinkToFit="0" mergeCell="0" readingOrder="0"/>
      <border diagonalUp="0" diagonalDown="0" outline="0">
        <left style="thin">
          <color indexed="31"/>
        </left>
        <right/>
        <top style="thin">
          <color indexed="31"/>
        </top>
        <bottom style="thin">
          <color indexed="31"/>
        </bottom>
      </border>
    </dxf>
    <dxf>
      <font>
        <b val="0"/>
        <i val="0"/>
        <strike val="0"/>
        <condense val="0"/>
        <extend val="0"/>
        <outline val="0"/>
        <shadow val="0"/>
        <u val="none"/>
        <vertAlign val="baseline"/>
        <sz val="8"/>
        <color indexed="8"/>
        <name val="Arial"/>
        <scheme val="none"/>
      </font>
      <numFmt numFmtId="173" formatCode="m\/d\/yyyy"/>
      <fill>
        <patternFill patternType="solid">
          <fgColor indexed="9"/>
          <bgColor indexed="9"/>
        </patternFill>
      </fill>
      <alignment horizontal="left" vertical="bottom" textRotation="0" wrapText="1" indent="0" relativeIndent="0" justifyLastLine="0" shrinkToFit="0" mergeCell="0" readingOrder="0"/>
      <border diagonalUp="0" diagonalDown="0" outline="0">
        <left style="thin">
          <color indexed="31"/>
        </left>
        <right style="thin">
          <color indexed="31"/>
        </right>
        <top style="thin">
          <color indexed="31"/>
        </top>
        <bottom style="thin">
          <color indexed="31"/>
        </bottom>
      </border>
    </dxf>
    <dxf>
      <font>
        <b val="0"/>
        <i val="0"/>
        <strike val="0"/>
        <condense val="0"/>
        <extend val="0"/>
        <outline val="0"/>
        <shadow val="0"/>
        <u val="none"/>
        <vertAlign val="baseline"/>
        <sz val="8"/>
        <color indexed="8"/>
        <name val="Arial"/>
        <scheme val="none"/>
      </font>
      <numFmt numFmtId="30" formatCode="@"/>
      <fill>
        <patternFill patternType="solid">
          <fgColor indexed="9"/>
          <bgColor indexed="9"/>
        </patternFill>
      </fill>
      <alignment horizontal="left" vertical="bottom" textRotation="0" wrapText="1" indent="0" relativeIndent="0" justifyLastLine="0" shrinkToFit="0" mergeCell="0" readingOrder="0"/>
      <border diagonalUp="0" diagonalDown="0" outline="0">
        <left style="thin">
          <color indexed="31"/>
        </left>
        <right style="thin">
          <color indexed="31"/>
        </right>
        <top style="thin">
          <color indexed="31"/>
        </top>
        <bottom style="thin">
          <color indexed="31"/>
        </bottom>
      </border>
    </dxf>
    <dxf>
      <font>
        <b val="0"/>
        <i val="0"/>
        <strike val="0"/>
        <condense val="0"/>
        <extend val="0"/>
        <outline val="0"/>
        <shadow val="0"/>
        <u val="none"/>
        <vertAlign val="baseline"/>
        <sz val="8"/>
        <color indexed="8"/>
        <name val="Arial"/>
        <scheme val="none"/>
      </font>
      <numFmt numFmtId="30" formatCode="@"/>
      <fill>
        <patternFill patternType="solid">
          <fgColor indexed="9"/>
          <bgColor indexed="9"/>
        </patternFill>
      </fill>
      <alignment horizontal="left" vertical="bottom" textRotation="0" wrapText="1" indent="0" relativeIndent="0" justifyLastLine="0" shrinkToFit="0" mergeCell="0" readingOrder="0"/>
      <border diagonalUp="0" diagonalDown="0" outline="0">
        <left style="thin">
          <color indexed="31"/>
        </left>
        <right style="thin">
          <color indexed="31"/>
        </right>
        <top style="thin">
          <color indexed="31"/>
        </top>
        <bottom style="thin">
          <color indexed="31"/>
        </bottom>
      </border>
    </dxf>
    <dxf>
      <font>
        <b val="0"/>
        <i val="0"/>
        <strike val="0"/>
        <condense val="0"/>
        <extend val="0"/>
        <outline val="0"/>
        <shadow val="0"/>
        <u val="none"/>
        <vertAlign val="baseline"/>
        <sz val="8"/>
        <color indexed="8"/>
        <name val="Arial"/>
        <scheme val="none"/>
      </font>
      <numFmt numFmtId="30" formatCode="@"/>
      <fill>
        <patternFill patternType="solid">
          <fgColor indexed="9"/>
          <bgColor indexed="9"/>
        </patternFill>
      </fill>
      <alignment horizontal="left" vertical="bottom" textRotation="0" wrapText="1" indent="0" relativeIndent="0" justifyLastLine="0" shrinkToFit="0" mergeCell="0" readingOrder="0"/>
      <border diagonalUp="0" diagonalDown="0" outline="0">
        <left style="thin">
          <color indexed="31"/>
        </left>
        <right style="thin">
          <color indexed="31"/>
        </right>
        <top style="thin">
          <color indexed="31"/>
        </top>
        <bottom style="thin">
          <color indexed="31"/>
        </bottom>
      </border>
    </dxf>
    <dxf>
      <font>
        <b val="0"/>
        <i val="0"/>
        <strike val="0"/>
        <condense val="0"/>
        <extend val="0"/>
        <outline val="0"/>
        <shadow val="0"/>
        <u val="none"/>
        <vertAlign val="baseline"/>
        <sz val="8"/>
        <color indexed="8"/>
        <name val="Arial"/>
        <scheme val="none"/>
      </font>
      <numFmt numFmtId="30" formatCode="@"/>
      <fill>
        <patternFill patternType="solid">
          <fgColor indexed="9"/>
          <bgColor indexed="9"/>
        </patternFill>
      </fill>
      <alignment horizontal="left" vertical="bottom" textRotation="0" wrapText="1" indent="0" relativeIndent="0" justifyLastLine="0" shrinkToFit="0" mergeCell="0" readingOrder="0"/>
      <border diagonalUp="0" diagonalDown="0" outline="0">
        <left style="thin">
          <color indexed="31"/>
        </left>
        <right style="thin">
          <color indexed="31"/>
        </right>
        <top style="thin">
          <color indexed="31"/>
        </top>
        <bottom style="thin">
          <color indexed="31"/>
        </bottom>
      </border>
    </dxf>
    <dxf>
      <font>
        <b val="0"/>
        <i val="0"/>
        <strike val="0"/>
        <condense val="0"/>
        <extend val="0"/>
        <outline val="0"/>
        <shadow val="0"/>
        <u val="none"/>
        <vertAlign val="baseline"/>
        <sz val="8"/>
        <color indexed="8"/>
        <name val="Arial"/>
        <scheme val="none"/>
      </font>
      <numFmt numFmtId="30" formatCode="@"/>
      <fill>
        <patternFill patternType="solid">
          <fgColor indexed="9"/>
          <bgColor indexed="9"/>
        </patternFill>
      </fill>
      <alignment horizontal="left" vertical="bottom" textRotation="0" wrapText="1" indent="0" relativeIndent="0" justifyLastLine="0" shrinkToFit="0" mergeCell="0" readingOrder="0"/>
      <border diagonalUp="0" diagonalDown="0" outline="0">
        <left style="thin">
          <color indexed="31"/>
        </left>
        <right style="thin">
          <color indexed="31"/>
        </right>
        <top style="thin">
          <color indexed="31"/>
        </top>
        <bottom style="thin">
          <color indexed="31"/>
        </bottom>
      </border>
    </dxf>
    <dxf>
      <font>
        <b val="0"/>
        <i val="0"/>
        <strike val="0"/>
        <condense val="0"/>
        <extend val="0"/>
        <outline val="0"/>
        <shadow val="0"/>
        <u val="none"/>
        <vertAlign val="baseline"/>
        <sz val="8"/>
        <color indexed="8"/>
        <name val="Arial"/>
        <scheme val="none"/>
      </font>
      <numFmt numFmtId="30" formatCode="@"/>
      <fill>
        <patternFill patternType="solid">
          <fgColor indexed="9"/>
          <bgColor indexed="9"/>
        </patternFill>
      </fill>
      <alignment horizontal="left" vertical="bottom" textRotation="0" wrapText="1" indent="0" relativeIndent="0" justifyLastLine="0" shrinkToFit="0" mergeCell="0" readingOrder="0"/>
      <border diagonalUp="0" diagonalDown="0" outline="0">
        <left style="thin">
          <color indexed="31"/>
        </left>
        <right style="thin">
          <color indexed="31"/>
        </right>
        <top style="thin">
          <color indexed="31"/>
        </top>
        <bottom style="thin">
          <color indexed="31"/>
        </bottom>
      </border>
    </dxf>
    <dxf>
      <font>
        <b val="0"/>
        <i val="0"/>
        <strike val="0"/>
        <condense val="0"/>
        <extend val="0"/>
        <outline val="0"/>
        <shadow val="0"/>
        <u val="none"/>
        <vertAlign val="baseline"/>
        <sz val="8"/>
        <color indexed="8"/>
        <name val="Arial"/>
        <scheme val="none"/>
      </font>
      <numFmt numFmtId="30" formatCode="@"/>
      <fill>
        <patternFill patternType="solid">
          <fgColor indexed="9"/>
          <bgColor indexed="9"/>
        </patternFill>
      </fill>
      <alignment horizontal="left" vertical="bottom" textRotation="0" wrapText="1" indent="0" relativeIndent="0" justifyLastLine="0" shrinkToFit="0" mergeCell="0" readingOrder="0"/>
      <border diagonalUp="0" diagonalDown="0" outline="0">
        <left style="thin">
          <color indexed="31"/>
        </left>
        <right style="thin">
          <color indexed="31"/>
        </right>
        <top style="thin">
          <color indexed="31"/>
        </top>
        <bottom style="thin">
          <color indexed="31"/>
        </bottom>
      </border>
    </dxf>
    <dxf>
      <font>
        <b val="0"/>
        <i val="0"/>
        <strike val="0"/>
        <condense val="0"/>
        <extend val="0"/>
        <outline val="0"/>
        <shadow val="0"/>
        <u val="none"/>
        <vertAlign val="baseline"/>
        <sz val="8"/>
        <color indexed="8"/>
        <name val="Arial"/>
        <scheme val="none"/>
      </font>
      <numFmt numFmtId="30" formatCode="@"/>
      <fill>
        <patternFill patternType="solid">
          <fgColor indexed="9"/>
          <bgColor indexed="9"/>
        </patternFill>
      </fill>
      <alignment horizontal="left" vertical="bottom" textRotation="0" wrapText="1" indent="0" relativeIndent="0" justifyLastLine="0" shrinkToFit="0" mergeCell="0" readingOrder="0"/>
      <border diagonalUp="0" diagonalDown="0" outline="0">
        <left/>
        <right style="thin">
          <color indexed="31"/>
        </right>
        <top style="thin">
          <color indexed="31"/>
        </top>
        <bottom style="thin">
          <color indexed="31"/>
        </bottom>
      </border>
    </dxf>
    <dxf>
      <border outline="0">
        <top style="thin">
          <color rgb="FFCCCCFF"/>
        </top>
      </border>
    </dxf>
    <dxf>
      <border outline="0">
        <left style="thin">
          <color rgb="FFCCCCFF"/>
        </left>
        <right style="thin">
          <color rgb="FFCCCCFF"/>
        </right>
        <top style="thin">
          <color rgb="FFCCCCFF"/>
        </top>
        <bottom style="thin">
          <color rgb="FFCCCCFF"/>
        </bottom>
      </border>
    </dxf>
    <dxf>
      <font>
        <b val="0"/>
        <i val="0"/>
        <strike val="0"/>
        <condense val="0"/>
        <extend val="0"/>
        <outline val="0"/>
        <shadow val="0"/>
        <u val="none"/>
        <vertAlign val="baseline"/>
        <sz val="8"/>
        <color rgb="FF000000"/>
        <name val="Arial"/>
        <scheme val="none"/>
      </font>
      <fill>
        <patternFill patternType="solid">
          <fgColor rgb="FFFFFFFF"/>
          <bgColor rgb="FFFFFFFF"/>
        </patternFill>
      </fill>
      <alignment horizontal="left" vertical="bottom" textRotation="0" wrapText="1" indent="0" relativeIndent="0" justifyLastLine="0" shrinkToFit="0" mergeCell="0" readingOrder="0"/>
      <border diagonalUp="0" diagonalDown="0" outline="0"/>
    </dxf>
    <dxf>
      <border outline="0">
        <bottom style="thin">
          <color rgb="FFCCCCFF"/>
        </bottom>
      </border>
    </dxf>
    <dxf>
      <font>
        <b/>
        <i val="0"/>
        <strike val="0"/>
        <condense val="0"/>
        <extend val="0"/>
        <outline val="0"/>
        <shadow val="0"/>
        <u val="none"/>
        <vertAlign val="baseline"/>
        <sz val="8"/>
        <color indexed="9"/>
        <name val="Arial"/>
        <scheme val="none"/>
      </font>
      <numFmt numFmtId="30" formatCode="@"/>
      <fill>
        <patternFill patternType="solid">
          <fgColor indexed="9"/>
          <bgColor indexed="54"/>
        </patternFill>
      </fill>
      <alignment horizontal="center" vertical="center" textRotation="0" wrapText="1" indent="0" relativeIndent="0" justifyLastLine="0" shrinkToFit="0" mergeCell="0" readingOrder="0"/>
      <border diagonalUp="0" diagonalDown="0" outline="0">
        <left style="thin">
          <color indexed="31"/>
        </left>
        <right style="thin">
          <color indexed="31"/>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31"/>
  <c:chart>
    <c:plotArea>
      <c:layout/>
      <c:barChart>
        <c:barDir val="col"/>
        <c:grouping val="stacked"/>
        <c:ser>
          <c:idx val="1"/>
          <c:order val="0"/>
          <c:tx>
            <c:strRef>
              <c:f>'ES 2007-2013'!$C$3</c:f>
              <c:strCache>
                <c:ptCount val="1"/>
                <c:pt idx="0">
                  <c:v>ES Coolers Shipped</c:v>
                </c:pt>
              </c:strCache>
            </c:strRef>
          </c:tx>
          <c:cat>
            <c:numRef>
              <c:f>'ES 2007-2013'!$B$4:$B$10</c:f>
              <c:numCache>
                <c:formatCode>General</c:formatCode>
                <c:ptCount val="7"/>
                <c:pt idx="0">
                  <c:v>2007</c:v>
                </c:pt>
                <c:pt idx="1">
                  <c:v>2008</c:v>
                </c:pt>
                <c:pt idx="2">
                  <c:v>2009</c:v>
                </c:pt>
                <c:pt idx="3">
                  <c:v>2010</c:v>
                </c:pt>
                <c:pt idx="4">
                  <c:v>2011</c:v>
                </c:pt>
                <c:pt idx="5">
                  <c:v>2012</c:v>
                </c:pt>
                <c:pt idx="6">
                  <c:v>2013</c:v>
                </c:pt>
              </c:numCache>
            </c:numRef>
          </c:cat>
          <c:val>
            <c:numRef>
              <c:f>'ES 2007-2013'!$C$4:$C$10</c:f>
              <c:numCache>
                <c:formatCode>#,##0</c:formatCode>
                <c:ptCount val="7"/>
                <c:pt idx="0">
                  <c:v>624428</c:v>
                </c:pt>
                <c:pt idx="1">
                  <c:v>515868</c:v>
                </c:pt>
                <c:pt idx="2">
                  <c:v>575000</c:v>
                </c:pt>
                <c:pt idx="3">
                  <c:v>982000</c:v>
                </c:pt>
                <c:pt idx="4">
                  <c:v>1348000</c:v>
                </c:pt>
                <c:pt idx="5">
                  <c:v>1184000</c:v>
                </c:pt>
                <c:pt idx="6">
                  <c:v>1573000</c:v>
                </c:pt>
              </c:numCache>
            </c:numRef>
          </c:val>
        </c:ser>
        <c:ser>
          <c:idx val="7"/>
          <c:order val="1"/>
          <c:tx>
            <c:strRef>
              <c:f>'ES 2007-2013'!$I$3</c:f>
              <c:strCache>
                <c:ptCount val="1"/>
                <c:pt idx="0">
                  <c:v>Non-ES Coolers Shipped</c:v>
                </c:pt>
              </c:strCache>
            </c:strRef>
          </c:tx>
          <c:cat>
            <c:numRef>
              <c:f>'ES 2007-2013'!$B$4:$B$10</c:f>
              <c:numCache>
                <c:formatCode>General</c:formatCode>
                <c:ptCount val="7"/>
                <c:pt idx="0">
                  <c:v>2007</c:v>
                </c:pt>
                <c:pt idx="1">
                  <c:v>2008</c:v>
                </c:pt>
                <c:pt idx="2">
                  <c:v>2009</c:v>
                </c:pt>
                <c:pt idx="3">
                  <c:v>2010</c:v>
                </c:pt>
                <c:pt idx="4">
                  <c:v>2011</c:v>
                </c:pt>
                <c:pt idx="5">
                  <c:v>2012</c:v>
                </c:pt>
                <c:pt idx="6">
                  <c:v>2013</c:v>
                </c:pt>
              </c:numCache>
            </c:numRef>
          </c:cat>
          <c:val>
            <c:numRef>
              <c:f>'ES 2007-2013'!$I$4:$I$10</c:f>
              <c:numCache>
                <c:formatCode>#,##0</c:formatCode>
                <c:ptCount val="7"/>
                <c:pt idx="0">
                  <c:v>576395.07692307699</c:v>
                </c:pt>
                <c:pt idx="1">
                  <c:v>742346.63414634159</c:v>
                </c:pt>
                <c:pt idx="2">
                  <c:v>762209.30232558143</c:v>
                </c:pt>
                <c:pt idx="3">
                  <c:v>462117.64705882338</c:v>
                </c:pt>
                <c:pt idx="4">
                  <c:v>826193.54838709673</c:v>
                </c:pt>
                <c:pt idx="5">
                  <c:v>857379.31034482783</c:v>
                </c:pt>
                <c:pt idx="6">
                  <c:v>256069.7674418604</c:v>
                </c:pt>
              </c:numCache>
            </c:numRef>
          </c:val>
        </c:ser>
        <c:overlap val="100"/>
        <c:axId val="126943232"/>
        <c:axId val="126958592"/>
      </c:barChart>
      <c:catAx>
        <c:axId val="126943232"/>
        <c:scaling>
          <c:orientation val="minMax"/>
        </c:scaling>
        <c:axPos val="b"/>
        <c:numFmt formatCode="General" sourceLinked="1"/>
        <c:tickLblPos val="nextTo"/>
        <c:crossAx val="126958592"/>
        <c:crosses val="autoZero"/>
        <c:auto val="1"/>
        <c:lblAlgn val="ctr"/>
        <c:lblOffset val="100"/>
      </c:catAx>
      <c:valAx>
        <c:axId val="126958592"/>
        <c:scaling>
          <c:orientation val="minMax"/>
        </c:scaling>
        <c:axPos val="l"/>
        <c:majorGridlines/>
        <c:numFmt formatCode="#,##0" sourceLinked="1"/>
        <c:tickLblPos val="nextTo"/>
        <c:crossAx val="126943232"/>
        <c:crosses val="autoZero"/>
        <c:crossBetween val="between"/>
      </c:valAx>
    </c:plotArea>
    <c:legend>
      <c:legendPos val="r"/>
      <c:layout/>
    </c:legend>
    <c:plotVisOnly val="1"/>
  </c:chart>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'ES 2007-2013'!$J$3</c:f>
              <c:strCache>
                <c:ptCount val="1"/>
                <c:pt idx="0">
                  <c:v>Total Coolers Shipped</c:v>
                </c:pt>
              </c:strCache>
            </c:strRef>
          </c:tx>
          <c:marker>
            <c:symbol val="none"/>
          </c:marker>
          <c:trendline>
            <c:trendlineType val="linear"/>
            <c:dispEq val="1"/>
            <c:trendlineLbl>
              <c:layout>
                <c:manualLayout>
                  <c:x val="-0.17347878390201224"/>
                  <c:y val="-4.6655365995917138E-2"/>
                </c:manualLayout>
              </c:layout>
              <c:numFmt formatCode="General" sourceLinked="0"/>
            </c:trendlineLbl>
          </c:trendline>
          <c:cat>
            <c:numRef>
              <c:f>'ES 2007-2013'!$B$4:$B$15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'ES 2007-2013'!$J$4:$J$15</c:f>
              <c:numCache>
                <c:formatCode>#,##0</c:formatCode>
                <c:ptCount val="12"/>
                <c:pt idx="0">
                  <c:v>1200823.076923077</c:v>
                </c:pt>
                <c:pt idx="1">
                  <c:v>1258214.6341463416</c:v>
                </c:pt>
                <c:pt idx="2">
                  <c:v>1337209.3023255814</c:v>
                </c:pt>
                <c:pt idx="3">
                  <c:v>1444117.6470588234</c:v>
                </c:pt>
                <c:pt idx="4">
                  <c:v>2174193.5483870967</c:v>
                </c:pt>
                <c:pt idx="5">
                  <c:v>2041379.3103448278</c:v>
                </c:pt>
                <c:pt idx="6">
                  <c:v>1829069.7674418604</c:v>
                </c:pt>
                <c:pt idx="7">
                  <c:v>2224722.9938060641</c:v>
                </c:pt>
                <c:pt idx="8">
                  <c:v>2398487.8394297361</c:v>
                </c:pt>
                <c:pt idx="9">
                  <c:v>2549871.8475222588</c:v>
                </c:pt>
                <c:pt idx="10">
                  <c:v>2658719.6887038946</c:v>
                </c:pt>
                <c:pt idx="11">
                  <c:v>2702346.6518469751</c:v>
                </c:pt>
              </c:numCache>
            </c:numRef>
          </c:val>
        </c:ser>
        <c:marker val="1"/>
        <c:axId val="146320384"/>
        <c:axId val="196897792"/>
      </c:lineChart>
      <c:catAx>
        <c:axId val="146320384"/>
        <c:scaling>
          <c:orientation val="minMax"/>
        </c:scaling>
        <c:axPos val="b"/>
        <c:numFmt formatCode="General" sourceLinked="1"/>
        <c:tickLblPos val="nextTo"/>
        <c:crossAx val="196897792"/>
        <c:crosses val="autoZero"/>
        <c:auto val="1"/>
        <c:lblAlgn val="ctr"/>
        <c:lblOffset val="100"/>
      </c:catAx>
      <c:valAx>
        <c:axId val="196897792"/>
        <c:scaling>
          <c:orientation val="minMax"/>
        </c:scaling>
        <c:axPos val="l"/>
        <c:majorGridlines/>
        <c:numFmt formatCode="#,##0" sourceLinked="1"/>
        <c:tickLblPos val="nextTo"/>
        <c:crossAx val="146320384"/>
        <c:crosses val="autoZero"/>
        <c:crossBetween val="between"/>
      </c:valAx>
    </c:plotArea>
    <c:legend>
      <c:legendPos val="b"/>
    </c:legend>
    <c:plotVisOnly val="1"/>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333374</xdr:colOff>
      <xdr:row>17</xdr:row>
      <xdr:rowOff>161924</xdr:rowOff>
    </xdr:from>
    <xdr:to>
      <xdr:col>30</xdr:col>
      <xdr:colOff>9524</xdr:colOff>
      <xdr:row>36</xdr:row>
      <xdr:rowOff>95249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219075</xdr:colOff>
      <xdr:row>2</xdr:row>
      <xdr:rowOff>400050</xdr:rowOff>
    </xdr:from>
    <xdr:to>
      <xdr:col>22</xdr:col>
      <xdr:colOff>523875</xdr:colOff>
      <xdr:row>14</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704850</xdr:colOff>
      <xdr:row>14</xdr:row>
      <xdr:rowOff>123825</xdr:rowOff>
    </xdr:from>
    <xdr:to>
      <xdr:col>8</xdr:col>
      <xdr:colOff>771525</xdr:colOff>
      <xdr:row>20</xdr:row>
      <xdr:rowOff>142875</xdr:rowOff>
    </xdr:to>
    <xdr:sp macro="" textlink="">
      <xdr:nvSpPr>
        <xdr:cNvPr id="4" name="TextBox 3"/>
        <xdr:cNvSpPr txBox="1"/>
      </xdr:nvSpPr>
      <xdr:spPr>
        <a:xfrm>
          <a:off x="1790700" y="3552825"/>
          <a:ext cx="62674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ESTAR shipment data are probably the most reliable estimate.</a:t>
          </a:r>
          <a:r>
            <a:rPr lang="en-US" sz="1100" baseline="0"/>
            <a:t> </a:t>
          </a:r>
        </a:p>
        <a:p>
          <a:r>
            <a:rPr lang="en-US" sz="1100" baseline="0"/>
            <a:t> </a:t>
          </a:r>
        </a:p>
        <a:p>
          <a:r>
            <a:rPr lang="en-US" sz="1100" baseline="0"/>
            <a:t>Implies 60,000 to 80,000 PNW shipments in 2013.  Implies earlier stock estimate from Maggie estimate is low.  Also could be significant market  growth recently and perhaps fewer shipments to PNW where water quality is generally high.</a:t>
          </a:r>
        </a:p>
        <a:p>
          <a:endParaRPr lang="en-US"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72</xdr:row>
      <xdr:rowOff>152399</xdr:rowOff>
    </xdr:from>
    <xdr:to>
      <xdr:col>8</xdr:col>
      <xdr:colOff>828675</xdr:colOff>
      <xdr:row>84</xdr:row>
      <xdr:rowOff>104774</xdr:rowOff>
    </xdr:to>
    <xdr:sp macro="" textlink="">
      <xdr:nvSpPr>
        <xdr:cNvPr id="2" name="TextBox 1"/>
        <xdr:cNvSpPr txBox="1"/>
      </xdr:nvSpPr>
      <xdr:spPr>
        <a:xfrm>
          <a:off x="609600" y="13296899"/>
          <a:ext cx="7200900"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Charlie Grist:</a:t>
          </a:r>
        </a:p>
        <a:p>
          <a:endParaRPr lang="en-US" sz="1100"/>
        </a:p>
        <a:p>
          <a:r>
            <a:rPr lang="en-US" sz="1100"/>
            <a:t>Both Oregon and Washington have state standards which parallel ENEGY STAR specifications.  WA</a:t>
          </a:r>
          <a:r>
            <a:rPr lang="en-US" sz="1100" baseline="0"/>
            <a:t> updated in 2010 and OR in 2009.  These lag the new ES spec.  But assume that the states will catch up.  State standards and the high penetration of ES in the market mean little additional savings for new machines.  But, it is ddoubtful that state standards are enforced.</a:t>
          </a:r>
        </a:p>
        <a:p>
          <a:endParaRPr lang="en-US" sz="1100" baseline="0"/>
        </a:p>
        <a:p>
          <a:endParaRPr lang="en-US" sz="1100" baseline="0"/>
        </a:p>
        <a:p>
          <a:r>
            <a:rPr lang="en-US" sz="1100" baseline="0"/>
            <a:t>However, off-at-night timers are still a viable method to control standby losses in off hours.  Should pursue that measure.  Low cost, relatively high savings for both exiting and new machines.</a:t>
          </a:r>
          <a:endParaRPr lang="en-US" sz="1100"/>
        </a:p>
      </xdr:txBody>
    </xdr:sp>
    <xdr:clientData/>
  </xdr:twoCellAnchor>
  <xdr:twoCellAnchor>
    <xdr:from>
      <xdr:col>1</xdr:col>
      <xdr:colOff>9525</xdr:colOff>
      <xdr:row>87</xdr:row>
      <xdr:rowOff>123825</xdr:rowOff>
    </xdr:from>
    <xdr:to>
      <xdr:col>12</xdr:col>
      <xdr:colOff>76200</xdr:colOff>
      <xdr:row>128</xdr:row>
      <xdr:rowOff>28575</xdr:rowOff>
    </xdr:to>
    <xdr:sp macro="" textlink="">
      <xdr:nvSpPr>
        <xdr:cNvPr id="3" name="TextBox 2"/>
        <xdr:cNvSpPr txBox="1"/>
      </xdr:nvSpPr>
      <xdr:spPr>
        <a:xfrm>
          <a:off x="600075" y="15697200"/>
          <a:ext cx="9315450" cy="6543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Hi Maggie, </a:t>
          </a:r>
        </a:p>
        <a:p>
          <a:r>
            <a:rPr lang="en-US" sz="1100">
              <a:solidFill>
                <a:schemeClr val="dk1"/>
              </a:solidFill>
              <a:latin typeface="+mn-lt"/>
              <a:ea typeface="+mn-ea"/>
              <a:cs typeface="+mn-cs"/>
            </a:rPr>
            <a:t> </a:t>
          </a:r>
        </a:p>
        <a:p>
          <a:r>
            <a:rPr lang="en-US" sz="1100">
              <a:solidFill>
                <a:schemeClr val="dk1"/>
              </a:solidFill>
              <a:latin typeface="+mn-lt"/>
              <a:ea typeface="+mn-ea"/>
              <a:cs typeface="+mn-cs"/>
            </a:rPr>
            <a:t>We don't have a methodology report since we just have a spreadsheet we use internally. However, I can provide you with the inputs we used. </a:t>
          </a:r>
        </a:p>
        <a:p>
          <a:r>
            <a:rPr lang="en-US" sz="1100">
              <a:solidFill>
                <a:schemeClr val="dk1"/>
              </a:solidFill>
              <a:latin typeface="+mn-lt"/>
              <a:ea typeface="+mn-ea"/>
              <a:cs typeface="+mn-cs"/>
            </a:rPr>
            <a:t> </a:t>
          </a:r>
        </a:p>
        <a:p>
          <a:r>
            <a:rPr lang="en-US" sz="1100">
              <a:solidFill>
                <a:schemeClr val="dk1"/>
              </a:solidFill>
              <a:latin typeface="+mn-lt"/>
              <a:ea typeface="+mn-ea"/>
              <a:cs typeface="+mn-cs"/>
            </a:rPr>
            <a:t>National annual shipments - 1.8 million</a:t>
          </a:r>
        </a:p>
        <a:p>
          <a:r>
            <a:rPr lang="en-US" sz="1100">
              <a:solidFill>
                <a:schemeClr val="dk1"/>
              </a:solidFill>
              <a:latin typeface="+mn-lt"/>
              <a:ea typeface="+mn-ea"/>
              <a:cs typeface="+mn-cs"/>
            </a:rPr>
            <a:t>% already meeting standard - 86%</a:t>
          </a:r>
        </a:p>
        <a:p>
          <a:r>
            <a:rPr lang="en-US" sz="1100">
              <a:solidFill>
                <a:schemeClr val="dk1"/>
              </a:solidFill>
              <a:latin typeface="+mn-lt"/>
              <a:ea typeface="+mn-ea"/>
              <a:cs typeface="+mn-cs"/>
            </a:rPr>
            <a:t>baseline level: cold only 0.29; hot and cold 2.19</a:t>
          </a:r>
        </a:p>
        <a:p>
          <a:r>
            <a:rPr lang="en-US" sz="1100">
              <a:solidFill>
                <a:schemeClr val="dk1"/>
              </a:solidFill>
              <a:latin typeface="+mn-lt"/>
              <a:ea typeface="+mn-ea"/>
              <a:cs typeface="+mn-cs"/>
            </a:rPr>
            <a:t>new standards: cold only 0.16; hot and cold 1.20</a:t>
          </a:r>
        </a:p>
        <a:p>
          <a:r>
            <a:rPr lang="en-US" sz="1100">
              <a:solidFill>
                <a:schemeClr val="dk1"/>
              </a:solidFill>
              <a:latin typeface="+mn-lt"/>
              <a:ea typeface="+mn-ea"/>
              <a:cs typeface="+mn-cs"/>
            </a:rPr>
            <a:t>unit: kWh/day</a:t>
          </a:r>
        </a:p>
        <a:p>
          <a:r>
            <a:rPr lang="en-US" sz="1100">
              <a:solidFill>
                <a:schemeClr val="dk1"/>
              </a:solidFill>
              <a:latin typeface="+mn-lt"/>
              <a:ea typeface="+mn-ea"/>
              <a:cs typeface="+mn-cs"/>
            </a:rPr>
            <a:t>lifetime: 10 years</a:t>
          </a:r>
        </a:p>
        <a:p>
          <a:r>
            <a:rPr lang="en-US" sz="1100">
              <a:solidFill>
                <a:schemeClr val="dk1"/>
              </a:solidFill>
              <a:latin typeface="+mn-lt"/>
              <a:ea typeface="+mn-ea"/>
              <a:cs typeface="+mn-cs"/>
            </a:rPr>
            <a:t>one sale-year savings: 60.4 GWh</a:t>
          </a:r>
        </a:p>
        <a:p>
          <a:r>
            <a:rPr lang="en-US" sz="1100">
              <a:solidFill>
                <a:schemeClr val="dk1"/>
              </a:solidFill>
              <a:latin typeface="+mn-lt"/>
              <a:ea typeface="+mn-ea"/>
              <a:cs typeface="+mn-cs"/>
            </a:rPr>
            <a:t> </a:t>
          </a:r>
        </a:p>
        <a:p>
          <a:r>
            <a:rPr lang="en-US" sz="1100">
              <a:solidFill>
                <a:schemeClr val="dk1"/>
              </a:solidFill>
              <a:latin typeface="+mn-lt"/>
              <a:ea typeface="+mn-ea"/>
              <a:cs typeface="+mn-cs"/>
            </a:rPr>
            <a:t>Let me know if you need additional information. </a:t>
          </a:r>
        </a:p>
        <a:p>
          <a:r>
            <a:rPr lang="en-US" sz="1100">
              <a:solidFill>
                <a:schemeClr val="dk1"/>
              </a:solidFill>
              <a:latin typeface="+mn-lt"/>
              <a:ea typeface="+mn-ea"/>
              <a:cs typeface="+mn-cs"/>
            </a:rPr>
            <a:t> </a:t>
          </a:r>
        </a:p>
        <a:p>
          <a:r>
            <a:rPr lang="en-US" sz="1100">
              <a:solidFill>
                <a:schemeClr val="dk1"/>
              </a:solidFill>
              <a:latin typeface="+mn-lt"/>
              <a:ea typeface="+mn-ea"/>
              <a:cs typeface="+mn-cs"/>
            </a:rPr>
            <a:t>Marianne</a:t>
          </a:r>
        </a:p>
        <a:p>
          <a:endParaRPr lang="en-US" sz="1100"/>
        </a:p>
        <a:p>
          <a:endParaRPr lang="en-US" sz="1100"/>
        </a:p>
        <a:p>
          <a:r>
            <a:rPr lang="en-US" sz="1100">
              <a:solidFill>
                <a:schemeClr val="dk1"/>
              </a:solidFill>
              <a:latin typeface="+mn-lt"/>
              <a:ea typeface="+mn-ea"/>
              <a:cs typeface="+mn-cs"/>
            </a:rPr>
            <a:t> </a:t>
          </a:r>
        </a:p>
        <a:p>
          <a:r>
            <a:rPr lang="en-US" sz="1100">
              <a:solidFill>
                <a:schemeClr val="dk1"/>
              </a:solidFill>
              <a:latin typeface="+mn-lt"/>
              <a:ea typeface="+mn-ea"/>
              <a:cs typeface="+mn-cs"/>
            </a:rPr>
            <a:t>On Tue, Nov 25, 2014 at 5:29 PM, Lahet, Maggie &lt;</a:t>
          </a:r>
          <a:r>
            <a:rPr lang="en-US" sz="1100" u="sng">
              <a:solidFill>
                <a:schemeClr val="dk1"/>
              </a:solidFill>
              <a:latin typeface="+mn-lt"/>
              <a:ea typeface="+mn-ea"/>
              <a:cs typeface="+mn-cs"/>
              <a:hlinkClick xmlns:r="http://schemas.openxmlformats.org/officeDocument/2006/relationships" r:id=""/>
            </a:rPr>
            <a:t>MLahet@nwcouncil.org</a:t>
          </a:r>
          <a:r>
            <a:rPr lang="en-US" sz="1100">
              <a:solidFill>
                <a:schemeClr val="dk1"/>
              </a:solidFill>
              <a:latin typeface="+mn-lt"/>
              <a:ea typeface="+mn-ea"/>
              <a:cs typeface="+mn-cs"/>
            </a:rPr>
            <a:t>&gt; wrote:</a:t>
          </a:r>
        </a:p>
        <a:p>
          <a:r>
            <a:rPr lang="en-US" sz="1100">
              <a:solidFill>
                <a:schemeClr val="dk1"/>
              </a:solidFill>
              <a:latin typeface="+mn-lt"/>
              <a:ea typeface="+mn-ea"/>
              <a:cs typeface="+mn-cs"/>
            </a:rPr>
            <a:t>Marianne, </a:t>
          </a:r>
        </a:p>
        <a:p>
          <a:r>
            <a:rPr lang="en-US" sz="1100">
              <a:solidFill>
                <a:schemeClr val="dk1"/>
              </a:solidFill>
              <a:latin typeface="+mn-lt"/>
              <a:ea typeface="+mn-ea"/>
              <a:cs typeface="+mn-cs"/>
            </a:rPr>
            <a:t> </a:t>
          </a:r>
        </a:p>
        <a:p>
          <a:r>
            <a:rPr lang="en-US" sz="1100">
              <a:solidFill>
                <a:schemeClr val="dk1"/>
              </a:solidFill>
              <a:latin typeface="+mn-lt"/>
              <a:ea typeface="+mn-ea"/>
              <a:cs typeface="+mn-cs"/>
            </a:rPr>
            <a:t>I looked at the 2012 report you recommended ‘</a:t>
          </a:r>
          <a:r>
            <a:rPr lang="en-US" sz="1100" b="1" u="sng">
              <a:solidFill>
                <a:schemeClr val="dk1"/>
              </a:solidFill>
              <a:latin typeface="+mn-lt"/>
              <a:ea typeface="+mn-ea"/>
              <a:cs typeface="+mn-cs"/>
              <a:hlinkClick xmlns:r="http://schemas.openxmlformats.org/officeDocument/2006/relationships" r:id=""/>
            </a:rPr>
            <a:t>The Efficiency Boom: Cashing In on the Savings from Appliance Standards</a:t>
          </a:r>
          <a:r>
            <a:rPr lang="en-US" sz="1100">
              <a:solidFill>
                <a:schemeClr val="dk1"/>
              </a:solidFill>
              <a:latin typeface="+mn-lt"/>
              <a:ea typeface="+mn-ea"/>
              <a:cs typeface="+mn-cs"/>
            </a:rPr>
            <a:t>’; water coolers/dispensers were not included in this report or any other report found on the ASAP website. I was wondering how the savings for state-level savings from water dispensers was calculated (for 2015). I’m hoping there is a methodology report for the savings analyses that I would be able to look at. Getting information on how these savings were calculated would be extremely helpful – thank you in advance, Marianne.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Maggie Lahet</a:t>
          </a:r>
        </a:p>
        <a:p>
          <a:r>
            <a:rPr lang="en-US" sz="1100">
              <a:solidFill>
                <a:schemeClr val="dk1"/>
              </a:solidFill>
              <a:latin typeface="+mn-lt"/>
              <a:ea typeface="+mn-ea"/>
              <a:cs typeface="+mn-cs"/>
            </a:rPr>
            <a:t>Intern, Power Division</a:t>
          </a:r>
        </a:p>
        <a:p>
          <a:r>
            <a:rPr lang="en-US" sz="1100">
              <a:solidFill>
                <a:schemeClr val="dk1"/>
              </a:solidFill>
              <a:latin typeface="+mn-lt"/>
              <a:ea typeface="+mn-ea"/>
              <a:cs typeface="+mn-cs"/>
            </a:rPr>
            <a:t>Northwest Power and Conservation Council</a:t>
          </a:r>
        </a:p>
        <a:p>
          <a:r>
            <a:rPr lang="en-US" sz="1100" u="sng">
              <a:solidFill>
                <a:schemeClr val="dk1"/>
              </a:solidFill>
              <a:latin typeface="+mn-lt"/>
              <a:ea typeface="+mn-ea"/>
              <a:cs typeface="+mn-cs"/>
              <a:hlinkClick xmlns:r="http://schemas.openxmlformats.org/officeDocument/2006/relationships" r:id=""/>
            </a:rPr>
            <a:t>503.222.5161</a:t>
          </a:r>
          <a:r>
            <a:rPr lang="en-US" sz="1100">
              <a:solidFill>
                <a:schemeClr val="dk1"/>
              </a:solidFill>
              <a:latin typeface="+mn-lt"/>
              <a:ea typeface="+mn-ea"/>
              <a:cs typeface="+mn-cs"/>
            </a:rPr>
            <a:t>, </a:t>
          </a:r>
          <a:r>
            <a:rPr lang="en-US" sz="1100" u="sng">
              <a:solidFill>
                <a:schemeClr val="dk1"/>
              </a:solidFill>
              <a:latin typeface="+mn-lt"/>
              <a:ea typeface="+mn-ea"/>
              <a:cs typeface="+mn-cs"/>
              <a:hlinkClick xmlns:r="http://schemas.openxmlformats.org/officeDocument/2006/relationships" r:id=""/>
            </a:rPr>
            <a:t>mlahet@NWcouncil.org</a:t>
          </a:r>
          <a:endParaRPr lang="en-US" sz="1100">
            <a:solidFill>
              <a:schemeClr val="dk1"/>
            </a:solidFill>
            <a:latin typeface="+mn-lt"/>
            <a:ea typeface="+mn-ea"/>
            <a:cs typeface="+mn-cs"/>
          </a:endParaRPr>
        </a:p>
        <a:p>
          <a:r>
            <a:rPr lang="en-US" sz="1100" u="sng">
              <a:solidFill>
                <a:schemeClr val="dk1"/>
              </a:solidFill>
              <a:latin typeface="+mn-lt"/>
              <a:ea typeface="+mn-ea"/>
              <a:cs typeface="+mn-cs"/>
              <a:hlinkClick xmlns:r="http://schemas.openxmlformats.org/officeDocument/2006/relationships" r:id=""/>
            </a:rPr>
            <a:t>http://www.nwcouncil.org</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142875</xdr:rowOff>
    </xdr:from>
    <xdr:to>
      <xdr:col>8</xdr:col>
      <xdr:colOff>114300</xdr:colOff>
      <xdr:row>17</xdr:row>
      <xdr:rowOff>104775</xdr:rowOff>
    </xdr:to>
    <xdr:sp macro="" textlink="">
      <xdr:nvSpPr>
        <xdr:cNvPr id="2" name="TextBox 1"/>
        <xdr:cNvSpPr txBox="1"/>
      </xdr:nvSpPr>
      <xdr:spPr>
        <a:xfrm>
          <a:off x="590550" y="8010525"/>
          <a:ext cx="8067675" cy="239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Drinking water Pacific Northwest</a:t>
          </a:r>
          <a:endParaRPr lang="en-US" sz="1100">
            <a:solidFill>
              <a:schemeClr val="dk1"/>
            </a:solidFill>
            <a:latin typeface="+mn-lt"/>
            <a:ea typeface="+mn-ea"/>
            <a:cs typeface="+mn-cs"/>
          </a:endParaRPr>
        </a:p>
        <a:p>
          <a:r>
            <a:rPr lang="en-US" sz="1100" i="1">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Over two-thirds of Pacific Northwest residents are satisfied with their drinking water (Table 7). Even with this high level of satisfaction, there is room for improvement, </a:t>
          </a:r>
          <a:r>
            <a:rPr lang="en-US" sz="1100" b="1">
              <a:solidFill>
                <a:schemeClr val="dk1"/>
              </a:solidFill>
              <a:latin typeface="+mn-lt"/>
              <a:ea typeface="+mn-ea"/>
              <a:cs typeface="+mn-cs"/>
            </a:rPr>
            <a:t>as 27% of residents use bottled water for drinking</a:t>
          </a:r>
          <a:r>
            <a:rPr lang="en-US" sz="1100">
              <a:solidFill>
                <a:schemeClr val="dk1"/>
              </a:solidFill>
              <a:latin typeface="+mn-lt"/>
              <a:ea typeface="+mn-ea"/>
              <a:cs typeface="+mn-cs"/>
            </a:rPr>
            <a:t> and 25% of survey respondents have water filters on faucets on their sinks (Table 7). Only 15% of respondents are not satisfied with their drinking water.</a:t>
          </a:r>
        </a:p>
        <a:p>
          <a:r>
            <a:rPr lang="en-US" sz="1100">
              <a:solidFill>
                <a:schemeClr val="dk1"/>
              </a:solidFill>
              <a:latin typeface="+mn-lt"/>
              <a:ea typeface="+mn-ea"/>
              <a:cs typeface="+mn-cs"/>
            </a:rPr>
            <a:t> </a:t>
          </a:r>
        </a:p>
        <a:p>
          <a:r>
            <a:rPr lang="en-US" sz="1100">
              <a:solidFill>
                <a:schemeClr val="dk1"/>
              </a:solidFill>
              <a:latin typeface="+mn-lt"/>
              <a:ea typeface="+mn-ea"/>
              <a:cs typeface="+mn-cs"/>
            </a:rPr>
            <a:t>-See more at: </a:t>
          </a:r>
          <a:r>
            <a:rPr lang="en-US" sz="1100" u="sng">
              <a:solidFill>
                <a:schemeClr val="dk1"/>
              </a:solidFill>
              <a:latin typeface="+mn-lt"/>
              <a:ea typeface="+mn-ea"/>
              <a:cs typeface="+mn-cs"/>
              <a:hlinkClick xmlns:r="http://schemas.openxmlformats.org/officeDocument/2006/relationships" r:id=""/>
            </a:rPr>
            <a:t>http://www.joe.org/joe/2005december/rb6.php</a:t>
          </a:r>
          <a:endParaRPr lang="en-US" sz="1100">
            <a:solidFill>
              <a:schemeClr val="dk1"/>
            </a:solidFill>
            <a:latin typeface="+mn-lt"/>
            <a:ea typeface="+mn-ea"/>
            <a:cs typeface="+mn-cs"/>
          </a:endParaRPr>
        </a:p>
        <a:p>
          <a:endParaRPr lang="en-US" sz="1100"/>
        </a:p>
        <a:p>
          <a:r>
            <a:rPr lang="en-US" sz="1100">
              <a:solidFill>
                <a:schemeClr val="dk1"/>
              </a:solidFill>
              <a:latin typeface="+mn-lt"/>
              <a:ea typeface="+mn-ea"/>
              <a:cs typeface="+mn-cs"/>
            </a:rPr>
            <a:t>In Oregon there are almost 29 different companies that bottle water. Most of them are small companies that cater to the home and office delivery (HOD) markets. HOD represents only 20% of the market for bottled water. The remaining 80% is covered by the retail portion of the industry.</a:t>
          </a:r>
        </a:p>
        <a:p>
          <a:r>
            <a:rPr lang="en-US" sz="1100">
              <a:solidFill>
                <a:schemeClr val="dk1"/>
              </a:solidFill>
              <a:latin typeface="+mn-lt"/>
              <a:ea typeface="+mn-ea"/>
              <a:cs typeface="+mn-cs"/>
            </a:rPr>
            <a:t> </a:t>
          </a:r>
        </a:p>
        <a:p>
          <a:r>
            <a:rPr lang="en-US" sz="1100">
              <a:solidFill>
                <a:schemeClr val="dk1"/>
              </a:solidFill>
              <a:latin typeface="+mn-lt"/>
              <a:ea typeface="+mn-ea"/>
              <a:cs typeface="+mn-cs"/>
            </a:rPr>
            <a:t>-See more at : </a:t>
          </a:r>
          <a:r>
            <a:rPr lang="en-US" sz="1100" u="sng">
              <a:solidFill>
                <a:schemeClr val="dk1"/>
              </a:solidFill>
              <a:latin typeface="+mn-lt"/>
              <a:ea typeface="+mn-ea"/>
              <a:cs typeface="+mn-cs"/>
              <a:hlinkClick xmlns:r="http://schemas.openxmlformats.org/officeDocument/2006/relationships" r:id=""/>
            </a:rPr>
            <a:t>http://water.oregonstate.edu/sites/default/files/bottled_water_v5.pdf</a:t>
          </a:r>
          <a:endParaRPr lang="en-US" sz="1100">
            <a:solidFill>
              <a:schemeClr val="dk1"/>
            </a:solidFill>
            <a:latin typeface="+mn-lt"/>
            <a:ea typeface="+mn-ea"/>
            <a:cs typeface="+mn-cs"/>
          </a:endParaRPr>
        </a:p>
        <a:p>
          <a:endParaRPr lang="en-US" sz="1100"/>
        </a:p>
        <a:p>
          <a:endParaRPr lang="en-US" sz="1100"/>
        </a:p>
      </xdr:txBody>
    </xdr:sp>
    <xdr:clientData/>
  </xdr:twoCellAnchor>
  <xdr:twoCellAnchor>
    <xdr:from>
      <xdr:col>1</xdr:col>
      <xdr:colOff>628650</xdr:colOff>
      <xdr:row>21</xdr:row>
      <xdr:rowOff>133350</xdr:rowOff>
    </xdr:from>
    <xdr:to>
      <xdr:col>8</xdr:col>
      <xdr:colOff>209550</xdr:colOff>
      <xdr:row>27</xdr:row>
      <xdr:rowOff>133350</xdr:rowOff>
    </xdr:to>
    <xdr:sp macro="" textlink="">
      <xdr:nvSpPr>
        <xdr:cNvPr id="6" name="TextBox 5"/>
        <xdr:cNvSpPr txBox="1"/>
      </xdr:nvSpPr>
      <xdr:spPr>
        <a:xfrm>
          <a:off x="1219200" y="11610975"/>
          <a:ext cx="753427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baseline="0" smtClean="0">
            <a:solidFill>
              <a:schemeClr val="dk1"/>
            </a:solidFill>
            <a:latin typeface="+mn-lt"/>
            <a:ea typeface="+mn-ea"/>
            <a:cs typeface="+mn-cs"/>
          </a:endParaRPr>
        </a:p>
        <a:p>
          <a:endParaRPr lang="en-US" sz="1100" baseline="0" smtClean="0">
            <a:solidFill>
              <a:schemeClr val="dk1"/>
            </a:solidFill>
            <a:latin typeface="+mn-lt"/>
            <a:ea typeface="+mn-ea"/>
            <a:cs typeface="+mn-cs"/>
          </a:endParaRPr>
        </a:p>
        <a:p>
          <a:r>
            <a:rPr lang="en-US" sz="1100" baseline="0" smtClean="0">
              <a:solidFill>
                <a:schemeClr val="dk1"/>
              </a:solidFill>
              <a:latin typeface="+mn-lt"/>
              <a:ea typeface="+mn-ea"/>
              <a:cs typeface="+mn-cs"/>
            </a:rPr>
            <a:t>Cadmus estimates an annual 6% growth rate due to population and demand growth (Cadmus, 1999). The market is competitive but dominated by three privately held companies (Elkay, Oasis, and Sunroc) who do not publicly report sales volumes.</a:t>
          </a:r>
        </a:p>
        <a:p>
          <a:endParaRPr lang="en-US" sz="1100" baseline="0" smtClean="0">
            <a:solidFill>
              <a:schemeClr val="dk1"/>
            </a:solidFill>
            <a:latin typeface="+mn-lt"/>
            <a:ea typeface="+mn-ea"/>
            <a:cs typeface="+mn-cs"/>
          </a:endParaRPr>
        </a:p>
        <a:p>
          <a:endParaRPr lang="en-US" sz="1100"/>
        </a:p>
      </xdr:txBody>
    </xdr:sp>
    <xdr:clientData/>
  </xdr:twoCellAnchor>
  <xdr:twoCellAnchor>
    <xdr:from>
      <xdr:col>1</xdr:col>
      <xdr:colOff>666750</xdr:colOff>
      <xdr:row>28</xdr:row>
      <xdr:rowOff>142875</xdr:rowOff>
    </xdr:from>
    <xdr:to>
      <xdr:col>8</xdr:col>
      <xdr:colOff>266700</xdr:colOff>
      <xdr:row>33</xdr:row>
      <xdr:rowOff>142875</xdr:rowOff>
    </xdr:to>
    <xdr:sp macro="" textlink="">
      <xdr:nvSpPr>
        <xdr:cNvPr id="7" name="TextBox 6"/>
        <xdr:cNvSpPr txBox="1"/>
      </xdr:nvSpPr>
      <xdr:spPr>
        <a:xfrm>
          <a:off x="1257300" y="12753975"/>
          <a:ext cx="75533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smtClean="0">
              <a:solidFill>
                <a:schemeClr val="dk1"/>
              </a:solidFill>
              <a:latin typeface="+mn-lt"/>
              <a:ea typeface="+mn-ea"/>
              <a:cs typeface="+mn-cs"/>
            </a:rPr>
            <a:t>Cadmus identified the timer as the best option for “hot and cold” units, since it effectively</a:t>
          </a:r>
        </a:p>
        <a:p>
          <a:r>
            <a:rPr lang="en-US" sz="1100" baseline="0" smtClean="0">
              <a:solidFill>
                <a:schemeClr val="dk1"/>
              </a:solidFill>
              <a:latin typeface="+mn-lt"/>
              <a:ea typeface="+mn-ea"/>
              <a:cs typeface="+mn-cs"/>
            </a:rPr>
            <a:t>shortens the length of the standby period. Testing completed by Cadmus demonstrated</a:t>
          </a:r>
        </a:p>
        <a:p>
          <a:r>
            <a:rPr lang="en-US" sz="1100" baseline="0" smtClean="0">
              <a:solidFill>
                <a:schemeClr val="dk1"/>
              </a:solidFill>
              <a:latin typeface="+mn-lt"/>
              <a:ea typeface="+mn-ea"/>
              <a:cs typeface="+mn-cs"/>
            </a:rPr>
            <a:t>that disabling operation for 10 hours would result in 36% reduction in standby energy</a:t>
          </a:r>
        </a:p>
        <a:p>
          <a:r>
            <a:rPr lang="en-US" sz="1100" baseline="0" smtClean="0">
              <a:solidFill>
                <a:schemeClr val="dk1"/>
              </a:solidFill>
              <a:latin typeface="+mn-lt"/>
              <a:ea typeface="+mn-ea"/>
              <a:cs typeface="+mn-cs"/>
            </a:rPr>
            <a:t>consumption.</a:t>
          </a:r>
          <a:endParaRPr lang="en-US" sz="1100"/>
        </a:p>
      </xdr:txBody>
    </xdr:sp>
    <xdr:clientData/>
  </xdr:twoCellAnchor>
  <xdr:twoCellAnchor editAs="oneCell">
    <xdr:from>
      <xdr:col>1</xdr:col>
      <xdr:colOff>609600</xdr:colOff>
      <xdr:row>35</xdr:row>
      <xdr:rowOff>73247</xdr:rowOff>
    </xdr:from>
    <xdr:to>
      <xdr:col>6</xdr:col>
      <xdr:colOff>171450</xdr:colOff>
      <xdr:row>46</xdr:row>
      <xdr:rowOff>1795</xdr:rowOff>
    </xdr:to>
    <xdr:pic>
      <xdr:nvPicPr>
        <xdr:cNvPr id="8"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1200150" y="13817822"/>
          <a:ext cx="6048375" cy="1709723"/>
        </a:xfrm>
        <a:prstGeom prst="rect">
          <a:avLst/>
        </a:prstGeom>
        <a:noFill/>
      </xdr:spPr>
    </xdr:pic>
    <xdr:clientData/>
  </xdr:twoCellAnchor>
  <xdr:twoCellAnchor editAs="oneCell">
    <xdr:from>
      <xdr:col>1</xdr:col>
      <xdr:colOff>657225</xdr:colOff>
      <xdr:row>48</xdr:row>
      <xdr:rowOff>0</xdr:rowOff>
    </xdr:from>
    <xdr:to>
      <xdr:col>6</xdr:col>
      <xdr:colOff>1012171</xdr:colOff>
      <xdr:row>76</xdr:row>
      <xdr:rowOff>76199</xdr:rowOff>
    </xdr:to>
    <xdr:pic>
      <xdr:nvPicPr>
        <xdr:cNvPr id="9" name="Picture 44"/>
        <xdr:cNvPicPr>
          <a:picLocks noChangeAspect="1" noChangeArrowheads="1"/>
        </xdr:cNvPicPr>
      </xdr:nvPicPr>
      <xdr:blipFill>
        <a:blip xmlns:r="http://schemas.openxmlformats.org/officeDocument/2006/relationships" r:embed="rId2" cstate="print"/>
        <a:srcRect/>
        <a:stretch>
          <a:fillRect/>
        </a:stretch>
      </xdr:blipFill>
      <xdr:spPr bwMode="auto">
        <a:xfrm>
          <a:off x="1247775" y="15849600"/>
          <a:ext cx="6841471" cy="4610099"/>
        </a:xfrm>
        <a:prstGeom prst="rect">
          <a:avLst/>
        </a:prstGeom>
        <a:noFill/>
      </xdr:spPr>
    </xdr:pic>
    <xdr:clientData/>
  </xdr:twoCellAnchor>
  <xdr:twoCellAnchor>
    <xdr:from>
      <xdr:col>1</xdr:col>
      <xdr:colOff>666750</xdr:colOff>
      <xdr:row>78</xdr:row>
      <xdr:rowOff>152400</xdr:rowOff>
    </xdr:from>
    <xdr:to>
      <xdr:col>6</xdr:col>
      <xdr:colOff>514350</xdr:colOff>
      <xdr:row>122</xdr:row>
      <xdr:rowOff>95251</xdr:rowOff>
    </xdr:to>
    <xdr:sp macro="" textlink="">
      <xdr:nvSpPr>
        <xdr:cNvPr id="11" name="TextBox 10"/>
        <xdr:cNvSpPr txBox="1"/>
      </xdr:nvSpPr>
      <xdr:spPr>
        <a:xfrm>
          <a:off x="1257300" y="21993225"/>
          <a:ext cx="6334125" cy="7067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r>
            <a:rPr lang="en-US" sz="1100">
              <a:solidFill>
                <a:schemeClr val="dk1"/>
              </a:solidFill>
              <a:latin typeface="+mn-lt"/>
              <a:ea typeface="+mn-ea"/>
              <a:cs typeface="+mn-cs"/>
            </a:rPr>
            <a:t>1. I don’t have very precise answers to the below questions. I can call all the HOD companies again and try to get them to give me the number of coolers they have, but they are often reluctant to do so over the phone. I usually have to meet the sales manager in person and develop a comfort level. I would also have to get sales information from retailers as well. Therefore, I believe the estimates I have from Energy Star are the best source. I summarized the data for you – see attached. The reports are here </a:t>
          </a:r>
          <a:r>
            <a:rPr lang="en-US" sz="1100" u="sng">
              <a:solidFill>
                <a:schemeClr val="dk1"/>
              </a:solidFill>
              <a:latin typeface="+mn-lt"/>
              <a:ea typeface="+mn-ea"/>
              <a:cs typeface="+mn-cs"/>
              <a:hlinkClick xmlns:r="http://schemas.openxmlformats.org/officeDocument/2006/relationships" r:id=""/>
            </a:rPr>
            <a:t>http://www.energystar.gov/index.cfm?c=partners.unit_shipment_data_archives</a:t>
          </a:r>
          <a:r>
            <a:rPr lang="en-US" sz="1100">
              <a:solidFill>
                <a:schemeClr val="dk1"/>
              </a:solidFill>
              <a:latin typeface="+mn-lt"/>
              <a:ea typeface="+mn-ea"/>
              <a:cs typeface="+mn-cs"/>
            </a:rPr>
            <a:t> </a:t>
          </a:r>
        </a:p>
        <a:p>
          <a:r>
            <a:rPr lang="en-US" sz="1100">
              <a:solidFill>
                <a:schemeClr val="dk1"/>
              </a:solidFill>
              <a:latin typeface="+mn-lt"/>
              <a:ea typeface="+mn-ea"/>
              <a:cs typeface="+mn-cs"/>
            </a:rPr>
            <a:t>Based off 7 year life span, I estimate there are approximately 448,000 water cooler in Oregon, Washington and Idaho. (note you can adjust the estimated life span in the Excel file)</a:t>
          </a:r>
        </a:p>
        <a:p>
          <a:r>
            <a:rPr lang="en-US" sz="1100">
              <a:solidFill>
                <a:schemeClr val="dk1"/>
              </a:solidFill>
              <a:latin typeface="+mn-lt"/>
              <a:ea typeface="+mn-ea"/>
              <a:cs typeface="+mn-cs"/>
            </a:rPr>
            <a:t> </a:t>
          </a:r>
        </a:p>
        <a:p>
          <a:r>
            <a:rPr lang="en-US" sz="1100">
              <a:solidFill>
                <a:schemeClr val="dk1"/>
              </a:solidFill>
              <a:latin typeface="+mn-lt"/>
              <a:ea typeface="+mn-ea"/>
              <a:cs typeface="+mn-cs"/>
            </a:rPr>
            <a:t>2. Energy Star does not keep track of this in the report. I have talked to HOD companies in the Northwest and Canada and the percentage of hot and cold to cold only ranges from 75%/25% to 90%/10%. In the colder climates most people want hot water as well.</a:t>
          </a:r>
        </a:p>
        <a:p>
          <a:r>
            <a:rPr lang="en-US" sz="1100">
              <a:solidFill>
                <a:schemeClr val="dk1"/>
              </a:solidFill>
              <a:latin typeface="+mn-lt"/>
              <a:ea typeface="+mn-ea"/>
              <a:cs typeface="+mn-cs"/>
            </a:rPr>
            <a:t> </a:t>
          </a:r>
        </a:p>
        <a:p>
          <a:r>
            <a:rPr lang="en-US" sz="1100">
              <a:solidFill>
                <a:schemeClr val="dk1"/>
              </a:solidFill>
              <a:latin typeface="+mn-lt"/>
              <a:ea typeface="+mn-ea"/>
              <a:cs typeface="+mn-cs"/>
            </a:rPr>
            <a:t>3. The fraction is approximately the same as above. From conversations I have had with Clover, MTN and Crystal Mountain coolers, they estimate close to 90% hot and cold.</a:t>
          </a:r>
        </a:p>
        <a:p>
          <a:r>
            <a:rPr lang="en-US" sz="1100">
              <a:solidFill>
                <a:schemeClr val="dk1"/>
              </a:solidFill>
              <a:latin typeface="+mn-lt"/>
              <a:ea typeface="+mn-ea"/>
              <a:cs typeface="+mn-cs"/>
            </a:rPr>
            <a:t> </a:t>
          </a:r>
        </a:p>
        <a:p>
          <a:r>
            <a:rPr lang="en-US" sz="1100">
              <a:solidFill>
                <a:schemeClr val="dk1"/>
              </a:solidFill>
              <a:latin typeface="+mn-lt"/>
              <a:ea typeface="+mn-ea"/>
              <a:cs typeface="+mn-cs"/>
            </a:rPr>
            <a:t>4. Hawaii Energy made the assumption 50%/50% for Hawaii. The HOD companies in Hawaii have more residential than commercial accounts. But closer to 60%, 40% on average.</a:t>
          </a:r>
        </a:p>
        <a:p>
          <a:r>
            <a:rPr lang="en-US" sz="1100">
              <a:solidFill>
                <a:schemeClr val="dk1"/>
              </a:solidFill>
              <a:latin typeface="+mn-lt"/>
              <a:ea typeface="+mn-ea"/>
              <a:cs typeface="+mn-cs"/>
            </a:rPr>
            <a:t> </a:t>
          </a:r>
        </a:p>
        <a:p>
          <a:endParaRPr lang="en-US" sz="1100">
            <a:solidFill>
              <a:schemeClr val="dk1"/>
            </a:solidFill>
            <a:latin typeface="+mn-lt"/>
            <a:ea typeface="+mn-ea"/>
            <a:cs typeface="+mn-cs"/>
          </a:endParaRPr>
        </a:p>
        <a:p>
          <a:r>
            <a:rPr lang="en-US" sz="1100">
              <a:solidFill>
                <a:schemeClr val="dk1"/>
              </a:solidFill>
              <a:latin typeface="+mn-lt"/>
              <a:ea typeface="+mn-ea"/>
              <a:cs typeface="+mn-cs"/>
            </a:rPr>
            <a:t>I have added more resources to the Rebatehost.com. We can discuss the functionality of the site if you like, it is a good tool for managing a water cooler program.</a:t>
          </a:r>
        </a:p>
        <a:p>
          <a:r>
            <a:rPr lang="en-US" sz="1100">
              <a:solidFill>
                <a:schemeClr val="dk1"/>
              </a:solidFill>
              <a:latin typeface="+mn-lt"/>
              <a:ea typeface="+mn-ea"/>
              <a:cs typeface="+mn-cs"/>
            </a:rPr>
            <a:t> </a:t>
          </a:r>
        </a:p>
        <a:p>
          <a:r>
            <a:rPr lang="en-US" sz="1100">
              <a:solidFill>
                <a:schemeClr val="dk1"/>
              </a:solidFill>
              <a:latin typeface="+mn-lt"/>
              <a:ea typeface="+mn-ea"/>
              <a:cs typeface="+mn-cs"/>
            </a:rPr>
            <a:t>You can find a lot of resources here </a:t>
          </a:r>
          <a:r>
            <a:rPr lang="en-US" sz="1100" u="sng">
              <a:solidFill>
                <a:schemeClr val="dk1"/>
              </a:solidFill>
              <a:latin typeface="+mn-lt"/>
              <a:ea typeface="+mn-ea"/>
              <a:cs typeface="+mn-cs"/>
              <a:hlinkClick xmlns:r="http://schemas.openxmlformats.org/officeDocument/2006/relationships" r:id=""/>
            </a:rPr>
            <a:t>www.rebatehost.com/resources</a:t>
          </a:r>
          <a:r>
            <a:rPr lang="en-US" sz="1100">
              <a:solidFill>
                <a:schemeClr val="dk1"/>
              </a:solidFill>
              <a:latin typeface="+mn-lt"/>
              <a:ea typeface="+mn-ea"/>
              <a:cs typeface="+mn-cs"/>
            </a:rPr>
            <a:t>  (I will upload the new TRM that Hawaii Energy just completed this week shortly)</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Also attached is a list of HOD companies in the Pacific Northwest. </a:t>
          </a:r>
        </a:p>
        <a:p>
          <a:r>
            <a:rPr lang="en-US" sz="1100">
              <a:solidFill>
                <a:schemeClr val="dk1"/>
              </a:solidFill>
              <a:latin typeface="+mn-lt"/>
              <a:ea typeface="+mn-ea"/>
              <a:cs typeface="+mn-cs"/>
            </a:rPr>
            <a:t> </a:t>
          </a:r>
        </a:p>
        <a:p>
          <a:r>
            <a:rPr lang="en-US" sz="1100">
              <a:solidFill>
                <a:schemeClr val="dk1"/>
              </a:solidFill>
              <a:latin typeface="+mn-lt"/>
              <a:ea typeface="+mn-ea"/>
              <a:cs typeface="+mn-cs"/>
            </a:rPr>
            <a:t>Home Depot and Lowes do a very large volume of the water cooler retail sales these days.</a:t>
          </a:r>
        </a:p>
        <a:p>
          <a:r>
            <a:rPr lang="en-US" sz="1100">
              <a:solidFill>
                <a:schemeClr val="dk1"/>
              </a:solidFill>
              <a:latin typeface="+mn-lt"/>
              <a:ea typeface="+mn-ea"/>
              <a:cs typeface="+mn-cs"/>
            </a:rPr>
            <a:t> </a:t>
          </a:r>
        </a:p>
        <a:p>
          <a:r>
            <a:rPr lang="en-US" sz="1100">
              <a:solidFill>
                <a:schemeClr val="dk1"/>
              </a:solidFill>
              <a:latin typeface="+mn-lt"/>
              <a:ea typeface="+mn-ea"/>
              <a:cs typeface="+mn-cs"/>
            </a:rPr>
            <a:t>I am available any time to discuss on the phone or I can come to your office in person.</a:t>
          </a:r>
        </a:p>
        <a:p>
          <a:r>
            <a:rPr lang="en-US" sz="1100">
              <a:solidFill>
                <a:schemeClr val="dk1"/>
              </a:solidFill>
              <a:latin typeface="+mn-lt"/>
              <a:ea typeface="+mn-ea"/>
              <a:cs typeface="+mn-cs"/>
            </a:rPr>
            <a:t> </a:t>
          </a:r>
        </a:p>
        <a:p>
          <a:r>
            <a:rPr lang="en-US" sz="1100">
              <a:solidFill>
                <a:schemeClr val="dk1"/>
              </a:solidFill>
              <a:latin typeface="+mn-lt"/>
              <a:ea typeface="+mn-ea"/>
              <a:cs typeface="+mn-cs"/>
            </a:rPr>
            <a:t>Thank you,</a:t>
          </a:r>
        </a:p>
        <a:p>
          <a:r>
            <a:rPr lang="en-US" sz="1100">
              <a:solidFill>
                <a:schemeClr val="dk1"/>
              </a:solidFill>
              <a:latin typeface="+mn-lt"/>
              <a:ea typeface="+mn-ea"/>
              <a:cs typeface="+mn-cs"/>
            </a:rPr>
            <a:t> </a:t>
          </a:r>
        </a:p>
        <a:p>
          <a:r>
            <a:rPr lang="en-US" sz="1100">
              <a:solidFill>
                <a:schemeClr val="dk1"/>
              </a:solidFill>
              <a:latin typeface="+mn-lt"/>
              <a:ea typeface="+mn-ea"/>
              <a:cs typeface="+mn-cs"/>
            </a:rPr>
            <a:t>Derek Stattin</a:t>
          </a:r>
        </a:p>
        <a:p>
          <a:r>
            <a:rPr lang="en-US" sz="1100">
              <a:solidFill>
                <a:schemeClr val="dk1"/>
              </a:solidFill>
              <a:latin typeface="+mn-lt"/>
              <a:ea typeface="+mn-ea"/>
              <a:cs typeface="+mn-cs"/>
            </a:rPr>
            <a:t> </a:t>
          </a:r>
        </a:p>
        <a:p>
          <a:r>
            <a:rPr lang="en-US" sz="1100">
              <a:solidFill>
                <a:schemeClr val="dk1"/>
              </a:solidFill>
              <a:latin typeface="+mn-lt"/>
              <a:ea typeface="+mn-ea"/>
              <a:cs typeface="+mn-cs"/>
            </a:rPr>
            <a:t>619 302 5435</a:t>
          </a:r>
        </a:p>
        <a:p>
          <a:endParaRPr lang="en-US" sz="1100"/>
        </a:p>
      </xdr:txBody>
    </xdr:sp>
    <xdr:clientData/>
  </xdr:twoCellAnchor>
  <xdr:twoCellAnchor editAs="oneCell">
    <xdr:from>
      <xdr:col>8</xdr:col>
      <xdr:colOff>571500</xdr:colOff>
      <xdr:row>26</xdr:row>
      <xdr:rowOff>19050</xdr:rowOff>
    </xdr:from>
    <xdr:to>
      <xdr:col>12</xdr:col>
      <xdr:colOff>323850</xdr:colOff>
      <xdr:row>43</xdr:row>
      <xdr:rowOff>28575</xdr:rowOff>
    </xdr:to>
    <xdr:pic>
      <xdr:nvPicPr>
        <xdr:cNvPr id="4099" name="Picture 3" descr="http://www.oasiscoolers.com/media/75125/bottle.png"/>
        <xdr:cNvPicPr>
          <a:picLocks noChangeAspect="1" noChangeArrowheads="1"/>
        </xdr:cNvPicPr>
      </xdr:nvPicPr>
      <xdr:blipFill>
        <a:blip xmlns:r="http://schemas.openxmlformats.org/officeDocument/2006/relationships" r:embed="rId3" cstate="print"/>
        <a:srcRect/>
        <a:stretch>
          <a:fillRect/>
        </a:stretch>
      </xdr:blipFill>
      <xdr:spPr bwMode="auto">
        <a:xfrm>
          <a:off x="9115425" y="13439775"/>
          <a:ext cx="3933825" cy="27622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xdr:row>
      <xdr:rowOff>133350</xdr:rowOff>
    </xdr:from>
    <xdr:to>
      <xdr:col>9</xdr:col>
      <xdr:colOff>38100</xdr:colOff>
      <xdr:row>13</xdr:row>
      <xdr:rowOff>19049</xdr:rowOff>
    </xdr:to>
    <xdr:sp macro="" textlink="">
      <xdr:nvSpPr>
        <xdr:cNvPr id="2" name="TextBox 1"/>
        <xdr:cNvSpPr txBox="1"/>
      </xdr:nvSpPr>
      <xdr:spPr>
        <a:xfrm>
          <a:off x="8686800" y="1752600"/>
          <a:ext cx="3733800" cy="1181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About 90%</a:t>
          </a:r>
          <a:r>
            <a:rPr lang="en-US" sz="1100" baseline="0"/>
            <a:t> of </a:t>
          </a:r>
          <a:r>
            <a:rPr lang="en-US" sz="1100"/>
            <a:t>ESTAR Units are Hot and Cold</a:t>
          </a:r>
        </a:p>
        <a:p>
          <a:endParaRPr lang="en-US" sz="1100"/>
        </a:p>
        <a:p>
          <a:r>
            <a:rPr lang="en-US" sz="1100"/>
            <a:t>ESTAR</a:t>
          </a:r>
          <a:r>
            <a:rPr lang="en-US" sz="1100" baseline="0"/>
            <a:t>  spec was 1.7 kWh/day, average ESTAR qualified 1.01 kWh/day</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s>
    <definedNames>
      <definedName name="ACHIEV" refersTo="='ACHIEV'!$B$19:$Y$119"/>
      <definedName name="APPLIC" refersTo="='APPLIC'!$B$12:$X$112"/>
      <definedName name="BLDGTYPE" refersTo="='APPLIC'!$B$11:$U$11"/>
      <definedName name="POST2013" refersTo="='CHAR'!$B$17:$U$55"/>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v>
          </cell>
          <cell r="C12" t="str">
            <v>Retro</v>
          </cell>
          <cell r="D12" t="str">
            <v>Compressed Air-Retro</v>
          </cell>
          <cell r="E12" t="str">
            <v>kWh per HP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v>
          </cell>
          <cell r="C13" t="str">
            <v>NR</v>
          </cell>
          <cell r="D13" t="str">
            <v>Compressed Air-NR</v>
          </cell>
          <cell r="E13" t="str">
            <v>kWh per HP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Laptop</v>
          </cell>
          <cell r="C15" t="str">
            <v>NR</v>
          </cell>
          <cell r="D15" t="str">
            <v>Laptop-NR</v>
          </cell>
          <cell r="E15" t="str">
            <v>Count</v>
          </cell>
          <cell r="F15" t="str">
            <v>ENERGY STAR Laptops</v>
          </cell>
          <cell r="G15">
            <v>1</v>
          </cell>
          <cell r="H15" t="str">
            <v>ENERGY STAR Laptops</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NR</v>
          </cell>
          <cell r="D17" t="str">
            <v>Data Centers-NR</v>
          </cell>
          <cell r="E17" t="str">
            <v>Count</v>
          </cell>
          <cell r="F17" t="str">
            <v xml:space="preserve">Data Centers; Virtualization, efficient servers, network gear, power supplies, and other measures at NR </v>
          </cell>
          <cell r="G17">
            <v>22</v>
          </cell>
          <cell r="H17" t="str">
            <v>Data Centers</v>
          </cell>
          <cell r="I17" t="str">
            <v>All</v>
          </cell>
          <cell r="L17" t="str">
            <v>CBSA 2014</v>
          </cell>
          <cell r="Q17" t="str">
            <v>x</v>
          </cell>
          <cell r="R17" t="str">
            <v>N/A</v>
          </cell>
          <cell r="U17" t="str">
            <v>Computer Technologies</v>
          </cell>
        </row>
        <row r="18">
          <cell r="B18" t="str">
            <v>Monitor</v>
          </cell>
          <cell r="C18" t="str">
            <v>NR</v>
          </cell>
          <cell r="D18" t="str">
            <v>Monitor-NR</v>
          </cell>
          <cell r="E18" t="str">
            <v>Count</v>
          </cell>
          <cell r="F18" t="str">
            <v>Commercial Computer Monitor</v>
          </cell>
          <cell r="G18">
            <v>1</v>
          </cell>
          <cell r="H18" t="str">
            <v>ENERGY STAR Monitor</v>
          </cell>
          <cell r="I18" t="str">
            <v>All</v>
          </cell>
          <cell r="L18" t="str">
            <v>Std Monitor</v>
          </cell>
          <cell r="R18" t="str">
            <v>N/A</v>
          </cell>
          <cell r="U18" t="str">
            <v>Computer Technologies</v>
          </cell>
        </row>
        <row r="19">
          <cell r="B19" t="str">
            <v>Desktop</v>
          </cell>
          <cell r="C19" t="str">
            <v>NR</v>
          </cell>
          <cell r="D19" t="str">
            <v>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Advanced Rooftop Controller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Advanced Rooftop Controller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Advanced Rooftop Controller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Economizer</v>
          </cell>
          <cell r="C37" t="str">
            <v>Retro</v>
          </cell>
          <cell r="D37" t="str">
            <v>Economizer-Retro</v>
          </cell>
          <cell r="E37" t="str">
            <v>kWh per KSF BT</v>
          </cell>
          <cell r="F37" t="str">
            <v>Economizer Improvements</v>
          </cell>
          <cell r="G37">
            <v>2</v>
          </cell>
          <cell r="H37" t="str">
            <v>Economizer maintenance and repair</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Heat Recovery Ventilation</v>
          </cell>
          <cell r="G45">
            <v>1</v>
          </cell>
          <cell r="H45" t="str">
            <v>Heat Recovery Ventilation</v>
          </cell>
          <cell r="I45" t="str">
            <v>All</v>
          </cell>
          <cell r="L45" t="str">
            <v>CBSA 20154</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Lighting Controls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Lighting Controls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Lighting Controls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cell r="V70" t="str">
            <v>Lamps/Ballasts/Fixtures w/Controls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cell r="V71" t="str">
            <v>Lamps/Ballasts/Fixtures w/Controls</v>
          </cell>
        </row>
        <row r="72">
          <cell r="B72" t="str">
            <v>Bi-Level Stairwell Lighting</v>
          </cell>
          <cell r="C72" t="str">
            <v>NR</v>
          </cell>
          <cell r="D72" t="str">
            <v>Bi-Level Stairwell Lighting-NR</v>
          </cell>
          <cell r="E72" t="str">
            <v>kWh per KSF BT</v>
          </cell>
          <cell r="F72" t="str">
            <v xml:space="preserve">Bi-Level occupancy sensor control on stairwell </v>
          </cell>
          <cell r="G72">
            <v>1</v>
          </cell>
          <cell r="H72" t="str">
            <v>Bi-Level Stairwell</v>
          </cell>
          <cell r="I72" t="str">
            <v>All</v>
          </cell>
          <cell r="L72" t="str">
            <v>CBSA 2014</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Motors - Rewind</v>
          </cell>
          <cell r="G76">
            <v>1</v>
          </cell>
          <cell r="H76" t="str">
            <v>Motors - Rewind</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NR</v>
          </cell>
          <cell r="D85" t="str">
            <v>Water Cooler Controls-NR</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Low Power LF Lamps</v>
          </cell>
          <cell r="C94" t="str">
            <v>NR</v>
          </cell>
          <cell r="D94" t="str">
            <v>Low Power LF Lamps-NR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Lamps/Ballasts/Fixtures</v>
          </cell>
        </row>
        <row r="112">
          <cell r="B112" t="str">
            <v>Category_Name</v>
          </cell>
          <cell r="C112" t="str">
            <v>TAP_Name</v>
          </cell>
        </row>
        <row r="113">
          <cell r="B113" t="str">
            <v>Compressed Air System Controls</v>
          </cell>
          <cell r="C113" t="str">
            <v>Compressed Air Control Improvements (non-VFD)</v>
          </cell>
        </row>
        <row r="114">
          <cell r="B114" t="str">
            <v>Compressed Air System Improvements</v>
          </cell>
          <cell r="C114" t="str">
            <v>Compressed Air Control Improvements (VFD)</v>
          </cell>
        </row>
        <row r="115">
          <cell r="B115" t="str">
            <v>Computer Technologies</v>
          </cell>
          <cell r="C115" t="str">
            <v>Compressed Air System Compressor Improvements (non-VFD)</v>
          </cell>
        </row>
        <row r="116">
          <cell r="B116" t="str">
            <v>Cooking</v>
          </cell>
          <cell r="C116" t="str">
            <v>Compressed Air System Compressor Improvements (VFD)</v>
          </cell>
        </row>
        <row r="117">
          <cell r="B117" t="str">
            <v>Delamping</v>
          </cell>
          <cell r="C117" t="str">
            <v>Compressed Air System Demand Side Improvements</v>
          </cell>
        </row>
        <row r="118">
          <cell r="B118" t="str">
            <v>Elevators</v>
          </cell>
          <cell r="C118" t="str">
            <v>Compressed Air System Dryer Improvements</v>
          </cell>
        </row>
        <row r="119">
          <cell r="B119" t="str">
            <v>Envelope</v>
          </cell>
          <cell r="C119" t="str">
            <v>Compressed Air System Regulation Improvements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I11" t="str">
            <v>aMW in New Building Non Plug Load</v>
          </cell>
          <cell r="K11" t="str">
            <v>Comparable Estimate for 6th Plan (Pasted Values)</v>
          </cell>
          <cell r="L11" t="str">
            <v>Final Check for Draft Plan</v>
          </cell>
          <cell r="O11" t="str">
            <v>Analyst</v>
          </cell>
          <cell r="P11" t="str">
            <v>Comments Reviewed &amp; Updates Complete</v>
          </cell>
          <cell r="Q11" t="str">
            <v>Run ProCost with Final Inputs (Gas)</v>
          </cell>
          <cell r="R11" t="str">
            <v>Check/Repair RPM Links</v>
          </cell>
          <cell r="S11" t="str">
            <v>SC Curve to Auto High/Low Forecast</v>
          </cell>
          <cell r="T11" t="str">
            <v>SC Curve measure references linked to MList</v>
          </cell>
          <cell r="U11" t="str">
            <v>Check Linked Files and Range Names.  Correct link to ComMaster</v>
          </cell>
        </row>
        <row r="12">
          <cell r="B12" t="str">
            <v>Compressed Air-Retro</v>
          </cell>
          <cell r="C12" t="str">
            <v>COM-CompressedAir-7P_V2.xlsm</v>
          </cell>
          <cell r="F12" t="str">
            <v>Compressed Air Controls</v>
          </cell>
          <cell r="H12">
            <v>3.2238288305372076</v>
          </cell>
          <cell r="I12">
            <v>0</v>
          </cell>
          <cell r="K12" t="str">
            <v/>
          </cell>
          <cell r="O12" t="str">
            <v>ks</v>
          </cell>
        </row>
        <row r="13">
          <cell r="B13" t="str">
            <v>Compressed Air-NR</v>
          </cell>
          <cell r="C13" t="str">
            <v>COM-CompressedAir-7P_V2.xlsm</v>
          </cell>
          <cell r="F13" t="str">
            <v>Compressed Air Improvements</v>
          </cell>
          <cell r="H13">
            <v>1.0195557332307676</v>
          </cell>
          <cell r="I13">
            <v>0</v>
          </cell>
          <cell r="K13" t="str">
            <v/>
          </cell>
          <cell r="O13" t="str">
            <v>ks</v>
          </cell>
        </row>
        <row r="14">
          <cell r="B14" t="str">
            <v>Network PC Power Management-Retro</v>
          </cell>
          <cell r="C14" t="str">
            <v>dropped for 7p</v>
          </cell>
          <cell r="F14" t="str">
            <v>Network PC Power Management</v>
          </cell>
          <cell r="K14">
            <v>72.717466539008427</v>
          </cell>
        </row>
        <row r="15">
          <cell r="B15" t="str">
            <v>Laptop-NR</v>
          </cell>
          <cell r="C15" t="str">
            <v>COM-Computers-7P_V1.xlsx</v>
          </cell>
          <cell r="F15" t="str">
            <v>ENERGY STAR Laptops</v>
          </cell>
          <cell r="H15">
            <v>3.9941361655064203</v>
          </cell>
          <cell r="I15">
            <v>0</v>
          </cell>
          <cell r="K15">
            <v>129.97956115621164</v>
          </cell>
          <cell r="O15" t="str">
            <v>tj</v>
          </cell>
        </row>
        <row r="16">
          <cell r="B16" t="str">
            <v>Smart Plug Power Strips-Retro</v>
          </cell>
          <cell r="C16" t="str">
            <v>COM-Powerstrips-7P_v3.xlsm</v>
          </cell>
          <cell r="F16" t="str">
            <v>Smart Plug Power Strips</v>
          </cell>
          <cell r="H16">
            <v>46.672185845920254</v>
          </cell>
          <cell r="I16">
            <v>0</v>
          </cell>
          <cell r="K16" t="str">
            <v/>
          </cell>
          <cell r="O16" t="str">
            <v>ks</v>
          </cell>
        </row>
        <row r="17">
          <cell r="B17" t="str">
            <v>Data Centers-NR</v>
          </cell>
          <cell r="C17" t="str">
            <v>Com-DataCenters-7P_V4.xlsx</v>
          </cell>
          <cell r="F17" t="str">
            <v>Data Centers</v>
          </cell>
          <cell r="G17">
            <v>42057</v>
          </cell>
          <cell r="H17">
            <v>261.31837015129264</v>
          </cell>
          <cell r="I17">
            <v>0</v>
          </cell>
          <cell r="K17" t="str">
            <v/>
          </cell>
          <cell r="O17" t="str">
            <v>cg</v>
          </cell>
          <cell r="R17">
            <v>42069</v>
          </cell>
          <cell r="T17">
            <v>42069</v>
          </cell>
        </row>
        <row r="18">
          <cell r="B18" t="str">
            <v>Monitor-NR</v>
          </cell>
          <cell r="C18" t="str">
            <v>COM-Computers-7P_V1.xlsx</v>
          </cell>
          <cell r="F18" t="str">
            <v>ENERGY STAR Monitor</v>
          </cell>
          <cell r="H18">
            <v>24.336936136177435</v>
          </cell>
          <cell r="I18">
            <v>0</v>
          </cell>
          <cell r="K18" t="str">
            <v/>
          </cell>
          <cell r="O18" t="str">
            <v>tj</v>
          </cell>
        </row>
        <row r="19">
          <cell r="B19" t="str">
            <v>Desktop-NR</v>
          </cell>
          <cell r="C19" t="str">
            <v>COM-Computers-7P_V1.xlsx</v>
          </cell>
          <cell r="F19" t="str">
            <v>ENERGY STAR Desktop</v>
          </cell>
          <cell r="H19">
            <v>55.8193241357245</v>
          </cell>
          <cell r="I19">
            <v>0</v>
          </cell>
          <cell r="K19" t="str">
            <v/>
          </cell>
          <cell r="O19" t="str">
            <v>tj</v>
          </cell>
        </row>
        <row r="20">
          <cell r="B20" t="str">
            <v>Pre-Rinse Spray Valve-Retro</v>
          </cell>
          <cell r="C20" t="str">
            <v>COM-PreRinseSpray-7P_V2.xlsm</v>
          </cell>
          <cell r="F20" t="str">
            <v>Pre-Rinse Spray Valve</v>
          </cell>
          <cell r="H20">
            <v>0.97671631632425404</v>
          </cell>
          <cell r="I20">
            <v>0</v>
          </cell>
          <cell r="K20">
            <v>1.8020364840570837</v>
          </cell>
          <cell r="O20" t="str">
            <v>ks</v>
          </cell>
        </row>
        <row r="21">
          <cell r="B21" t="str">
            <v>Cooking Equipment-NR</v>
          </cell>
          <cell r="C21" t="str">
            <v>COM-Cooking-7P_V4.xlsm</v>
          </cell>
          <cell r="F21" t="str">
            <v>Cooking Equipment</v>
          </cell>
          <cell r="H21">
            <v>66.300435443908256</v>
          </cell>
          <cell r="I21">
            <v>0</v>
          </cell>
          <cell r="K21">
            <v>31.83672767383753</v>
          </cell>
          <cell r="O21" t="str">
            <v>ks</v>
          </cell>
        </row>
        <row r="22">
          <cell r="B22" t="str">
            <v>Premium HVAC Equipment-New</v>
          </cell>
          <cell r="C22" t="str">
            <v>dropped for 7p Stds</v>
          </cell>
          <cell r="F22" t="str">
            <v>Premium HVAC Equipment</v>
          </cell>
          <cell r="H22">
            <v>0</v>
          </cell>
          <cell r="K22">
            <v>7.3598915362035227</v>
          </cell>
        </row>
        <row r="23">
          <cell r="B23" t="str">
            <v>Premium HVAC Equipment-NR</v>
          </cell>
          <cell r="C23" t="str">
            <v>dropped for 7p Stds</v>
          </cell>
          <cell r="F23" t="str">
            <v>Premium HVAC Equipment</v>
          </cell>
          <cell r="H23">
            <v>0</v>
          </cell>
          <cell r="K23">
            <v>28.437885955279242</v>
          </cell>
        </row>
        <row r="24">
          <cell r="B24" t="str">
            <v>Glass-New</v>
          </cell>
          <cell r="C24" t="str">
            <v>dropped for 7p - codes</v>
          </cell>
          <cell r="F24" t="str">
            <v>Windows</v>
          </cell>
          <cell r="K24">
            <v>3.1359227208655991</v>
          </cell>
        </row>
        <row r="25">
          <cell r="B25" t="str">
            <v>Glass-NR</v>
          </cell>
          <cell r="C25" t="str">
            <v>dropped for 7p - codes</v>
          </cell>
          <cell r="F25" t="str">
            <v>Windows</v>
          </cell>
          <cell r="K25">
            <v>7.2056124298919988</v>
          </cell>
        </row>
        <row r="26">
          <cell r="B26" t="str">
            <v>Glass-Retro</v>
          </cell>
          <cell r="C26" t="str">
            <v>see secondary glazing</v>
          </cell>
          <cell r="F26" t="str">
            <v>Windows</v>
          </cell>
          <cell r="K26">
            <v>20.889312946804694</v>
          </cell>
        </row>
        <row r="27">
          <cell r="B27" t="str">
            <v>Advanced Rooftop Controller-New</v>
          </cell>
          <cell r="F27" t="str">
            <v>Advanced Rooftop Controller</v>
          </cell>
          <cell r="K27" t="str">
            <v/>
          </cell>
          <cell r="O27" t="str">
            <v>ks</v>
          </cell>
        </row>
        <row r="28">
          <cell r="B28" t="str">
            <v>Advanced Rooftop Controller-NR</v>
          </cell>
          <cell r="F28" t="str">
            <v>Advanced Rooftop Controller</v>
          </cell>
          <cell r="K28" t="str">
            <v/>
          </cell>
          <cell r="O28" t="str">
            <v>ks</v>
          </cell>
        </row>
        <row r="29">
          <cell r="B29" t="str">
            <v>Advanced Rooftop Controller-Retro</v>
          </cell>
          <cell r="C29" t="str">
            <v>Com-RooftopController-7P_V5.xlsm</v>
          </cell>
          <cell r="F29" t="str">
            <v>Advanced Rooftop Controller</v>
          </cell>
          <cell r="H29">
            <v>119.37282587197582</v>
          </cell>
          <cell r="I29">
            <v>0</v>
          </cell>
          <cell r="K29" t="str">
            <v/>
          </cell>
          <cell r="O29" t="str">
            <v>ks</v>
          </cell>
        </row>
        <row r="30">
          <cell r="B30" t="str">
            <v>Variable Speed Chiller-New</v>
          </cell>
          <cell r="F30" t="str">
            <v>Variable Speed Chiller</v>
          </cell>
          <cell r="K30">
            <v>1.1125921894779771</v>
          </cell>
        </row>
        <row r="31">
          <cell r="B31" t="str">
            <v>Variable Speed Chiller-NR</v>
          </cell>
          <cell r="F31" t="str">
            <v>Variable Speed Chiller</v>
          </cell>
          <cell r="K31">
            <v>12.287439737441444</v>
          </cell>
        </row>
        <row r="32">
          <cell r="B32" t="str">
            <v>Commercial EM-New</v>
          </cell>
          <cell r="F32" t="str">
            <v>Commercial Energy Management For Complex systems</v>
          </cell>
          <cell r="K32">
            <v>9.3003260024451517</v>
          </cell>
        </row>
        <row r="33">
          <cell r="B33" t="str">
            <v>Commercial EM-NR</v>
          </cell>
          <cell r="F33" t="str">
            <v>Commercial Energy Management For Complex systems</v>
          </cell>
          <cell r="K33">
            <v>0</v>
          </cell>
          <cell r="O33" t="str">
            <v>ks</v>
          </cell>
        </row>
        <row r="34">
          <cell r="B34" t="str">
            <v>Commercial EM-Retro</v>
          </cell>
          <cell r="C34" t="str">
            <v>COM-EM-Retro-7P_V3.xlsm</v>
          </cell>
          <cell r="F34" t="str">
            <v>Commercial Energy Management For Complex systems</v>
          </cell>
          <cell r="H34">
            <v>73.075152066903428</v>
          </cell>
          <cell r="I34">
            <v>10.961272810035513</v>
          </cell>
          <cell r="K34">
            <v>120.33075078506094</v>
          </cell>
          <cell r="O34" t="str">
            <v>ks</v>
          </cell>
        </row>
        <row r="35">
          <cell r="B35" t="str">
            <v>Evaporative Assist Cooling-New</v>
          </cell>
          <cell r="C35" t="str">
            <v>dropped for 7p - no data</v>
          </cell>
          <cell r="F35" t="str">
            <v>Evaporative Assist Cooling</v>
          </cell>
          <cell r="K35">
            <v>0</v>
          </cell>
        </row>
        <row r="36">
          <cell r="B36" t="str">
            <v>Evaporative Assist Cooling-NR</v>
          </cell>
          <cell r="C36" t="str">
            <v>dropped for 7p - no data</v>
          </cell>
          <cell r="F36" t="str">
            <v>Evaporative Assist Cooling</v>
          </cell>
          <cell r="K36">
            <v>0</v>
          </cell>
        </row>
        <row r="37">
          <cell r="B37" t="str">
            <v>Economizer-Retro</v>
          </cell>
          <cell r="C37" t="str">
            <v>COM-Economizer-7P_v1.xlsm</v>
          </cell>
          <cell r="F37" t="str">
            <v>Economizer maintenance and repair</v>
          </cell>
          <cell r="H37">
            <v>26.426181974293137</v>
          </cell>
          <cell r="K37">
            <v>5.9129303419382238</v>
          </cell>
        </row>
        <row r="38">
          <cell r="B38" t="str">
            <v>Demand Control Ventilation-New</v>
          </cell>
          <cell r="F38" t="str">
            <v>Demand Control Ventilation</v>
          </cell>
          <cell r="K38">
            <v>3.7806867212698152</v>
          </cell>
          <cell r="O38" t="str">
            <v>ks</v>
          </cell>
        </row>
        <row r="39">
          <cell r="B39" t="str">
            <v>Demand Control Ventilation-NR</v>
          </cell>
          <cell r="F39" t="str">
            <v>Demand Control Ventilation</v>
          </cell>
          <cell r="K39">
            <v>3.1208141189685712</v>
          </cell>
          <cell r="O39" t="str">
            <v>ks</v>
          </cell>
        </row>
        <row r="40">
          <cell r="B40" t="str">
            <v>Demand Control Ventilation-Retro</v>
          </cell>
          <cell r="C40" t="str">
            <v>Com-DCV-7P_V2.xlsm</v>
          </cell>
          <cell r="F40" t="str">
            <v>Demand Control Ventilation</v>
          </cell>
          <cell r="H40">
            <v>28.430557997918477</v>
          </cell>
          <cell r="I40">
            <v>0</v>
          </cell>
          <cell r="K40">
            <v>18.586994736156402</v>
          </cell>
          <cell r="O40" t="str">
            <v>ks</v>
          </cell>
        </row>
        <row r="41">
          <cell r="B41" t="str">
            <v>Premium Fume Hood-NR</v>
          </cell>
          <cell r="C41" t="str">
            <v>COM-FumeHood-7P_V1.xlsm</v>
          </cell>
          <cell r="F41" t="str">
            <v>Premium Fume Hood</v>
          </cell>
          <cell r="H41">
            <v>3.8878892674922914</v>
          </cell>
          <cell r="I41">
            <v>0</v>
          </cell>
          <cell r="K41">
            <v>19.625784442962761</v>
          </cell>
          <cell r="O41" t="str">
            <v>ks</v>
          </cell>
        </row>
        <row r="42">
          <cell r="B42" t="str">
            <v>DCV Restaurant Hood-Retro</v>
          </cell>
          <cell r="F42" t="str">
            <v>DCV Restaurant Hood</v>
          </cell>
          <cell r="K42">
            <v>5.2084283011879595</v>
          </cell>
          <cell r="O42" t="str">
            <v>ks</v>
          </cell>
        </row>
        <row r="43">
          <cell r="B43" t="str">
            <v>DCV Parking Garage-Retro</v>
          </cell>
          <cell r="C43" t="str">
            <v>COM-DCV-Garage-7P_V3.xlsm</v>
          </cell>
          <cell r="F43" t="str">
            <v>DCV Parking Garage</v>
          </cell>
          <cell r="H43">
            <v>12.888276850646843</v>
          </cell>
          <cell r="K43">
            <v>0</v>
          </cell>
          <cell r="O43" t="str">
            <v>ks</v>
          </cell>
        </row>
        <row r="44">
          <cell r="B44" t="str">
            <v>Weatherization - School-Retro</v>
          </cell>
          <cell r="F44" t="str">
            <v>Weatherization - School</v>
          </cell>
          <cell r="K44" t="str">
            <v/>
          </cell>
        </row>
        <row r="45">
          <cell r="B45" t="str">
            <v>Energy Recovery Ventilator-NR</v>
          </cell>
          <cell r="C45" t="str">
            <v>dropped for 7p - too expensive</v>
          </cell>
          <cell r="F45" t="str">
            <v>Heat Recovery Ventilation</v>
          </cell>
          <cell r="K45" t="str">
            <v/>
          </cell>
        </row>
        <row r="46">
          <cell r="B46" t="str">
            <v>AC Heat Recovery for Water Heating-NR</v>
          </cell>
          <cell r="C46" t="str">
            <v>dropped for 7p</v>
          </cell>
          <cell r="F46" t="str">
            <v>AC Heat Recovery for Water Heating</v>
          </cell>
          <cell r="K46" t="str">
            <v/>
          </cell>
        </row>
        <row r="47">
          <cell r="B47" t="str">
            <v>Room Occupancy Sensors in Lodging-Retro</v>
          </cell>
          <cell r="C47" t="str">
            <v>dropped for 7p</v>
          </cell>
          <cell r="F47" t="str">
            <v>Room Occupancy Sensors in Lodging</v>
          </cell>
          <cell r="K47" t="str">
            <v/>
          </cell>
        </row>
        <row r="48">
          <cell r="B48" t="str">
            <v>Chiller - chilled water retrofit-Retro</v>
          </cell>
          <cell r="F48" t="str">
            <v>Chiller - chilled water retrofit</v>
          </cell>
          <cell r="K48" t="str">
            <v/>
          </cell>
        </row>
        <row r="49">
          <cell r="B49" t="str">
            <v>Chiller - equip retrofits-Retro</v>
          </cell>
          <cell r="F49" t="str">
            <v>Chiller - equip retrofits</v>
          </cell>
          <cell r="K49" t="str">
            <v/>
          </cell>
        </row>
        <row r="50">
          <cell r="B50" t="str">
            <v>Pool Blankets-Retro</v>
          </cell>
          <cell r="F50" t="str">
            <v>Pool Blankets</v>
          </cell>
          <cell r="K50" t="str">
            <v/>
          </cell>
        </row>
        <row r="51">
          <cell r="B51" t="str">
            <v>Web-Enabled Thermostats-Retro</v>
          </cell>
          <cell r="F51" t="str">
            <v>Web-Enabled Thermostats</v>
          </cell>
          <cell r="K51" t="str">
            <v/>
          </cell>
        </row>
        <row r="52">
          <cell r="B52" t="str">
            <v>Garage CO2 ventilation-Retro</v>
          </cell>
          <cell r="C52" t="str">
            <v>see com-dcv-garage</v>
          </cell>
          <cell r="F52" t="str">
            <v>Garage CO2 ventilation</v>
          </cell>
          <cell r="K52" t="str">
            <v/>
          </cell>
          <cell r="O52" t="str">
            <v>ks</v>
          </cell>
        </row>
        <row r="53">
          <cell r="B53" t="str">
            <v>Circ Pump ECM and drive-Retro</v>
          </cell>
          <cell r="F53" t="str">
            <v>Circ Pump ECM and drive</v>
          </cell>
          <cell r="K53" t="str">
            <v/>
          </cell>
        </row>
        <row r="54">
          <cell r="B54" t="str">
            <v>VRF-New</v>
          </cell>
          <cell r="C54" t="str">
            <v>COM-VRF-7P_V5.xlsm</v>
          </cell>
          <cell r="F54" t="str">
            <v>Variable Refrigerant Flow</v>
          </cell>
          <cell r="H54">
            <v>61.089028709904269</v>
          </cell>
          <cell r="I54">
            <v>61.089028709904269</v>
          </cell>
          <cell r="K54" t="str">
            <v/>
          </cell>
          <cell r="O54" t="str">
            <v>ks</v>
          </cell>
        </row>
        <row r="55">
          <cell r="B55" t="str">
            <v>VRF-Retro</v>
          </cell>
          <cell r="C55" t="str">
            <v>COM-VRF-7P_V5.xlsm</v>
          </cell>
          <cell r="F55" t="str">
            <v>Variable Refrigerant Flow</v>
          </cell>
          <cell r="H55">
            <v>31.395155521232557</v>
          </cell>
          <cell r="K55" t="str">
            <v/>
          </cell>
          <cell r="O55" t="str">
            <v>ks</v>
          </cell>
        </row>
        <row r="56">
          <cell r="B56" t="str">
            <v>Evaporator Roof Top HVAC-Retro</v>
          </cell>
          <cell r="C56" t="str">
            <v>dropped for 7p</v>
          </cell>
          <cell r="F56" t="str">
            <v>Evaporator Roof Top HVAC</v>
          </cell>
          <cell r="K56" t="str">
            <v/>
          </cell>
        </row>
        <row r="57">
          <cell r="B57" t="str">
            <v>Secondary Glazing Systems-Retro</v>
          </cell>
          <cell r="C57" t="str">
            <v>Com-WindowSGS-7P_V3.xlsx</v>
          </cell>
          <cell r="F57" t="str">
            <v>Secondary Glazing Systems</v>
          </cell>
          <cell r="G57">
            <v>42063</v>
          </cell>
          <cell r="H57">
            <v>40.390797895321441</v>
          </cell>
          <cell r="K57" t="str">
            <v/>
          </cell>
          <cell r="O57" t="str">
            <v>cg</v>
          </cell>
          <cell r="R57">
            <v>42069</v>
          </cell>
          <cell r="T57">
            <v>42069</v>
          </cell>
        </row>
        <row r="58">
          <cell r="B58" t="str">
            <v>LPD Package-New</v>
          </cell>
          <cell r="C58" t="str">
            <v>Com-LightingInterior-7P_v36.xlsx</v>
          </cell>
          <cell r="F58" t="str">
            <v>Lighting Power Density</v>
          </cell>
          <cell r="G58">
            <v>42070</v>
          </cell>
          <cell r="H58">
            <v>77.181342695273457</v>
          </cell>
          <cell r="I58">
            <v>77.181342695273457</v>
          </cell>
          <cell r="K58">
            <v>43.425816906114818</v>
          </cell>
          <cell r="O58" t="str">
            <v>cg</v>
          </cell>
          <cell r="P58">
            <v>42070</v>
          </cell>
          <cell r="Q58">
            <v>42070</v>
          </cell>
          <cell r="R58">
            <v>42069</v>
          </cell>
          <cell r="T58">
            <v>42069</v>
          </cell>
          <cell r="U58">
            <v>42070</v>
          </cell>
        </row>
        <row r="59">
          <cell r="B59" t="str">
            <v>LPD Package-NR</v>
          </cell>
          <cell r="C59" t="str">
            <v>Com-LightingInterior-7P_v36.xlsx</v>
          </cell>
          <cell r="F59" t="str">
            <v>Lighting Power Density</v>
          </cell>
          <cell r="G59">
            <v>42070</v>
          </cell>
          <cell r="H59">
            <v>209.62341372597962</v>
          </cell>
          <cell r="K59">
            <v>288.64083212829757</v>
          </cell>
          <cell r="O59" t="str">
            <v>cg</v>
          </cell>
          <cell r="P59">
            <v>42070</v>
          </cell>
          <cell r="Q59">
            <v>42070</v>
          </cell>
          <cell r="R59">
            <v>42069</v>
          </cell>
          <cell r="T59">
            <v>42069</v>
          </cell>
          <cell r="U59">
            <v>42070</v>
          </cell>
        </row>
        <row r="60">
          <cell r="B60" t="str">
            <v>LPD Package-Retro</v>
          </cell>
          <cell r="C60" t="str">
            <v>Com-LightingInterior-7P_v36.xlsx</v>
          </cell>
          <cell r="F60" t="str">
            <v>Lighting Power Density</v>
          </cell>
          <cell r="G60">
            <v>42070</v>
          </cell>
          <cell r="H60">
            <v>108.93189922488979</v>
          </cell>
          <cell r="K60">
            <v>32.215584324387343</v>
          </cell>
          <cell r="O60" t="str">
            <v>cg</v>
          </cell>
          <cell r="P60">
            <v>42070</v>
          </cell>
          <cell r="Q60">
            <v>42070</v>
          </cell>
          <cell r="R60">
            <v>42069</v>
          </cell>
          <cell r="T60">
            <v>42069</v>
          </cell>
          <cell r="U60">
            <v>42070</v>
          </cell>
        </row>
        <row r="61">
          <cell r="B61" t="str">
            <v>Top Daylighting-New</v>
          </cell>
          <cell r="C61" t="str">
            <v>dropped for 7p - codes</v>
          </cell>
          <cell r="F61" t="str">
            <v>Daylighting with Skylights</v>
          </cell>
          <cell r="K61">
            <v>17.425003592262602</v>
          </cell>
          <cell r="O61" t="str">
            <v>cg</v>
          </cell>
          <cell r="R61">
            <v>42069</v>
          </cell>
          <cell r="T61">
            <v>42069</v>
          </cell>
        </row>
        <row r="62">
          <cell r="B62" t="str">
            <v>Perimeter Daylighting Controls Advanced-New</v>
          </cell>
          <cell r="C62" t="str">
            <v>dropped for 7p - codes</v>
          </cell>
          <cell r="F62" t="str">
            <v>Daylighting with Windows</v>
          </cell>
          <cell r="K62">
            <v>3.1006916194307825</v>
          </cell>
          <cell r="O62" t="str">
            <v>cg</v>
          </cell>
          <cell r="R62">
            <v>42069</v>
          </cell>
          <cell r="T62">
            <v>42069</v>
          </cell>
        </row>
        <row r="63">
          <cell r="B63" t="str">
            <v>Perimeter Daylighting Controls Advanced-NR</v>
          </cell>
          <cell r="F63" t="str">
            <v>Daylighting with Windows</v>
          </cell>
          <cell r="K63">
            <v>11.866846651298719</v>
          </cell>
          <cell r="O63" t="str">
            <v>cg</v>
          </cell>
          <cell r="R63">
            <v>42069</v>
          </cell>
          <cell r="T63">
            <v>42069</v>
          </cell>
        </row>
        <row r="64">
          <cell r="B64" t="str">
            <v>Lighting Controls Interior-New</v>
          </cell>
          <cell r="C64" t="str">
            <v>Com-InteriorLightingControls-7P_V5.xlsx</v>
          </cell>
          <cell r="F64" t="str">
            <v>Lighting Controls Interior</v>
          </cell>
          <cell r="G64">
            <v>42071</v>
          </cell>
          <cell r="H64">
            <v>10.950320424220106</v>
          </cell>
          <cell r="I64">
            <v>10.950320424220106</v>
          </cell>
          <cell r="K64">
            <v>5.4534720066331879</v>
          </cell>
          <cell r="O64" t="str">
            <v>cg</v>
          </cell>
          <cell r="R64">
            <v>42069</v>
          </cell>
          <cell r="T64">
            <v>42069</v>
          </cell>
        </row>
        <row r="65">
          <cell r="B65" t="str">
            <v>Lighting Controls Interior-NR</v>
          </cell>
          <cell r="C65" t="str">
            <v>Com-InteriorLightingControls-7P_V5.xlsx</v>
          </cell>
          <cell r="F65" t="str">
            <v>Lighting Controls Interior</v>
          </cell>
          <cell r="G65">
            <v>42071</v>
          </cell>
          <cell r="H65">
            <v>26.31391009160577</v>
          </cell>
          <cell r="K65">
            <v>53.550862716639848</v>
          </cell>
          <cell r="O65" t="str">
            <v>cg</v>
          </cell>
          <cell r="R65">
            <v>42069</v>
          </cell>
          <cell r="T65">
            <v>42069</v>
          </cell>
        </row>
        <row r="66">
          <cell r="B66" t="str">
            <v>Exterior Building Lighting-New</v>
          </cell>
          <cell r="C66" t="str">
            <v>Com-ExteriorLighting-7P_V13.xlsx</v>
          </cell>
          <cell r="F66" t="str">
            <v>Exterior Building Lighting</v>
          </cell>
          <cell r="G66">
            <v>42070</v>
          </cell>
          <cell r="H66">
            <v>18.695722892998404</v>
          </cell>
          <cell r="I66">
            <v>18.695722892998404</v>
          </cell>
          <cell r="K66">
            <v>23.218243762601482</v>
          </cell>
          <cell r="O66" t="str">
            <v>cg</v>
          </cell>
          <cell r="P66">
            <v>42069</v>
          </cell>
          <cell r="Q66">
            <v>42069</v>
          </cell>
          <cell r="R66">
            <v>42069</v>
          </cell>
          <cell r="T66">
            <v>42069</v>
          </cell>
          <cell r="U66">
            <v>42069</v>
          </cell>
        </row>
        <row r="67">
          <cell r="B67" t="str">
            <v>Exterior Building Lighting-NR</v>
          </cell>
          <cell r="C67" t="str">
            <v>Com-ExteriorLighting-7P_V13.xlsx</v>
          </cell>
          <cell r="F67" t="str">
            <v>Exterior Building Lighting</v>
          </cell>
          <cell r="G67">
            <v>42070</v>
          </cell>
          <cell r="H67">
            <v>123.72449000056638</v>
          </cell>
          <cell r="K67">
            <v>65.152385048123932</v>
          </cell>
          <cell r="O67" t="str">
            <v>cg</v>
          </cell>
          <cell r="P67">
            <v>42069</v>
          </cell>
          <cell r="Q67">
            <v>42069</v>
          </cell>
          <cell r="R67">
            <v>42069</v>
          </cell>
          <cell r="T67">
            <v>42069</v>
          </cell>
          <cell r="U67">
            <v>42069</v>
          </cell>
        </row>
        <row r="68">
          <cell r="B68" t="str">
            <v>Street and Roadway Lighting-New</v>
          </cell>
          <cell r="C68" t="str">
            <v>Com-Streetlight-7P_V9.xlsx</v>
          </cell>
          <cell r="F68" t="str">
            <v>Street and Roadway Lighting</v>
          </cell>
          <cell r="G68">
            <v>42070</v>
          </cell>
          <cell r="H68">
            <v>6.6186035002887733</v>
          </cell>
          <cell r="K68">
            <v>8.0478163439427366</v>
          </cell>
          <cell r="O68" t="str">
            <v>cg</v>
          </cell>
          <cell r="P68">
            <v>42069</v>
          </cell>
          <cell r="Q68">
            <v>42069</v>
          </cell>
          <cell r="R68">
            <v>42069</v>
          </cell>
          <cell r="T68">
            <v>42069</v>
          </cell>
          <cell r="U68">
            <v>42069</v>
          </cell>
        </row>
        <row r="69">
          <cell r="B69" t="str">
            <v>Street and Roadway Lighting-NR</v>
          </cell>
          <cell r="C69" t="str">
            <v>Com-Streetlight-7P_V9.xlsx</v>
          </cell>
          <cell r="F69" t="str">
            <v>Street and Roadway Lighting</v>
          </cell>
          <cell r="G69">
            <v>42070</v>
          </cell>
          <cell r="H69">
            <v>54.214701088024171</v>
          </cell>
          <cell r="K69">
            <v>35.768242090251178</v>
          </cell>
          <cell r="O69" t="str">
            <v>cg</v>
          </cell>
          <cell r="P69">
            <v>42069</v>
          </cell>
          <cell r="Q69">
            <v>42069</v>
          </cell>
          <cell r="R69">
            <v>42069</v>
          </cell>
          <cell r="T69">
            <v>42069</v>
          </cell>
          <cell r="U69">
            <v>42069</v>
          </cell>
        </row>
        <row r="70">
          <cell r="B70" t="str">
            <v>Parking Lighting-New</v>
          </cell>
          <cell r="C70" t="str">
            <v>Com-ParkingGarageLighting-7P_v6.xlsx</v>
          </cell>
          <cell r="F70" t="str">
            <v>Parking Lighting</v>
          </cell>
          <cell r="I70">
            <v>0</v>
          </cell>
          <cell r="K70">
            <v>8.3762581743454216</v>
          </cell>
          <cell r="O70" t="str">
            <v>cg</v>
          </cell>
          <cell r="R70">
            <v>42069</v>
          </cell>
          <cell r="T70">
            <v>42069</v>
          </cell>
        </row>
        <row r="71">
          <cell r="B71" t="str">
            <v>Parking Lighting-NR</v>
          </cell>
          <cell r="C71" t="str">
            <v>Com-ParkingGarageLighting-7P_v6.xlsx</v>
          </cell>
          <cell r="F71" t="str">
            <v>Parking Lighting</v>
          </cell>
          <cell r="G71">
            <v>42064</v>
          </cell>
          <cell r="H71">
            <v>8.4133728390346398</v>
          </cell>
          <cell r="K71">
            <v>45.816647060114327</v>
          </cell>
          <cell r="O71" t="str">
            <v>cg</v>
          </cell>
          <cell r="R71">
            <v>42069</v>
          </cell>
          <cell r="T71">
            <v>42069</v>
          </cell>
        </row>
        <row r="72">
          <cell r="B72" t="str">
            <v>Bi-Level Stairwell Lighting-NR</v>
          </cell>
          <cell r="C72" t="str">
            <v>Com-Bi-Level Stairwell-7P_V2.xlsx</v>
          </cell>
          <cell r="F72" t="str">
            <v>Bi-Level Stairwell</v>
          </cell>
          <cell r="G72">
            <v>42064</v>
          </cell>
          <cell r="H72">
            <v>11.858348727423326</v>
          </cell>
          <cell r="K72" t="str">
            <v/>
          </cell>
          <cell r="O72" t="str">
            <v>cg</v>
          </cell>
          <cell r="R72">
            <v>42069</v>
          </cell>
          <cell r="T72">
            <v>42069</v>
          </cell>
        </row>
        <row r="73">
          <cell r="B73" t="str">
            <v>ECM-VAV-New</v>
          </cell>
          <cell r="C73" t="str">
            <v>COM-ECM-VAV-7P_V2.xlsm</v>
          </cell>
          <cell r="F73" t="str">
            <v>ECM Motors on Variable Air Volume Boxes</v>
          </cell>
          <cell r="H73">
            <v>6.3907640383945719</v>
          </cell>
          <cell r="I73">
            <v>6.3907640383945719</v>
          </cell>
          <cell r="K73">
            <v>2.5095329434297415</v>
          </cell>
          <cell r="O73" t="str">
            <v>ks</v>
          </cell>
        </row>
        <row r="74">
          <cell r="B74" t="str">
            <v>ECM-VAV-NR</v>
          </cell>
          <cell r="C74" t="str">
            <v>COM-ECM-VAV-7P_V2.xlsm</v>
          </cell>
          <cell r="F74" t="str">
            <v>ECM Motors on Variable Air Volume Boxes</v>
          </cell>
          <cell r="H74">
            <v>27.229691418576945</v>
          </cell>
          <cell r="K74">
            <v>8.5068284449929461</v>
          </cell>
          <cell r="O74" t="str">
            <v>ks</v>
          </cell>
        </row>
        <row r="75">
          <cell r="B75" t="str">
            <v>Pool pumps-Retro</v>
          </cell>
          <cell r="C75" t="str">
            <v>dropped for 7p</v>
          </cell>
          <cell r="F75" t="str">
            <v>Pool pumps</v>
          </cell>
          <cell r="K75" t="str">
            <v/>
          </cell>
        </row>
        <row r="76">
          <cell r="B76" t="str">
            <v>MotorsRewind-New</v>
          </cell>
          <cell r="C76" t="str">
            <v>COM-MotorsRewind-7P_v1.xlsm</v>
          </cell>
          <cell r="F76" t="str">
            <v>Motors - Rewind</v>
          </cell>
          <cell r="H76">
            <v>0.59897056594621811</v>
          </cell>
          <cell r="I76">
            <v>0.59897056594621811</v>
          </cell>
          <cell r="K76" t="str">
            <v/>
          </cell>
          <cell r="O76" t="str">
            <v>ks</v>
          </cell>
        </row>
        <row r="77">
          <cell r="B77" t="str">
            <v>MotorsRewind-NR</v>
          </cell>
          <cell r="C77" t="str">
            <v>COM-MotorsRewind-7P_v1.xlsm</v>
          </cell>
          <cell r="F77" t="str">
            <v>Motors - Rewind</v>
          </cell>
          <cell r="H77">
            <v>2.6079890407215234</v>
          </cell>
          <cell r="K77" t="str">
            <v/>
          </cell>
          <cell r="O77" t="str">
            <v>ks</v>
          </cell>
        </row>
        <row r="78">
          <cell r="B78" t="str">
            <v>Municipal Sewage Treatment-Retro</v>
          </cell>
          <cell r="C78" t="str">
            <v>COM-Wastewater-7P_V4.xlsm</v>
          </cell>
          <cell r="D78" t="str">
            <v>SC_Retro</v>
          </cell>
          <cell r="E78" t="str">
            <v>Retro</v>
          </cell>
          <cell r="F78" t="str">
            <v>Municipal Sewage Treatment</v>
          </cell>
          <cell r="H78">
            <v>35.293413394978195</v>
          </cell>
          <cell r="K78">
            <v>35.639494471243012</v>
          </cell>
          <cell r="O78" t="str">
            <v>ks</v>
          </cell>
        </row>
        <row r="79">
          <cell r="B79" t="str">
            <v>Municipal Water Supply-Retro</v>
          </cell>
          <cell r="C79" t="str">
            <v>COM-WaterSupply-7P_V4.xlsm</v>
          </cell>
          <cell r="D79" t="str">
            <v>SC_Retro</v>
          </cell>
          <cell r="E79" t="str">
            <v>Retro</v>
          </cell>
          <cell r="F79" t="str">
            <v>Municipal Water Supply</v>
          </cell>
          <cell r="H79">
            <v>14.07904856503921</v>
          </cell>
          <cell r="K79">
            <v>13.786942026010605</v>
          </cell>
          <cell r="O79" t="str">
            <v>ks</v>
          </cell>
        </row>
        <row r="80">
          <cell r="B80" t="str">
            <v>Engine Generator Block Heaters-Retro</v>
          </cell>
          <cell r="C80" t="str">
            <v>dropped for 7p</v>
          </cell>
          <cell r="F80" t="str">
            <v>Engine Generator Block Heaters</v>
          </cell>
          <cell r="K80" t="str">
            <v/>
          </cell>
        </row>
        <row r="81">
          <cell r="B81" t="str">
            <v>Grocery Refrigeration Bundle-Retro</v>
          </cell>
          <cell r="C81" t="str">
            <v>Com-Grocery-7P_V5p.xlsx</v>
          </cell>
          <cell r="F81" t="str">
            <v>Grocery Refrigeration Bundle</v>
          </cell>
          <cell r="G81">
            <v>42064</v>
          </cell>
          <cell r="H81">
            <v>63.534810180973587</v>
          </cell>
          <cell r="K81">
            <v>85.641041401934004</v>
          </cell>
          <cell r="O81" t="str">
            <v>cg</v>
          </cell>
          <cell r="R81">
            <v>42069</v>
          </cell>
          <cell r="T81">
            <v>42069</v>
          </cell>
        </row>
        <row r="82">
          <cell r="B82" t="str">
            <v>Packaged Refrigeration Equipment-New</v>
          </cell>
          <cell r="C82" t="str">
            <v>dropped for 7p - stds</v>
          </cell>
          <cell r="F82" t="str">
            <v>Packaged Refrigeration Equipment</v>
          </cell>
          <cell r="K82">
            <v>49.431909921506794</v>
          </cell>
        </row>
        <row r="83">
          <cell r="B83" t="str">
            <v>Appliances - Freezers-NR</v>
          </cell>
          <cell r="F83" t="str">
            <v>Appliances - Freezers</v>
          </cell>
          <cell r="K83" t="str">
            <v/>
          </cell>
        </row>
        <row r="84">
          <cell r="B84" t="str">
            <v>Appliances - Refrigerators-NR</v>
          </cell>
          <cell r="F84" t="str">
            <v>Appliances - Refrigerators</v>
          </cell>
          <cell r="K84" t="str">
            <v/>
          </cell>
        </row>
        <row r="85">
          <cell r="B85" t="str">
            <v>Water Cooler Controls-NR</v>
          </cell>
          <cell r="C85" t="str">
            <v>Com-WaterCooler-7P_V3.xlsx</v>
          </cell>
          <cell r="F85" t="str">
            <v>Water Cooler Controls</v>
          </cell>
          <cell r="G85">
            <v>42063</v>
          </cell>
          <cell r="H85">
            <v>13.180394293600866</v>
          </cell>
          <cell r="K85" t="str">
            <v/>
          </cell>
          <cell r="O85" t="str">
            <v>cg</v>
          </cell>
          <cell r="R85">
            <v>42069</v>
          </cell>
          <cell r="T85">
            <v>42069</v>
          </cell>
        </row>
        <row r="86">
          <cell r="B86" t="str">
            <v>WHTanks-New</v>
          </cell>
          <cell r="C86" t="str">
            <v>COM-WHTanks-7p_v4.xlsm</v>
          </cell>
          <cell r="F86" t="str">
            <v>DHW - Efficient Tanks</v>
          </cell>
          <cell r="H86">
            <v>0.49370461821151984</v>
          </cell>
          <cell r="I86">
            <v>0.49370461821151984</v>
          </cell>
          <cell r="K86">
            <v>0</v>
          </cell>
          <cell r="O86" t="str">
            <v>ks</v>
          </cell>
        </row>
        <row r="87">
          <cell r="B87" t="str">
            <v>WHTanks-NR</v>
          </cell>
          <cell r="C87" t="str">
            <v>COM-WHTanks-7p_v4.xlsm</v>
          </cell>
          <cell r="F87" t="str">
            <v>DHW - Efficient Tanks</v>
          </cell>
          <cell r="H87">
            <v>2.0446577325813005</v>
          </cell>
          <cell r="K87" t="str">
            <v/>
          </cell>
          <cell r="O87" t="str">
            <v>ks</v>
          </cell>
        </row>
        <row r="88">
          <cell r="B88" t="str">
            <v>Appliances - Clothes Washers-NR</v>
          </cell>
          <cell r="F88" t="str">
            <v>Appliances - Clothes Washers</v>
          </cell>
          <cell r="K88" t="str">
            <v/>
          </cell>
        </row>
        <row r="89">
          <cell r="B89" t="str">
            <v>Showerheads-Retro</v>
          </cell>
          <cell r="C89" t="str">
            <v>COM-Showerhead-7P_v2.xlsm</v>
          </cell>
          <cell r="F89" t="str">
            <v>DHW - Showerheads</v>
          </cell>
          <cell r="H89">
            <v>3.7216771353503777</v>
          </cell>
          <cell r="K89" t="str">
            <v/>
          </cell>
          <cell r="O89" t="str">
            <v>ks</v>
          </cell>
        </row>
        <row r="90">
          <cell r="B90" t="str">
            <v>Water Heating - GFHX-New</v>
          </cell>
          <cell r="C90" t="str">
            <v>dropped for 7p</v>
          </cell>
          <cell r="F90" t="str">
            <v>Water Heating - GFHX</v>
          </cell>
          <cell r="K90" t="str">
            <v/>
          </cell>
        </row>
        <row r="91">
          <cell r="B91" t="str">
            <v>Demand Control Circulating system DHW-Retro</v>
          </cell>
          <cell r="C91" t="str">
            <v>dropped for 7p</v>
          </cell>
          <cell r="F91" t="str">
            <v>Demand Control Circulating system DHW</v>
          </cell>
          <cell r="K91" t="str">
            <v/>
          </cell>
        </row>
        <row r="92">
          <cell r="B92" t="str">
            <v>Central HPWH MF-Retro</v>
          </cell>
          <cell r="F92" t="str">
            <v>Central HPWH MF</v>
          </cell>
          <cell r="K92" t="str">
            <v/>
          </cell>
        </row>
        <row r="93">
          <cell r="B93" t="str">
            <v>Ultra Low Energy Building-New</v>
          </cell>
          <cell r="F93" t="str">
            <v>Ultra Low Energy Building</v>
          </cell>
          <cell r="K93">
            <v>57.012696990717721</v>
          </cell>
          <cell r="O93" t="str">
            <v>cg</v>
          </cell>
          <cell r="R93">
            <v>42069</v>
          </cell>
          <cell r="T93">
            <v>42069</v>
          </cell>
        </row>
        <row r="94">
          <cell r="B94" t="str">
            <v>Low Power LF Lamps-NR</v>
          </cell>
          <cell r="C94" t="str">
            <v>Com-HPLowPowerGSFL-7P_V5.xlsx</v>
          </cell>
          <cell r="F94" t="str">
            <v>High Perf Low Power Fluorescent Lamp PPA</v>
          </cell>
          <cell r="G94">
            <v>42057</v>
          </cell>
          <cell r="H94">
            <v>40.479721787784023</v>
          </cell>
          <cell r="O94" t="str">
            <v>cg</v>
          </cell>
          <cell r="P94">
            <v>42070</v>
          </cell>
          <cell r="Q94">
            <v>42070</v>
          </cell>
          <cell r="R94">
            <v>42069</v>
          </cell>
          <cell r="T94">
            <v>42069</v>
          </cell>
          <cell r="U94">
            <v>42070</v>
          </cell>
        </row>
        <row r="96">
          <cell r="B96" t="str">
            <v>From 6P not in 7P</v>
          </cell>
        </row>
        <row r="97">
          <cell r="B97" t="str">
            <v>Signage-New</v>
          </cell>
          <cell r="C97" t="str">
            <v>dropped for 7p</v>
          </cell>
          <cell r="K97">
            <v>1.1088142099641565</v>
          </cell>
        </row>
        <row r="98">
          <cell r="B98" t="str">
            <v>Signage-NR</v>
          </cell>
          <cell r="C98" t="str">
            <v>dropped for 7p</v>
          </cell>
          <cell r="K98">
            <v>5.6760557940938234</v>
          </cell>
        </row>
        <row r="99">
          <cell r="B99" t="str">
            <v>Exit Signs-NR</v>
          </cell>
          <cell r="C99" t="str">
            <v>dropped for 7p</v>
          </cell>
          <cell r="H99">
            <v>741</v>
          </cell>
          <cell r="K99">
            <v>4.88794421832577</v>
          </cell>
        </row>
        <row r="100">
          <cell r="B100" t="str">
            <v>Roof Insulation-NR</v>
          </cell>
          <cell r="C100" t="str">
            <v>dropped for 7p</v>
          </cell>
          <cell r="K100">
            <v>24.79389803241914</v>
          </cell>
        </row>
        <row r="101">
          <cell r="B101" t="str">
            <v>Package Roof Top Optimization and Repair-New</v>
          </cell>
          <cell r="C101" t="str">
            <v>These will be added back into list when completed</v>
          </cell>
          <cell r="K101">
            <v>4.3297471414332787</v>
          </cell>
        </row>
        <row r="102">
          <cell r="B102" t="str">
            <v>Package Roof Top Optimization and Repair-NR</v>
          </cell>
          <cell r="C102" t="str">
            <v>These will be added back into list when completed</v>
          </cell>
          <cell r="K102">
            <v>8.0798753943758364</v>
          </cell>
        </row>
        <row r="103">
          <cell r="B103" t="str">
            <v>Package Roof Top Optimization and Repair-Retro</v>
          </cell>
          <cell r="C103" t="str">
            <v>These will be added back into list when completed</v>
          </cell>
          <cell r="K103">
            <v>13.993833635474468</v>
          </cell>
        </row>
        <row r="104">
          <cell r="B104" t="str">
            <v>Computer Servers and IT-Retro</v>
          </cell>
          <cell r="C104" t="str">
            <v>See data centers</v>
          </cell>
        </row>
        <row r="105">
          <cell r="B105" t="str">
            <v>Low Pressure Distribution Complex HVAC-New</v>
          </cell>
          <cell r="F105" t="str">
            <v>Low Pressure Distribution Complex HVAC</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L112" t="str">
            <v>power supplies</v>
          </cell>
        </row>
        <row r="113">
          <cell r="B113">
            <v>0</v>
          </cell>
          <cell r="F113">
            <v>0</v>
          </cell>
          <cell r="L113" t="str">
            <v>Computers (in ICE)</v>
          </cell>
        </row>
        <row r="114">
          <cell r="L114" t="str">
            <v>Monitors (in ICE)</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X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9.9999999999999978E-2</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cell r="X16">
            <v>0.01</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cell r="X17">
            <v>0.01</v>
          </cell>
        </row>
        <row r="18">
          <cell r="B18" t="str">
            <v>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X18">
            <v>0.01</v>
          </cell>
        </row>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Economizer-Retro</v>
          </cell>
          <cell r="C37">
            <v>0.37773742662640791</v>
          </cell>
          <cell r="D37">
            <v>0.23826646440482974</v>
          </cell>
          <cell r="E37">
            <v>5.5518884697354179E-2</v>
          </cell>
          <cell r="F37">
            <v>0.35309381104934129</v>
          </cell>
          <cell r="G37">
            <v>0.19907568268653997</v>
          </cell>
          <cell r="H37">
            <v>0.15513670187653161</v>
          </cell>
          <cell r="I37">
            <v>1.0197910929940514E-2</v>
          </cell>
          <cell r="J37">
            <v>0.28088324172086482</v>
          </cell>
          <cell r="K37">
            <v>0.28088324172086482</v>
          </cell>
          <cell r="L37">
            <v>0.11124903795477889</v>
          </cell>
          <cell r="M37">
            <v>0.31360984414443888</v>
          </cell>
          <cell r="N37">
            <v>0.15264480663133839</v>
          </cell>
          <cell r="O37">
            <v>0.24652213025227437</v>
          </cell>
          <cell r="P37">
            <v>7.8175735111402314E-2</v>
          </cell>
          <cell r="Q37">
            <v>0.34124133606352913</v>
          </cell>
          <cell r="R37">
            <v>5.9048454739110051E-2</v>
          </cell>
          <cell r="S37">
            <v>0.29894926354357898</v>
          </cell>
          <cell r="T37">
            <v>0.31491070071894045</v>
          </cell>
          <cell r="X37">
            <v>0.62956237771067991</v>
          </cell>
          <cell r="Y37">
            <v>0.31768861920643965</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X85">
            <v>0</v>
          </cell>
          <cell r="Y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Low Power LF Lamps-NR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0.9</v>
          </cell>
          <cell r="V15" t="str">
            <v>NEEA Sales data</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0.4</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cell r="V17" t="str">
            <v>ESTAR Server 9% (+), Virtualization 20%</v>
          </cell>
        </row>
        <row r="18">
          <cell r="B18" t="str">
            <v>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0.55000000000000004</v>
          </cell>
          <cell r="V18" t="str">
            <v>ENERGY STAR USD Summary Report _2013</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0.18579999999999999</v>
          </cell>
          <cell r="D34">
            <v>0.18579999999999999</v>
          </cell>
          <cell r="E34">
            <v>0.18579999999999999</v>
          </cell>
          <cell r="F34">
            <v>0.18579999999999999</v>
          </cell>
          <cell r="G34">
            <v>0.18579999999999999</v>
          </cell>
          <cell r="H34">
            <v>0.18579999999999999</v>
          </cell>
          <cell r="I34">
            <v>0.18579999999999999</v>
          </cell>
          <cell r="J34">
            <v>0.18579999999999999</v>
          </cell>
          <cell r="K34">
            <v>0.18579999999999999</v>
          </cell>
          <cell r="L34">
            <v>0.18579999999999999</v>
          </cell>
          <cell r="M34">
            <v>0.18579999999999999</v>
          </cell>
          <cell r="N34">
            <v>0.18579999999999999</v>
          </cell>
          <cell r="O34">
            <v>0.18579999999999999</v>
          </cell>
          <cell r="P34">
            <v>0.18579999999999999</v>
          </cell>
          <cell r="Q34">
            <v>0.18579999999999999</v>
          </cell>
          <cell r="R34">
            <v>0.18579999999999999</v>
          </cell>
          <cell r="S34">
            <v>0.18579999999999999</v>
          </cell>
          <cell r="T34">
            <v>0.18579999999999999</v>
          </cell>
          <cell r="U34" t="str">
            <v/>
          </cell>
          <cell r="V34" t="str">
            <v>From 6 going on 7.  See Com-EM workbook</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Economizer-Retro</v>
          </cell>
          <cell r="C37">
            <v>0.4</v>
          </cell>
          <cell r="D37">
            <v>0.25</v>
          </cell>
          <cell r="E37">
            <v>0.25</v>
          </cell>
          <cell r="F37">
            <v>0.4</v>
          </cell>
          <cell r="G37">
            <v>0.25</v>
          </cell>
          <cell r="H37">
            <v>0.25</v>
          </cell>
          <cell r="I37">
            <v>0.25</v>
          </cell>
          <cell r="J37">
            <v>0.4</v>
          </cell>
          <cell r="K37">
            <v>0.4</v>
          </cell>
          <cell r="L37">
            <v>0.25</v>
          </cell>
          <cell r="M37">
            <v>0.4</v>
          </cell>
          <cell r="N37">
            <v>0.25</v>
          </cell>
          <cell r="O37">
            <v>0.25</v>
          </cell>
          <cell r="P37">
            <v>0.25</v>
          </cell>
          <cell r="Q37">
            <v>0.4</v>
          </cell>
          <cell r="R37">
            <v>0.25</v>
          </cell>
          <cell r="S37">
            <v>0.25</v>
          </cell>
          <cell r="T37">
            <v>0.25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0.29417841433623887</v>
          </cell>
          <cell r="D40">
            <v>0.16600530238180544</v>
          </cell>
          <cell r="E40">
            <v>2.3737663898859066E-2</v>
          </cell>
          <cell r="F40">
            <v>0.22300715162221316</v>
          </cell>
          <cell r="G40">
            <v>0.19741792645695339</v>
          </cell>
          <cell r="H40">
            <v>4.2740762746028386E-2</v>
          </cell>
          <cell r="I40">
            <v>1.3597214573254024E-2</v>
          </cell>
          <cell r="J40">
            <v>0.3265989178858158</v>
          </cell>
          <cell r="K40">
            <v>0.13622896031789924</v>
          </cell>
          <cell r="L40">
            <v>0.12181229468805803</v>
          </cell>
          <cell r="M40">
            <v>1.5043119467328166E-2</v>
          </cell>
          <cell r="N40">
            <v>0.13718952244125024</v>
          </cell>
          <cell r="O40">
            <v>0.13714113159081304</v>
          </cell>
          <cell r="P40">
            <v>3.8125362646436782E-2</v>
          </cell>
          <cell r="Q40">
            <v>0.13622896031789924</v>
          </cell>
          <cell r="R40">
            <v>9.2381299117502383E-2</v>
          </cell>
          <cell r="S40">
            <v>0.22458868903269982</v>
          </cell>
          <cell r="T40">
            <v>0.27868917229328594</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cell r="W41">
            <v>0.29417841433623887</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W42">
            <v>0.16600530238180544</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cell r="W43">
            <v>2.3737663898859066E-2</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cell r="W44">
            <v>0.22300715162221316</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cell r="W45">
            <v>0.19741792645695339</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cell r="W46">
            <v>4.2740762746028386E-2</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cell r="W47">
            <v>1.3597214573254024E-2</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cell r="W48">
            <v>0.3265989178858158</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cell r="W49">
            <v>0.13622896031789924</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cell r="W50">
            <v>0.12181229468805803</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cell r="W51">
            <v>1.5043119467328166E-2</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cell r="W52">
            <v>0.13718952244125024</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cell r="W53">
            <v>0.13714113159081304</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cell r="W54">
            <v>3.8125362646436782E-2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cell r="W55">
            <v>0.13622896031789924</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cell r="W56">
            <v>9.2381299117502383E-2</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cell r="W57">
            <v>0.22458868903269982</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cell r="W58">
            <v>0.27868917229328594</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cell r="W59">
            <v>0.22300715162221316</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cell r="W60">
            <v>0.3265989178858158</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cell r="W61">
            <v>0.12181229468805803</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cell r="W62">
            <v>0.17488641186800052</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0.4</v>
          </cell>
          <cell r="V68" t="str">
            <v>Baseline saturation in measure workbook.  Source (DOE 2014)</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  Source (DOE 2014)</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t="str">
            <v>Baseline saturation in measure workbook.  Multiple measures</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Low Power LF Lamps-NR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cell r="W12" t="str">
            <v>_PRE2013</v>
          </cell>
          <cell r="X12" t="str">
            <v>Retro</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cell r="W13" t="str">
            <v>_PRE2013</v>
          </cell>
          <cell r="X13" t="str">
            <v>NR</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cell r="W14" t="str">
            <v>_PRE2013</v>
          </cell>
          <cell r="X14" t="str">
            <v>Retro</v>
          </cell>
        </row>
        <row r="15">
          <cell r="B15" t="str">
            <v>Laptop-NR</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cell r="W15" t="str">
            <v>_PRE2013</v>
          </cell>
          <cell r="X15" t="str">
            <v>NR</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cell r="W16" t="str">
            <v>_PRE2013</v>
          </cell>
          <cell r="X16" t="str">
            <v>Retro</v>
          </cell>
        </row>
        <row r="17">
          <cell r="B17" t="str">
            <v>Data Centers-NR</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cell r="W17" t="str">
            <v>_PRE2013</v>
          </cell>
          <cell r="X17" t="str">
            <v>NR</v>
          </cell>
        </row>
        <row r="18">
          <cell r="B18" t="str">
            <v>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cell r="W18" t="str">
            <v>_PRE2013</v>
          </cell>
          <cell r="X18" t="str">
            <v>NR</v>
          </cell>
        </row>
        <row r="19">
          <cell r="B19" t="str">
            <v>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Economizer-Retro</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Retro</v>
          </cell>
          <cell r="Y37" t="str">
            <v>_PRE2013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Bi-Level Stairwell Lighting-NR</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NR</v>
          </cell>
          <cell r="Y72" t="str">
            <v>POST2013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Controls-NR</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NR</v>
          </cell>
          <cell r="Y85" t="str">
            <v>POST2013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Low Power LF Lamps-NR</v>
          </cell>
          <cell r="C94" t="str">
            <v>_PRE2013</v>
          </cell>
          <cell r="D94" t="str">
            <v>_PRE2013</v>
          </cell>
          <cell r="W94" t="str">
            <v>_PRE2013</v>
          </cell>
          <cell r="X94" t="str">
            <v>Retro</v>
          </cell>
          <cell r="Y94" t="str">
            <v>_PRE2013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cell r="U15">
            <v>0.25</v>
          </cell>
        </row>
        <row r="16">
          <cell r="B16" t="str">
            <v>Smart Plug Power Strips-Retro</v>
          </cell>
          <cell r="U16">
            <v>0.2</v>
          </cell>
        </row>
        <row r="17">
          <cell r="B17" t="str">
            <v>Data Centers-NR</v>
          </cell>
          <cell r="U17">
            <v>0.2</v>
          </cell>
        </row>
        <row r="18">
          <cell r="B18" t="str">
            <v>Monitor-NR</v>
          </cell>
          <cell r="U18">
            <v>0.2</v>
          </cell>
        </row>
        <row r="19">
          <cell r="B19" t="str">
            <v>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Energy Recovery Ventilator-NR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Low Power LF Lamps-NR</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cell r="V12">
            <v>1.0006739780561755</v>
          </cell>
          <cell r="W12">
            <v>1.0006739783428409</v>
          </cell>
        </row>
        <row r="13">
          <cell r="C13" t="str">
            <v>LO20Fast</v>
          </cell>
          <cell r="D13">
            <v>0.22119921692859512</v>
          </cell>
          <cell r="E13">
            <v>0.37624232795148943</v>
          </cell>
          <cell r="F13">
            <v>0.48357361352878442</v>
          </cell>
          <cell r="G13">
            <v>0.56716330278444227</v>
          </cell>
          <cell r="H13">
            <v>0.64040048266456928</v>
          </cell>
          <cell r="I13">
            <v>0.70377511937632964</v>
          </cell>
          <cell r="J13">
            <v>0.7580669577441127</v>
          </cell>
          <cell r="K13">
            <v>0.80419335000071168</v>
          </cell>
          <cell r="L13">
            <v>0.84311022627788457</v>
          </cell>
          <cell r="M13">
            <v>0.87575014259103623</v>
          </cell>
          <cell r="N13">
            <v>0.90298584871682319</v>
          </cell>
          <cell r="O13">
            <v>0.92419703797508856</v>
          </cell>
          <cell r="P13">
            <v>0.94071632877930145</v>
          </cell>
          <cell r="Q13">
            <v>0.95358156539340677</v>
          </cell>
          <cell r="R13">
            <v>0.96360102174287088</v>
          </cell>
          <cell r="S13">
            <v>0.97140418219378311</v>
          </cell>
          <cell r="T13">
            <v>0.97748128966338554</v>
          </cell>
          <cell r="U13">
            <v>0.98221414571952104</v>
          </cell>
          <cell r="V13">
            <v>0.98590009772220355</v>
          </cell>
          <cell r="W13">
            <v>0.98877072002825628</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cell r="V14">
            <v>0.95000000000000029</v>
          </cell>
          <cell r="W14">
            <v>1.0000000000000002</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cell r="V15">
            <v>0.62073708896927293</v>
          </cell>
          <cell r="W15">
            <v>0.6422286539276808</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cell r="V16">
            <v>0.99067241740690848</v>
          </cell>
          <cell r="W16">
            <v>0.99498010738139331</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row>
        <row r="41">
          <cell r="A41" t="str">
            <v>HVAC</v>
          </cell>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A44" t="str">
            <v>HVAC</v>
          </cell>
          <cell r="B44" t="str">
            <v>Economizer-Retro</v>
          </cell>
          <cell r="C44" t="str">
            <v>Retro12Med</v>
          </cell>
          <cell r="D44">
            <v>0.10937459468255628</v>
          </cell>
          <cell r="E44">
            <v>0.10937459468255628</v>
          </cell>
          <cell r="F44">
            <v>0.10937459468255628</v>
          </cell>
          <cell r="G44">
            <v>0.10937459468255628</v>
          </cell>
          <cell r="H44">
            <v>0.10937459468255628</v>
          </cell>
          <cell r="I44">
            <v>9.8437135214300656E-2</v>
          </cell>
          <cell r="J44">
            <v>7.874970817144053E-2</v>
          </cell>
          <cell r="K44">
            <v>6.2999766537152418E-2</v>
          </cell>
          <cell r="L44">
            <v>5.0399813229721938E-2</v>
          </cell>
          <cell r="M44">
            <v>4.0319850583777551E-2</v>
          </cell>
          <cell r="N44">
            <v>3.225588046702204E-2</v>
          </cell>
          <cell r="O44">
            <v>2.5804704373617631E-2</v>
          </cell>
          <cell r="P44">
            <v>2.0643763498894106E-2</v>
          </cell>
          <cell r="Q44">
            <v>1.6515010799115284E-2</v>
          </cell>
          <cell r="R44">
            <v>1.3212008639292228E-2</v>
          </cell>
          <cell r="S44">
            <v>1.0569606911433781E-2</v>
          </cell>
          <cell r="T44">
            <v>7.2092823794611682E-5</v>
          </cell>
          <cell r="U44">
            <v>2.5747437069512102E-5</v>
          </cell>
          <cell r="V44">
            <v>8.7775353646568632E-6</v>
          </cell>
          <cell r="W44">
            <v>2.8622397928446119E-6</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A47" t="str">
            <v>HVAC</v>
          </cell>
          <cell r="B47" t="str">
            <v>Demand Control Ventilation-Retro</v>
          </cell>
          <cell r="C47" t="str">
            <v>Retro12Med</v>
          </cell>
          <cell r="D47">
            <v>0.10937459468255628</v>
          </cell>
          <cell r="E47">
            <v>0.10937459468255628</v>
          </cell>
          <cell r="F47">
            <v>0.10937459468255628</v>
          </cell>
          <cell r="G47">
            <v>0.10937459468255628</v>
          </cell>
          <cell r="H47">
            <v>0.10937459468255628</v>
          </cell>
          <cell r="I47">
            <v>9.8437135214300656E-2</v>
          </cell>
          <cell r="J47">
            <v>7.874970817144053E-2</v>
          </cell>
          <cell r="K47">
            <v>6.2999766537152418E-2</v>
          </cell>
          <cell r="L47">
            <v>5.0399813229721938E-2</v>
          </cell>
          <cell r="M47">
            <v>4.0319850583777551E-2</v>
          </cell>
          <cell r="N47">
            <v>3.225588046702204E-2</v>
          </cell>
          <cell r="O47">
            <v>2.5804704373617631E-2</v>
          </cell>
          <cell r="P47">
            <v>2.0643763498894106E-2</v>
          </cell>
          <cell r="Q47">
            <v>1.6515010799115284E-2</v>
          </cell>
          <cell r="R47">
            <v>1.3212008639292228E-2</v>
          </cell>
          <cell r="S47">
            <v>1.0569606911433781E-2</v>
          </cell>
          <cell r="T47">
            <v>7.2092823794611682E-5</v>
          </cell>
          <cell r="U47">
            <v>2.5747437069512102E-5</v>
          </cell>
          <cell r="V47">
            <v>8.7775353646568632E-6</v>
          </cell>
          <cell r="W47">
            <v>2.8622397928446119E-6</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A101" t="str">
            <v>Lighting</v>
          </cell>
          <cell r="B101" t="str">
            <v>Low Power LF Lamps-NR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row>
        <row r="16">
          <cell r="B16" t="str">
            <v>Smart Plug Power Strips-Retro</v>
          </cell>
        </row>
        <row r="17">
          <cell r="B17" t="str">
            <v>Data Centers-NR</v>
          </cell>
        </row>
        <row r="18">
          <cell r="B18" t="str">
            <v>Monitor-NR</v>
          </cell>
        </row>
        <row r="19">
          <cell r="B19" t="str">
            <v>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4.9500000000000004E-3</v>
          </cell>
          <cell r="D55">
            <v>6.93E-2</v>
          </cell>
          <cell r="E55">
            <v>6.93E-2</v>
          </cell>
          <cell r="F55">
            <v>2.4750000000000001E-2</v>
          </cell>
          <cell r="G55">
            <v>2.4750000000000001E-2</v>
          </cell>
          <cell r="H55">
            <v>2.4750000000000001E-2</v>
          </cell>
          <cell r="I55">
            <v>2.4750000000000001E-2</v>
          </cell>
          <cell r="J55">
            <v>6.93E-2</v>
          </cell>
          <cell r="K55">
            <v>6.93E-2</v>
          </cell>
          <cell r="L55">
            <v>9.8999999999999999E-4</v>
          </cell>
          <cell r="M55">
            <v>4.9500000000000004E-3</v>
          </cell>
          <cell r="N55">
            <v>4.9500000000000004E-3</v>
          </cell>
          <cell r="O55">
            <v>2.4750000000000001E-2</v>
          </cell>
          <cell r="P55">
            <v>6.93E-2</v>
          </cell>
          <cell r="Q55">
            <v>4.9500000000000004E-3</v>
          </cell>
          <cell r="R55">
            <v>6.93E-2</v>
          </cell>
          <cell r="S55">
            <v>2.4750000000000001E-2</v>
          </cell>
          <cell r="T55">
            <v>6.93E-2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0.95</v>
          </cell>
          <cell r="D93">
            <v>0.19999999999999996</v>
          </cell>
          <cell r="E93">
            <v>0.19999999999999996</v>
          </cell>
          <cell r="F93">
            <v>0.75</v>
          </cell>
          <cell r="G93">
            <v>0.75</v>
          </cell>
          <cell r="H93">
            <v>0.75</v>
          </cell>
          <cell r="I93">
            <v>0.75</v>
          </cell>
          <cell r="J93">
            <v>0.19999999999999996</v>
          </cell>
          <cell r="K93">
            <v>0.19999999999999996</v>
          </cell>
          <cell r="L93">
            <v>0.99</v>
          </cell>
          <cell r="M93">
            <v>0.95</v>
          </cell>
          <cell r="N93">
            <v>0.95</v>
          </cell>
          <cell r="O93">
            <v>0.75</v>
          </cell>
          <cell r="P93">
            <v>0.30000000000000004</v>
          </cell>
          <cell r="Q93">
            <v>0.95</v>
          </cell>
          <cell r="R93">
            <v>0.19999999999999996</v>
          </cell>
          <cell r="S93">
            <v>0.75</v>
          </cell>
          <cell r="T93">
            <v>0.19999999999999996</v>
          </cell>
        </row>
        <row r="94">
          <cell r="B94" t="str">
            <v>Low Power LF Lamps-NR</v>
          </cell>
        </row>
      </sheetData>
      <sheetData sheetId="9">
        <row r="11">
          <cell r="B11" t="str">
            <v>LO12Med</v>
          </cell>
          <cell r="C11">
            <v>0.10937459468255628</v>
          </cell>
          <cell r="D11">
            <v>0.21874918936511256</v>
          </cell>
          <cell r="E11">
            <v>0.32812378404766884</v>
          </cell>
          <cell r="F11">
            <v>0.43749837873022512</v>
          </cell>
          <cell r="G11">
            <v>0.5468729734127814</v>
          </cell>
          <cell r="H11">
            <v>0.64531010862708205</v>
          </cell>
          <cell r="I11">
            <v>0.7240598167985226</v>
          </cell>
          <cell r="J11">
            <v>0.78705958333567505</v>
          </cell>
          <cell r="K11">
            <v>0.83745939656539703</v>
          </cell>
          <cell r="L11">
            <v>0.87777924714917455</v>
          </cell>
          <cell r="M11">
            <v>0.91003512761619654</v>
          </cell>
          <cell r="N11">
            <v>0.93583983198981413</v>
          </cell>
          <cell r="O11">
            <v>0.9564835954887082</v>
          </cell>
          <cell r="P11">
            <v>0.97299860628782353</v>
          </cell>
          <cell r="Q11">
            <v>0.9862106149271157</v>
          </cell>
          <cell r="R11">
            <v>0.99678022183854953</v>
          </cell>
          <cell r="S11">
            <v>0.99685231466234414</v>
          </cell>
          <cell r="T11">
            <v>0.99687806209941365</v>
          </cell>
          <cell r="U11">
            <v>0.99688683963477831</v>
          </cell>
        </row>
        <row r="12">
          <cell r="B12" t="str">
            <v>LO5Med</v>
          </cell>
          <cell r="C12">
            <v>4.2999999999999997E-2</v>
          </cell>
          <cell r="D12">
            <v>9.5797142280278316E-2</v>
          </cell>
          <cell r="E12">
            <v>0.16040539374775648</v>
          </cell>
          <cell r="F12">
            <v>0.23540539374775649</v>
          </cell>
          <cell r="G12">
            <v>0.32095239121809005</v>
          </cell>
          <cell r="H12">
            <v>0.42096711425629652</v>
          </cell>
          <cell r="I12">
            <v>0.53068481860864725</v>
          </cell>
          <cell r="J12">
            <v>0.642769203728351</v>
          </cell>
          <cell r="K12">
            <v>0.74839528535557953</v>
          </cell>
          <cell r="L12">
            <v>0.83918984935345187</v>
          </cell>
          <cell r="M12">
            <v>0.90945051634530116</v>
          </cell>
          <cell r="N12">
            <v>0.9576688767502457</v>
          </cell>
          <cell r="O12">
            <v>0.9865231113648858</v>
          </cell>
          <cell r="P12">
            <v>1.0012970762896924</v>
          </cell>
          <cell r="Q12">
            <v>1.0076356106578106</v>
          </cell>
          <cell r="R12">
            <v>1.0098624683774413</v>
          </cell>
          <cell r="S12">
            <v>1.0104871783970797</v>
          </cell>
          <cell r="T12">
            <v>1.010623336815976</v>
          </cell>
          <cell r="U12">
            <v>1.0106457174525985</v>
          </cell>
          <cell r="V12">
            <v>1.0106484038909742</v>
          </cell>
        </row>
        <row r="13">
          <cell r="B13" t="str">
            <v>LO1Slow</v>
          </cell>
          <cell r="C13">
            <v>2.5643970768378654E-3</v>
          </cell>
          <cell r="D13">
            <v>7.6904586297764643E-3</v>
          </cell>
          <cell r="E13">
            <v>1.6792013047419844E-2</v>
          </cell>
          <cell r="F13">
            <v>3.15969387774655E-2</v>
          </cell>
          <cell r="G13">
            <v>5.406874819795171E-2</v>
          </cell>
          <cell r="H13">
            <v>8.6253181011834101E-2</v>
          </cell>
          <cell r="I13">
            <v>0.1300328481838382</v>
          </cell>
          <cell r="J13">
            <v>0.18678710893858319</v>
          </cell>
          <cell r="K13">
            <v>0.2569823480072907</v>
          </cell>
          <cell r="L13">
            <v>0.33975920985004748</v>
          </cell>
          <cell r="M13">
            <v>0.43262946935754232</v>
          </cell>
          <cell r="N13">
            <v>0.53142594003645804</v>
          </cell>
          <cell r="O13">
            <v>0.63063487292644704</v>
          </cell>
          <cell r="P13">
            <v>0.7241560234206913</v>
          </cell>
          <cell r="Q13">
            <v>0.80638203131755359</v>
          </cell>
          <cell r="R13">
            <v>0.87331559734491926</v>
          </cell>
          <cell r="S13">
            <v>0.92334516248836807</v>
          </cell>
          <cell r="T13">
            <v>0.95737002770730018</v>
          </cell>
          <cell r="U13">
            <v>0.97821608704807483</v>
          </cell>
          <cell r="V13">
            <v>0.98821608704807484</v>
          </cell>
        </row>
        <row r="14">
          <cell r="B14" t="str">
            <v>LO50Fast</v>
          </cell>
          <cell r="C14">
            <v>0.45</v>
          </cell>
          <cell r="D14">
            <v>0.66</v>
          </cell>
          <cell r="E14">
            <v>0.8</v>
          </cell>
          <cell r="F14">
            <v>0.89</v>
          </cell>
          <cell r="G14">
            <v>0.94954036260972652</v>
          </cell>
          <cell r="H14">
            <v>0.97931054391458994</v>
          </cell>
          <cell r="I14">
            <v>0.99254173560564019</v>
          </cell>
          <cell r="J14">
            <v>0.99783421228206048</v>
          </cell>
          <cell r="K14">
            <v>0.99975874925530417</v>
          </cell>
          <cell r="L14">
            <v>1.0004002615797187</v>
          </cell>
          <cell r="M14">
            <v>1.0005976499872309</v>
          </cell>
          <cell r="N14">
            <v>1.0006540466750915</v>
          </cell>
          <cell r="O14">
            <v>1.0006690857918545</v>
          </cell>
          <cell r="P14">
            <v>1.000672845571045</v>
          </cell>
          <cell r="Q14">
            <v>1.0006737302249724</v>
          </cell>
          <cell r="R14">
            <v>1.0006739268147338</v>
          </cell>
          <cell r="S14">
            <v>1.0006739682020522</v>
          </cell>
          <cell r="T14">
            <v>1.0006739764795158</v>
          </cell>
          <cell r="U14">
            <v>1.0006739780561755</v>
          </cell>
          <cell r="V14">
            <v>1.0006739783428409</v>
          </cell>
        </row>
        <row r="15">
          <cell r="B15" t="str">
            <v>LO20Fast</v>
          </cell>
          <cell r="C15">
            <v>0.22119921692859512</v>
          </cell>
          <cell r="D15">
            <v>0.37624232795148943</v>
          </cell>
          <cell r="E15">
            <v>0.48357361352878442</v>
          </cell>
          <cell r="F15">
            <v>0.56716330278444227</v>
          </cell>
          <cell r="G15">
            <v>0.64040048266456928</v>
          </cell>
          <cell r="H15">
            <v>0.70377511937632964</v>
          </cell>
          <cell r="I15">
            <v>0.7580669577441127</v>
          </cell>
          <cell r="J15">
            <v>0.80419335000071168</v>
          </cell>
          <cell r="K15">
            <v>0.84311022627788457</v>
          </cell>
          <cell r="L15">
            <v>0.87575014259103623</v>
          </cell>
          <cell r="M15">
            <v>0.90298584871682319</v>
          </cell>
          <cell r="N15">
            <v>0.92419703797508856</v>
          </cell>
          <cell r="O15">
            <v>0.94071632877930145</v>
          </cell>
          <cell r="P15">
            <v>0.95358156539340677</v>
          </cell>
          <cell r="Q15">
            <v>0.96360102174287088</v>
          </cell>
          <cell r="R15">
            <v>0.97140418219378311</v>
          </cell>
          <cell r="S15">
            <v>0.97748128966338554</v>
          </cell>
          <cell r="T15">
            <v>0.98221414571952104</v>
          </cell>
          <cell r="U15">
            <v>0.98590009772220355</v>
          </cell>
          <cell r="V15">
            <v>0.98877072002825628</v>
          </cell>
        </row>
        <row r="16">
          <cell r="B16" t="str">
            <v>LOEven20</v>
          </cell>
          <cell r="C16">
            <v>0.05</v>
          </cell>
          <cell r="D16">
            <v>0.1</v>
          </cell>
          <cell r="E16">
            <v>0.15000000000000002</v>
          </cell>
          <cell r="F16">
            <v>0.2</v>
          </cell>
          <cell r="G16">
            <v>0.25</v>
          </cell>
          <cell r="H16">
            <v>0.3</v>
          </cell>
          <cell r="I16">
            <v>0.35</v>
          </cell>
          <cell r="J16">
            <v>0.39999999999999997</v>
          </cell>
          <cell r="K16">
            <v>0.44999999999999996</v>
          </cell>
          <cell r="L16">
            <v>0.49999999999999994</v>
          </cell>
          <cell r="M16">
            <v>0.54999999999999993</v>
          </cell>
          <cell r="N16">
            <v>0.6</v>
          </cell>
          <cell r="O16">
            <v>0.65</v>
          </cell>
          <cell r="P16">
            <v>0.70000000000000007</v>
          </cell>
          <cell r="Q16">
            <v>0.75000000000000011</v>
          </cell>
          <cell r="R16">
            <v>0.80000000000000016</v>
          </cell>
          <cell r="S16">
            <v>0.8500000000000002</v>
          </cell>
          <cell r="T16">
            <v>0.90000000000000024</v>
          </cell>
          <cell r="U16">
            <v>0.95000000000000029</v>
          </cell>
          <cell r="V16">
            <v>1.0000000000000002</v>
          </cell>
        </row>
        <row r="17">
          <cell r="B17" t="str">
            <v>LOMax60</v>
          </cell>
          <cell r="C17">
            <v>0.01</v>
          </cell>
          <cell r="D17">
            <v>2.98E-2</v>
          </cell>
          <cell r="E17">
            <v>5.8906E-2</v>
          </cell>
          <cell r="F17">
            <v>9.6549759999999998E-2</v>
          </cell>
          <cell r="G17">
            <v>0.14172227199999998</v>
          </cell>
          <cell r="H17">
            <v>0.19035800991999999</v>
          </cell>
          <cell r="I17">
            <v>0.2362377226912</v>
          </cell>
          <cell r="J17">
            <v>0.279517585072032</v>
          </cell>
          <cell r="K17">
            <v>0.32034492191795017</v>
          </cell>
          <cell r="L17">
            <v>0.35885870967593297</v>
          </cell>
          <cell r="M17">
            <v>0.39519004946096342</v>
          </cell>
          <cell r="N17">
            <v>0.42946261332484215</v>
          </cell>
          <cell r="O17">
            <v>0.46179306523643443</v>
          </cell>
          <cell r="P17">
            <v>0.49229145820636983</v>
          </cell>
          <cell r="Q17">
            <v>0.5210616089080089</v>
          </cell>
          <cell r="R17">
            <v>0.54820145106988838</v>
          </cell>
          <cell r="S17">
            <v>0.57380336884259475</v>
          </cell>
          <cell r="T17">
            <v>0.59795451127484767</v>
          </cell>
          <cell r="U17">
            <v>0.62073708896927293</v>
          </cell>
          <cell r="V17">
            <v>0.6422286539276808</v>
          </cell>
        </row>
        <row r="18">
          <cell r="B18" t="str">
            <v>LO3Slow</v>
          </cell>
          <cell r="C18">
            <v>5.5320496977002724E-3</v>
          </cell>
          <cell r="D18">
            <v>1.4227918344261844E-2</v>
          </cell>
          <cell r="E18">
            <v>3.1619655637384989E-2</v>
          </cell>
          <cell r="F18">
            <v>6.2055195900350503E-2</v>
          </cell>
          <cell r="G18">
            <v>0.10939936964274129</v>
          </cell>
          <cell r="H18">
            <v>0.17568121288208835</v>
          </cell>
          <cell r="I18">
            <v>0.26003992245943919</v>
          </cell>
          <cell r="J18">
            <v>0.3584584169663485</v>
          </cell>
          <cell r="K18">
            <v>0.46444756489686617</v>
          </cell>
          <cell r="L18">
            <v>0.57043671282738384</v>
          </cell>
          <cell r="M18">
            <v>0.66935991756253377</v>
          </cell>
          <cell r="N18">
            <v>0.75591772170578986</v>
          </cell>
          <cell r="O18">
            <v>0.82720061923553012</v>
          </cell>
          <cell r="P18">
            <v>0.88264287286977261</v>
          </cell>
          <cell r="Q18">
            <v>0.92349505975816193</v>
          </cell>
          <cell r="R18">
            <v>0.95209159058003434</v>
          </cell>
          <cell r="S18">
            <v>0.97115594446128262</v>
          </cell>
          <cell r="T18">
            <v>0.98328780602207699</v>
          </cell>
          <cell r="U18">
            <v>0.99067241740690848</v>
          </cell>
          <cell r="V18">
            <v>0.99498010738139331</v>
          </cell>
        </row>
      </sheetData>
      <sheetData sheetId="10">
        <row r="11">
          <cell r="B11" t="str">
            <v>Compressed Air-NR</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cell r="V12">
            <v>0.24</v>
          </cell>
          <cell r="W12">
            <v>0.24</v>
          </cell>
          <cell r="X12">
            <v>0.21</v>
          </cell>
        </row>
        <row r="13">
          <cell r="B13" t="str">
            <v>Laptop-NR</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cell r="V13">
            <v>0.5</v>
          </cell>
          <cell r="W13">
            <v>0.5</v>
          </cell>
          <cell r="X13">
            <v>0.2</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cell r="V14">
            <v>0.12</v>
          </cell>
          <cell r="W14">
            <v>0.12</v>
          </cell>
          <cell r="X14">
            <v>0.16800000000000001</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cell r="V16">
            <v>0.59</v>
          </cell>
          <cell r="W16">
            <v>0.6</v>
          </cell>
          <cell r="X16">
            <v>0.67</v>
          </cell>
        </row>
        <row r="17">
          <cell r="B17" t="str">
            <v>Data Centers-NR</v>
          </cell>
          <cell r="C17" t="str">
            <v>Only fraction beyond switching in code baseline OR</v>
          </cell>
          <cell r="F17" t="str">
            <v>Fraction with ElecHt</v>
          </cell>
          <cell r="G17">
            <v>9.379008321141083E-2</v>
          </cell>
          <cell r="H17">
            <v>5.7141018201974592E-2</v>
          </cell>
          <cell r="I17">
            <v>6.3540893141458221E-2</v>
          </cell>
          <cell r="J17">
            <v>0.52114684573848291</v>
          </cell>
          <cell r="K17">
            <v>0.64094486042254439</v>
          </cell>
          <cell r="L17">
            <v>0.56159710090996928</v>
          </cell>
          <cell r="M17">
            <v>0.19952525247533903</v>
          </cell>
          <cell r="N17">
            <v>0.22286467137317267</v>
          </cell>
          <cell r="O17">
            <v>0.15885643507420852</v>
          </cell>
          <cell r="P17">
            <v>0.52114684573848291</v>
          </cell>
          <cell r="Q17">
            <v>1.5377816133020691E-2</v>
          </cell>
          <cell r="R17">
            <v>0</v>
          </cell>
          <cell r="S17">
            <v>5.5212362541074519E-2</v>
          </cell>
          <cell r="T17">
            <v>0.34342063041492848</v>
          </cell>
          <cell r="U17">
            <v>0.10311447532768504</v>
          </cell>
          <cell r="V17">
            <v>5.6083613809662864E-3</v>
          </cell>
          <cell r="W17">
            <v>5.6083613809662864E-3</v>
          </cell>
          <cell r="X17">
            <v>0.24031041917780901</v>
          </cell>
        </row>
        <row r="18">
          <cell r="B18" t="str">
            <v>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cell r="V18">
            <v>0.5</v>
          </cell>
          <cell r="W18">
            <v>0.5</v>
          </cell>
          <cell r="X18">
            <v>0.9</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Economizer-Retro</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cell r="U74" t="str">
            <v>See com-EM workbook</v>
          </cell>
          <cell r="Y74" t="str">
            <v>Grand Total</v>
          </cell>
        </row>
        <row r="75">
          <cell r="B75" t="str">
            <v>BuiltUp%ACT</v>
          </cell>
          <cell r="C75">
            <v>0.32107129566956238</v>
          </cell>
          <cell r="F75">
            <v>5.0679867043271966E-2</v>
          </cell>
          <cell r="J75">
            <v>0.45710103517657202</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0.62956237771067991</v>
          </cell>
          <cell r="D89">
            <v>0.31768861920643965</v>
          </cell>
          <cell r="E89">
            <v>7.4025179596472243E-2</v>
          </cell>
          <cell r="F89">
            <v>0.58848968508223554</v>
          </cell>
          <cell r="G89">
            <v>0.26543424358205331</v>
          </cell>
          <cell r="H89">
            <v>0.20684893583537547</v>
          </cell>
          <cell r="I89">
            <v>1.359721457325402E-2</v>
          </cell>
          <cell r="J89">
            <v>0.46813873620144136</v>
          </cell>
          <cell r="K89">
            <v>0.46813873620144136</v>
          </cell>
          <cell r="L89">
            <v>0.14833205060637186</v>
          </cell>
          <cell r="M89">
            <v>0.52268307357406485</v>
          </cell>
          <cell r="N89">
            <v>0.20352640884178452</v>
          </cell>
          <cell r="O89">
            <v>0.32869617366969917</v>
          </cell>
          <cell r="P89">
            <v>0.10423431348186975</v>
          </cell>
          <cell r="Q89">
            <v>0.56873556010588189</v>
          </cell>
          <cell r="R89">
            <v>7.8731272985480064E-2</v>
          </cell>
          <cell r="S89">
            <v>0.39859901805810533</v>
          </cell>
          <cell r="T89">
            <v>0.41988093429192064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1">
          <cell r="B11" t="str">
            <v>Large Ret</v>
          </cell>
          <cell r="M11">
            <v>31.55076</v>
          </cell>
          <cell r="N11">
            <v>9.4201798094731004E-3</v>
          </cell>
        </row>
        <row r="12">
          <cell r="B12" t="str">
            <v>Medium Ret</v>
          </cell>
          <cell r="M12">
            <v>346.19952999999998</v>
          </cell>
          <cell r="N12">
            <v>0.10336555514209726</v>
          </cell>
          <cell r="V12" t="str">
            <v>Medium Ret</v>
          </cell>
          <cell r="W12">
            <v>346199530</v>
          </cell>
          <cell r="X12">
            <v>0.10336555514209725</v>
          </cell>
        </row>
        <row r="13">
          <cell r="B13" t="str">
            <v>Small Ret</v>
          </cell>
          <cell r="M13">
            <v>59.225870599999993</v>
          </cell>
          <cell r="N13">
            <v>1.7683198453051097E-2</v>
          </cell>
          <cell r="V13" t="str">
            <v>Small Ret</v>
          </cell>
          <cell r="W13">
            <v>59225870.599999994</v>
          </cell>
          <cell r="X13">
            <v>1.768319845305109E-2</v>
          </cell>
        </row>
        <row r="14">
          <cell r="B14" t="str">
            <v>School K-12</v>
          </cell>
          <cell r="M14">
            <v>245.35316429999997</v>
          </cell>
          <cell r="N14">
            <v>7.3255633922263544E-2</v>
          </cell>
          <cell r="V14" t="str">
            <v>School K-12</v>
          </cell>
          <cell r="W14">
            <v>245353164.29999998</v>
          </cell>
          <cell r="X14">
            <v>7.325563392226353E-2</v>
          </cell>
        </row>
        <row r="15">
          <cell r="B15" t="str">
            <v>University</v>
          </cell>
          <cell r="M15">
            <v>123.989124</v>
          </cell>
          <cell r="N15">
            <v>3.701970546823774E-2</v>
          </cell>
          <cell r="V15" t="str">
            <v>University</v>
          </cell>
          <cell r="W15">
            <v>123989124</v>
          </cell>
          <cell r="X15">
            <v>3.7019705468237733E-2</v>
          </cell>
        </row>
        <row r="16">
          <cell r="B16" t="str">
            <v>Warehouse</v>
          </cell>
          <cell r="M16">
            <v>442.22405430000003</v>
          </cell>
          <cell r="N16">
            <v>0.13203580856943528</v>
          </cell>
          <cell r="V16" t="str">
            <v>Warehouse</v>
          </cell>
          <cell r="W16">
            <v>442224054.30000001</v>
          </cell>
          <cell r="X16">
            <v>0.13203580856943525</v>
          </cell>
        </row>
        <row r="17">
          <cell r="B17" t="str">
            <v>Supermarket</v>
          </cell>
          <cell r="M17">
            <v>65.429751400000001</v>
          </cell>
          <cell r="N17">
            <v>1.9535504789016944E-2</v>
          </cell>
          <cell r="V17" t="str">
            <v>Supermarket</v>
          </cell>
          <cell r="W17">
            <v>65429751.399999999</v>
          </cell>
          <cell r="X17">
            <v>1.9535504789016941E-2</v>
          </cell>
        </row>
        <row r="18">
          <cell r="B18" t="str">
            <v>MiniMart</v>
          </cell>
          <cell r="M18">
            <v>11.691088099999998</v>
          </cell>
          <cell r="N18">
            <v>3.4906338887047794E-3</v>
          </cell>
          <cell r="V18" t="str">
            <v>MiniMart</v>
          </cell>
          <cell r="W18">
            <v>11691088.099999998</v>
          </cell>
          <cell r="X18">
            <v>3.4906338887047785E-3</v>
          </cell>
        </row>
        <row r="19">
          <cell r="B19" t="str">
            <v>Restaurant</v>
          </cell>
          <cell r="M19">
            <v>53.036741800000001</v>
          </cell>
          <cell r="N19">
            <v>1.5835296654172451E-2</v>
          </cell>
          <cell r="V19" t="str">
            <v>Restaurant</v>
          </cell>
          <cell r="W19">
            <v>53036741.800000004</v>
          </cell>
          <cell r="X19">
            <v>1.5835296654172448E-2</v>
          </cell>
        </row>
        <row r="20">
          <cell r="B20" t="str">
            <v>Lodging</v>
          </cell>
          <cell r="M20">
            <v>171.0409248</v>
          </cell>
          <cell r="N20">
            <v>5.1068065124091046E-2</v>
          </cell>
          <cell r="V20" t="str">
            <v>Lodging</v>
          </cell>
          <cell r="W20">
            <v>171040924.80000001</v>
          </cell>
          <cell r="X20">
            <v>5.1068065124091039E-2</v>
          </cell>
        </row>
        <row r="21">
          <cell r="B21" t="str">
            <v>Hospital</v>
          </cell>
          <cell r="M21">
            <v>103.75403529999998</v>
          </cell>
          <cell r="N21">
            <v>3.0978070527759683E-2</v>
          </cell>
          <cell r="V21" t="str">
            <v>Hospital</v>
          </cell>
          <cell r="W21">
            <v>103754035.29999998</v>
          </cell>
          <cell r="X21">
            <v>3.0978070527759676E-2</v>
          </cell>
        </row>
        <row r="22">
          <cell r="B22" t="str">
            <v>Residential Care</v>
          </cell>
          <cell r="M22">
            <v>125.16063630000001</v>
          </cell>
          <cell r="N22">
            <v>3.7369486472404026E-2</v>
          </cell>
          <cell r="V22" t="str">
            <v>Residential Care</v>
          </cell>
          <cell r="W22">
            <v>125160636.30000001</v>
          </cell>
          <cell r="X22">
            <v>3.7369486472404019E-2</v>
          </cell>
        </row>
        <row r="23">
          <cell r="B23" t="str">
            <v>Assembly</v>
          </cell>
          <cell r="M23">
            <v>368.87205360000002</v>
          </cell>
          <cell r="N23">
            <v>0.11013494038183547</v>
          </cell>
          <cell r="V23" t="str">
            <v>Assembly</v>
          </cell>
          <cell r="W23">
            <v>368872053.60000002</v>
          </cell>
          <cell r="X23">
            <v>0.11013494038183544</v>
          </cell>
        </row>
        <row r="24">
          <cell r="B24" t="str">
            <v>Other</v>
          </cell>
          <cell r="M24">
            <v>333.43446839999996</v>
          </cell>
          <cell r="N24">
            <v>9.9554262623279946E-2</v>
          </cell>
          <cell r="V24" t="str">
            <v>Other</v>
          </cell>
          <cell r="W24">
            <v>333434468.39999998</v>
          </cell>
          <cell r="X24">
            <v>9.9554262623279918E-2</v>
          </cell>
        </row>
        <row r="25">
          <cell r="W25">
            <v>3349273648.5000005</v>
          </cell>
          <cell r="X25">
            <v>0.99999999999999989</v>
          </cell>
        </row>
        <row r="26">
          <cell r="M26">
            <v>3349.2736484999996</v>
          </cell>
          <cell r="N26">
            <v>1</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O13" t="e">
            <v>#REF!</v>
          </cell>
          <cell r="P13" t="e">
            <v>#REF!</v>
          </cell>
          <cell r="Q13" t="e">
            <v>#REF!</v>
          </cell>
          <cell r="R13" t="e">
            <v>#REF!</v>
          </cell>
          <cell r="S13" t="e">
            <v>#REF!</v>
          </cell>
          <cell r="T13" t="e">
            <v>#REF!</v>
          </cell>
          <cell r="U13" t="e">
            <v>#REF!</v>
          </cell>
        </row>
        <row r="14">
          <cell r="B14" t="e">
            <v>#REF!</v>
          </cell>
          <cell r="C14" t="e">
            <v>#REF!</v>
          </cell>
          <cell r="F14" t="e">
            <v>#REF!</v>
          </cell>
          <cell r="J14" t="e">
            <v>#REF!</v>
          </cell>
          <cell r="L14" t="e">
            <v>#REF!</v>
          </cell>
          <cell r="M14" t="e">
            <v>#REF!</v>
          </cell>
          <cell r="O14" t="e">
            <v>#REF!</v>
          </cell>
          <cell r="P14" t="e">
            <v>#REF!</v>
          </cell>
          <cell r="Q14" t="e">
            <v>#REF!</v>
          </cell>
          <cell r="S14" t="e">
            <v>#REF!</v>
          </cell>
          <cell r="T14" t="e">
            <v>#REF!</v>
          </cell>
          <cell r="U14"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Q15" t="e">
            <v>#REF!</v>
          </cell>
          <cell r="R15" t="e">
            <v>#REF!</v>
          </cell>
          <cell r="S15" t="e">
            <v>#REF!</v>
          </cell>
          <cell r="T15" t="e">
            <v>#REF!</v>
          </cell>
          <cell r="U15" t="e">
            <v>#REF!</v>
          </cell>
        </row>
        <row r="16">
          <cell r="B16" t="e">
            <v>#REF!</v>
          </cell>
          <cell r="C16" t="e">
            <v>#REF!</v>
          </cell>
          <cell r="F16" t="e">
            <v>#REF!</v>
          </cell>
          <cell r="J16" t="e">
            <v>#REF!</v>
          </cell>
          <cell r="L16" t="e">
            <v>#REF!</v>
          </cell>
          <cell r="M16" t="e">
            <v>#REF!</v>
          </cell>
          <cell r="O16" t="e">
            <v>#REF!</v>
          </cell>
          <cell r="P16" t="e">
            <v>#REF!</v>
          </cell>
          <cell r="Q16" t="e">
            <v>#REF!</v>
          </cell>
          <cell r="S16" t="e">
            <v>#REF!</v>
          </cell>
          <cell r="T16" t="e">
            <v>#REF!</v>
          </cell>
          <cell r="U16" t="e">
            <v>#REF!</v>
          </cell>
        </row>
        <row r="18">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str">
            <v>HVAC System Improvements</v>
          </cell>
          <cell r="C13" t="str">
            <v>Premium HVAC Equipment</v>
          </cell>
          <cell r="D13" t="str">
            <v>Premium HVAC Equipment</v>
          </cell>
          <cell r="E13" t="str">
            <v>CBSA 2014</v>
          </cell>
          <cell r="F13" t="str">
            <v>All</v>
          </cell>
          <cell r="H13" t="str">
            <v>New</v>
          </cell>
          <cell r="I13">
            <v>0</v>
          </cell>
        </row>
        <row r="14">
          <cell r="B14" t="str">
            <v>HVAC System Improvements</v>
          </cell>
          <cell r="C14" t="str">
            <v>Premium HVAC Equipment</v>
          </cell>
          <cell r="D14" t="str">
            <v>Premium HVAC Equipment</v>
          </cell>
          <cell r="E14" t="str">
            <v>CBSA 2014</v>
          </cell>
          <cell r="F14" t="str">
            <v>All</v>
          </cell>
          <cell r="H14" t="str">
            <v>New</v>
          </cell>
          <cell r="I14">
            <v>0</v>
          </cell>
        </row>
        <row r="15">
          <cell r="B15" t="str">
            <v>Envelope</v>
          </cell>
          <cell r="C15" t="str">
            <v>Glass</v>
          </cell>
          <cell r="D15" t="str">
            <v>Windows</v>
          </cell>
          <cell r="E15" t="str">
            <v>CBSA 2014</v>
          </cell>
          <cell r="F15" t="str">
            <v>All</v>
          </cell>
          <cell r="H15" t="str">
            <v>New</v>
          </cell>
          <cell r="I15">
            <v>0</v>
          </cell>
        </row>
        <row r="16">
          <cell r="B16" t="str">
            <v>Envelope</v>
          </cell>
          <cell r="C16" t="str">
            <v>Glass</v>
          </cell>
          <cell r="D16" t="str">
            <v>Windows</v>
          </cell>
          <cell r="E16" t="str">
            <v>CBSA 2014</v>
          </cell>
          <cell r="F16" t="str">
            <v>All</v>
          </cell>
          <cell r="H16" t="str">
            <v>New</v>
          </cell>
          <cell r="I16">
            <v>0</v>
          </cell>
        </row>
        <row r="17">
          <cell r="B17" t="str">
            <v>Envelope</v>
          </cell>
          <cell r="C17" t="str">
            <v>Glass</v>
          </cell>
          <cell r="D17" t="str">
            <v>Windows</v>
          </cell>
          <cell r="E17" t="str">
            <v>CBSA 2014</v>
          </cell>
          <cell r="F17" t="str">
            <v>All</v>
          </cell>
          <cell r="H17" t="str">
            <v>New</v>
          </cell>
          <cell r="I17">
            <v>0</v>
          </cell>
        </row>
        <row r="18">
          <cell r="B18" t="str">
            <v>HVAC System Improvements</v>
          </cell>
          <cell r="C18" t="str">
            <v>Advanced Rooftop Controller</v>
          </cell>
          <cell r="D18" t="str">
            <v>Advanced Rooftop Controller</v>
          </cell>
          <cell r="E18" t="str">
            <v>CBSA 2014</v>
          </cell>
          <cell r="F18" t="str">
            <v>Most</v>
          </cell>
          <cell r="H18" t="str">
            <v>New</v>
          </cell>
          <cell r="I18">
            <v>0</v>
          </cell>
        </row>
        <row r="19">
          <cell r="B19" t="str">
            <v>HVAC System Improvements</v>
          </cell>
          <cell r="C19" t="str">
            <v>Advanced Rooftop Controller</v>
          </cell>
          <cell r="D19" t="str">
            <v>Advanced Rooftop Controller</v>
          </cell>
          <cell r="E19" t="str">
            <v>CBSA 2014</v>
          </cell>
          <cell r="F19" t="str">
            <v>Most</v>
          </cell>
          <cell r="H19" t="str">
            <v>New</v>
          </cell>
          <cell r="I19">
            <v>0</v>
          </cell>
        </row>
        <row r="20">
          <cell r="B20" t="str">
            <v>HVAC System Improvements</v>
          </cell>
          <cell r="C20" t="str">
            <v>Advanced Rooftop Controller</v>
          </cell>
          <cell r="D20" t="str">
            <v>Advanced Rooftop Controller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e">
            <v>#N/A</v>
          </cell>
          <cell r="C28" t="str">
            <v>Low Pressure Distribution Complex HVAC</v>
          </cell>
          <cell r="D28" t="e">
            <v>#N/A</v>
          </cell>
          <cell r="E28" t="e">
            <v>#N/A</v>
          </cell>
          <cell r="F28" t="e">
            <v>#N/A</v>
          </cell>
          <cell r="H28" t="e">
            <v>#N/A</v>
          </cell>
          <cell r="I28" t="e">
            <v>#N/A</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str">
            <v>Computer Technologies</v>
          </cell>
          <cell r="C36" t="str">
            <v>Energy Recovery Ventilator</v>
          </cell>
          <cell r="D36" t="str">
            <v>Heat Recovery Ventilation</v>
          </cell>
          <cell r="E36" t="str">
            <v>CBSA 20154</v>
          </cell>
          <cell r="F36" t="str">
            <v>All</v>
          </cell>
          <cell r="H36" t="str">
            <v>NR</v>
          </cell>
          <cell r="I36">
            <v>0</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Lighting Controls</v>
          </cell>
          <cell r="C52" t="str">
            <v>Top Daylighting</v>
          </cell>
          <cell r="D52" t="str">
            <v>Daylighting with Skylights</v>
          </cell>
          <cell r="E52" t="str">
            <v>CBSA 2014</v>
          </cell>
          <cell r="F52" t="str">
            <v>All</v>
          </cell>
          <cell r="H52" t="str">
            <v>New</v>
          </cell>
          <cell r="I52">
            <v>0</v>
          </cell>
        </row>
        <row r="53">
          <cell r="B53" t="str">
            <v>Lighting Controls</v>
          </cell>
          <cell r="C53" t="str">
            <v>Perimeter Daylighting Controls Advanced</v>
          </cell>
          <cell r="D53" t="str">
            <v>Daylighting with Windows</v>
          </cell>
          <cell r="E53" t="str">
            <v>CBSA 2014</v>
          </cell>
          <cell r="F53" t="str">
            <v>All</v>
          </cell>
          <cell r="H53" t="str">
            <v>New</v>
          </cell>
          <cell r="I53">
            <v>0</v>
          </cell>
        </row>
        <row r="54">
          <cell r="B54" t="str">
            <v>Lighting Controls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e">
            <v>#N/A</v>
          </cell>
          <cell r="C63" t="str">
            <v>Bi-Level Stiarwell Lighting</v>
          </cell>
          <cell r="D63" t="e">
            <v>#N/A</v>
          </cell>
          <cell r="E63" t="e">
            <v>#N/A</v>
          </cell>
          <cell r="F63" t="e">
            <v>#N/A</v>
          </cell>
          <cell r="H63" t="e">
            <v>#N/A</v>
          </cell>
          <cell r="I63" t="e">
            <v>#N/A</v>
          </cell>
        </row>
        <row r="64">
          <cell r="B64" t="str">
            <v>Motors</v>
          </cell>
          <cell r="C64" t="str">
            <v>ECM-VAV</v>
          </cell>
          <cell r="D64" t="str">
            <v>ECM Motors on Variable Air Volume Boxes</v>
          </cell>
          <cell r="E64" t="str">
            <v>CBSA 2014</v>
          </cell>
          <cell r="F64" t="str">
            <v>All</v>
          </cell>
          <cell r="H64" t="str">
            <v>New</v>
          </cell>
          <cell r="I64">
            <v>0</v>
          </cell>
        </row>
        <row r="65">
          <cell r="B65" t="str">
            <v>Motors</v>
          </cell>
          <cell r="C65" t="str">
            <v>ECM-VAV</v>
          </cell>
          <cell r="D65" t="str">
            <v>ECM Motors on Variable Air Volume Boxes</v>
          </cell>
          <cell r="E65" t="str">
            <v>CBSA 2014</v>
          </cell>
          <cell r="F65" t="str">
            <v>All</v>
          </cell>
          <cell r="H65" t="str">
            <v>New</v>
          </cell>
          <cell r="I65">
            <v>0</v>
          </cell>
        </row>
        <row r="66">
          <cell r="B66" t="str">
            <v>Pool System Improvements</v>
          </cell>
          <cell r="C66" t="str">
            <v>Pool pumps</v>
          </cell>
          <cell r="D66" t="str">
            <v>Pool pumps</v>
          </cell>
          <cell r="E66" t="str">
            <v>CBSA 2014</v>
          </cell>
          <cell r="F66" t="str">
            <v>Some</v>
          </cell>
          <cell r="H66" t="str">
            <v>Retro</v>
          </cell>
          <cell r="I66" t="str">
            <v>x</v>
          </cell>
        </row>
        <row r="67">
          <cell r="B67" t="str">
            <v>Motors</v>
          </cell>
          <cell r="C67" t="str">
            <v>MotorsRewind</v>
          </cell>
          <cell r="D67" t="str">
            <v>Motors - Rewind</v>
          </cell>
          <cell r="E67" t="str">
            <v>CBSA 2014</v>
          </cell>
          <cell r="F67" t="str">
            <v>All</v>
          </cell>
          <cell r="H67" t="str">
            <v>New</v>
          </cell>
          <cell r="I67" t="str">
            <v>x</v>
          </cell>
        </row>
        <row r="68">
          <cell r="B68" t="str">
            <v>Motors</v>
          </cell>
          <cell r="C68" t="str">
            <v>MotorsRewind</v>
          </cell>
          <cell r="D68" t="str">
            <v>Motors - Rewind</v>
          </cell>
          <cell r="E68" t="str">
            <v>CBSA 2014</v>
          </cell>
          <cell r="F68" t="str">
            <v>All</v>
          </cell>
          <cell r="H68" t="str">
            <v>New</v>
          </cell>
          <cell r="I68" t="str">
            <v>x</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NR</v>
          </cell>
          <cell r="I76" t="str">
            <v>x</v>
          </cell>
        </row>
        <row r="77">
          <cell r="B77" t="str">
            <v>Water Using Devices</v>
          </cell>
          <cell r="C77" t="str">
            <v>WHTanks</v>
          </cell>
          <cell r="D77" t="str">
            <v>DHW - Efficient Tanks</v>
          </cell>
          <cell r="E77" t="str">
            <v>CBSA 2014</v>
          </cell>
          <cell r="F77" t="str">
            <v>Some</v>
          </cell>
          <cell r="H77" t="str">
            <v>New</v>
          </cell>
          <cell r="I77">
            <v>0</v>
          </cell>
        </row>
        <row r="78">
          <cell r="B78" t="str">
            <v>Water Using Devices</v>
          </cell>
          <cell r="C78" t="str">
            <v>WHTanks</v>
          </cell>
          <cell r="D78" t="str">
            <v>DHW - Efficient Tanks</v>
          </cell>
          <cell r="E78" t="str">
            <v>CBSA 2014</v>
          </cell>
          <cell r="F78" t="str">
            <v>Some</v>
          </cell>
          <cell r="H78" t="str">
            <v>New</v>
          </cell>
          <cell r="I78">
            <v>0</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str">
            <v>Water Using Devices</v>
          </cell>
          <cell r="C80" t="str">
            <v>Showerheads</v>
          </cell>
          <cell r="D80" t="str">
            <v>DHW - Showerheads</v>
          </cell>
          <cell r="E80" t="str">
            <v>2.5 GPM</v>
          </cell>
          <cell r="F80" t="str">
            <v>Some</v>
          </cell>
          <cell r="H80" t="str">
            <v>Retro</v>
          </cell>
          <cell r="I80" t="str">
            <v>x</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e">
            <v>#N/A</v>
          </cell>
          <cell r="C85" t="str">
            <v>HPLowPowerGSFL</v>
          </cell>
          <cell r="D85" t="e">
            <v>#N/A</v>
          </cell>
          <cell r="E85" t="e">
            <v>#N/A</v>
          </cell>
          <cell r="F85" t="e">
            <v>#N/A</v>
          </cell>
          <cell r="H85" t="e">
            <v>#N/A</v>
          </cell>
          <cell r="I85" t="e">
            <v>#N/A</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2">
          <cell r="B12" t="str">
            <v>Grocery</v>
          </cell>
          <cell r="C12">
            <v>0.19141181754336017</v>
          </cell>
          <cell r="D12">
            <v>0.80858818245663977</v>
          </cell>
          <cell r="E12">
            <v>1</v>
          </cell>
          <cell r="G12" t="str">
            <v>Grocery</v>
          </cell>
          <cell r="H12">
            <v>0.38592097461312147</v>
          </cell>
          <cell r="I12">
            <v>0.61407902538687853</v>
          </cell>
          <cell r="J12">
            <v>1</v>
          </cell>
          <cell r="L12">
            <v>7.3869835178802537E-2</v>
          </cell>
          <cell r="M12">
            <v>0.80858818245663977</v>
          </cell>
          <cell r="N12">
            <v>0.11754198236455764</v>
          </cell>
          <cell r="O12">
            <v>0.99999999999999989</v>
          </cell>
        </row>
        <row r="13">
          <cell r="B13" t="str">
            <v>Lodging</v>
          </cell>
          <cell r="C13">
            <v>0.75058251470213166</v>
          </cell>
          <cell r="D13">
            <v>0.24941748529786834</v>
          </cell>
          <cell r="E13">
            <v>1</v>
          </cell>
          <cell r="G13" t="str">
            <v>Lodging</v>
          </cell>
          <cell r="H13">
            <v>0.59526013213262075</v>
          </cell>
          <cell r="I13">
            <v>0.40473986786737931</v>
          </cell>
          <cell r="J13">
            <v>1</v>
          </cell>
          <cell r="L13">
            <v>0.44679184687802564</v>
          </cell>
          <cell r="M13">
            <v>0.24941748529786834</v>
          </cell>
          <cell r="N13">
            <v>0.30379066782410608</v>
          </cell>
          <cell r="O13">
            <v>1</v>
          </cell>
        </row>
        <row r="14">
          <cell r="B14" t="str">
            <v>Office</v>
          </cell>
          <cell r="C14">
            <v>0.51635908187299928</v>
          </cell>
          <cell r="D14">
            <v>0.48364091812700072</v>
          </cell>
          <cell r="E14">
            <v>1</v>
          </cell>
          <cell r="G14" t="str">
            <v>Office</v>
          </cell>
          <cell r="H14">
            <v>0.45565580415878149</v>
          </cell>
          <cell r="I14">
            <v>0.54434419584121851</v>
          </cell>
          <cell r="J14">
            <v>1</v>
          </cell>
          <cell r="L14">
            <v>0.23528201268553159</v>
          </cell>
          <cell r="M14">
            <v>0.48364091812700072</v>
          </cell>
          <cell r="N14">
            <v>0.28107706918746772</v>
          </cell>
          <cell r="O14">
            <v>1</v>
          </cell>
        </row>
        <row r="15">
          <cell r="B15" t="str">
            <v>Other</v>
          </cell>
          <cell r="C15">
            <v>0.27428395672737665</v>
          </cell>
          <cell r="D15">
            <v>0.7257160432726234</v>
          </cell>
          <cell r="E15">
            <v>1</v>
          </cell>
          <cell r="G15" t="str">
            <v>Other</v>
          </cell>
          <cell r="H15">
            <v>0.6175903960921354</v>
          </cell>
          <cell r="I15">
            <v>0.38240960390786466</v>
          </cell>
          <cell r="J15">
            <v>1</v>
          </cell>
          <cell r="L15">
            <v>0.16939513747697868</v>
          </cell>
          <cell r="M15">
            <v>0.7257160432726234</v>
          </cell>
          <cell r="N15">
            <v>0.104888819250398</v>
          </cell>
          <cell r="O15">
            <v>1</v>
          </cell>
        </row>
        <row r="16">
          <cell r="B16" t="str">
            <v>Residential Care</v>
          </cell>
          <cell r="C16">
            <v>0.59443378738060659</v>
          </cell>
          <cell r="D16">
            <v>0.40556621261939335</v>
          </cell>
          <cell r="E16">
            <v>1</v>
          </cell>
          <cell r="G16" t="str">
            <v>Residential Care</v>
          </cell>
          <cell r="H16">
            <v>0.57173215680136025</v>
          </cell>
          <cell r="I16">
            <v>0.42826784319863981</v>
          </cell>
          <cell r="J16">
            <v>1</v>
          </cell>
          <cell r="L16">
            <v>0.33985691133471541</v>
          </cell>
          <cell r="M16">
            <v>0.40556621261939335</v>
          </cell>
          <cell r="N16">
            <v>0.25457687604589124</v>
          </cell>
          <cell r="O16">
            <v>1</v>
          </cell>
        </row>
        <row r="17">
          <cell r="B17" t="str">
            <v>Restaurant</v>
          </cell>
          <cell r="C17">
            <v>0.20634715054031719</v>
          </cell>
          <cell r="D17">
            <v>0.79365284945968273</v>
          </cell>
          <cell r="E17">
            <v>1</v>
          </cell>
          <cell r="G17" t="str">
            <v>Restaurant</v>
          </cell>
          <cell r="H17">
            <v>0.1456310681449533</v>
          </cell>
          <cell r="I17">
            <v>0.8543689318550467</v>
          </cell>
          <cell r="J17">
            <v>1</v>
          </cell>
          <cell r="L17">
            <v>3.0050555941853869E-2</v>
          </cell>
          <cell r="M17">
            <v>0.79365284945968273</v>
          </cell>
          <cell r="N17">
            <v>0.17629659459846331</v>
          </cell>
          <cell r="O17">
            <v>1</v>
          </cell>
        </row>
        <row r="18">
          <cell r="B18" t="str">
            <v>Retail/Service</v>
          </cell>
          <cell r="C18">
            <v>0.17516537112508487</v>
          </cell>
          <cell r="D18">
            <v>0.8248346288749151</v>
          </cell>
          <cell r="E18">
            <v>1</v>
          </cell>
          <cell r="G18" t="str">
            <v>Retail/Service</v>
          </cell>
          <cell r="H18">
            <v>0.63140923348225164</v>
          </cell>
          <cell r="I18">
            <v>0.3685907665177483</v>
          </cell>
          <cell r="J18">
            <v>1</v>
          </cell>
          <cell r="L18">
            <v>0.11060103271472398</v>
          </cell>
          <cell r="M18">
            <v>0.8248346288749151</v>
          </cell>
          <cell r="N18">
            <v>6.4564338410360883E-2</v>
          </cell>
          <cell r="O18">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1">
          <cell r="B11">
            <v>2.0434554153352484E-2</v>
          </cell>
        </row>
        <row r="12">
          <cell r="B12">
            <v>3.1863582040406999E-2</v>
          </cell>
        </row>
        <row r="13">
          <cell r="B13">
            <v>5.5794347273117245E-2</v>
          </cell>
        </row>
        <row r="14">
          <cell r="B14">
            <v>0.23374291413554329</v>
          </cell>
        </row>
        <row r="15">
          <cell r="B15">
            <v>0.12270755891365608</v>
          </cell>
        </row>
        <row r="16">
          <cell r="B16">
            <v>4.2121761451219118E-2</v>
          </cell>
        </row>
        <row r="17">
          <cell r="B17">
            <v>1.255060122823257E-2</v>
          </cell>
        </row>
        <row r="18">
          <cell r="B18">
            <v>0.16379453573805774</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 sheetId="20">
        <row r="11">
          <cell r="B11" t="str">
            <v>Compressed Air</v>
          </cell>
          <cell r="C11" t="str">
            <v>Compressed Air System Improvements</v>
          </cell>
          <cell r="D11" t="str">
            <v>Compressors</v>
          </cell>
        </row>
        <row r="12">
          <cell r="B12" t="str">
            <v>Compressed Air</v>
          </cell>
          <cell r="C12" t="str">
            <v>Compressed Air System Improvements</v>
          </cell>
          <cell r="D12" t="str">
            <v>Interactive Compressed Air System Supply/Demand Improvements</v>
          </cell>
        </row>
        <row r="13">
          <cell r="B13" t="str">
            <v>Compressed Air</v>
          </cell>
          <cell r="C13" t="str">
            <v>Heat Recovery</v>
          </cell>
          <cell r="D13" t="str">
            <v>Heat Recovery Improvements</v>
          </cell>
        </row>
        <row r="14">
          <cell r="B14" t="str">
            <v>HVAC</v>
          </cell>
          <cell r="C14" t="str">
            <v>HVAC System Improvements</v>
          </cell>
          <cell r="D14" t="str">
            <v>Interactive HVAC System Improvements</v>
          </cell>
        </row>
        <row r="15">
          <cell r="B15" t="str">
            <v>Irrigation</v>
          </cell>
          <cell r="C15" t="str">
            <v>Center Pivot System and Equipment</v>
          </cell>
          <cell r="D15" t="str">
            <v>Center Pivot Conversions</v>
          </cell>
        </row>
        <row r="16">
          <cell r="B16" t="str">
            <v>Irrigation</v>
          </cell>
          <cell r="C16" t="str">
            <v>Center Pivot System and Equipment</v>
          </cell>
          <cell r="D16" t="str">
            <v>Reduce System Friction Head</v>
          </cell>
        </row>
        <row r="17">
          <cell r="B17" t="str">
            <v>Irrigation</v>
          </cell>
          <cell r="C17" t="str">
            <v>Center Pivot System and Equipment</v>
          </cell>
          <cell r="D17" t="str">
            <v xml:space="preserve">Reduce System Friction Head </v>
          </cell>
        </row>
        <row r="18">
          <cell r="B18" t="str">
            <v>Irrigation</v>
          </cell>
          <cell r="C18" t="str">
            <v>Center Pivot System and Equipment</v>
          </cell>
          <cell r="D18" t="str">
            <v>Reduce System Leakage</v>
          </cell>
        </row>
        <row r="19">
          <cell r="B19" t="str">
            <v>Irrigation</v>
          </cell>
          <cell r="C19" t="str">
            <v>Center Pivot System and Equipment</v>
          </cell>
          <cell r="D19" t="str">
            <v>Reduce System Lift</v>
          </cell>
        </row>
        <row r="20">
          <cell r="B20" t="str">
            <v>Irrigation</v>
          </cell>
          <cell r="C20" t="str">
            <v>Center Pivot System and Equipment</v>
          </cell>
          <cell r="D20" t="str">
            <v>System Water Delivery Improvements</v>
          </cell>
        </row>
        <row r="21">
          <cell r="B21" t="str">
            <v>Irrigation</v>
          </cell>
          <cell r="C21" t="str">
            <v>Discharge Fitting Equipment</v>
          </cell>
          <cell r="D21" t="str">
            <v>Drop Installation for Spray Heads and Pressure Regulators</v>
          </cell>
        </row>
        <row r="22">
          <cell r="B22" t="str">
            <v>Irrigation</v>
          </cell>
          <cell r="C22" t="str">
            <v>Discharge Fitting Equipment</v>
          </cell>
          <cell r="D22" t="str">
            <v>Flow Control Nozzles and Diffuser</v>
          </cell>
        </row>
        <row r="23">
          <cell r="B23" t="str">
            <v>Irrigation</v>
          </cell>
          <cell r="C23" t="str">
            <v>Discharge Fitting Equipment</v>
          </cell>
          <cell r="D23" t="str">
            <v>Impact Sprinkler Heads</v>
          </cell>
        </row>
        <row r="24">
          <cell r="B24" t="str">
            <v>Irrigation</v>
          </cell>
          <cell r="C24" t="str">
            <v>Discharge Fitting Equipment</v>
          </cell>
          <cell r="D24" t="str">
            <v>Low Angle Heads</v>
          </cell>
        </row>
        <row r="25">
          <cell r="B25" t="str">
            <v>Irrigation</v>
          </cell>
          <cell r="C25" t="str">
            <v>Discharge Fitting Equipment</v>
          </cell>
          <cell r="D25" t="str">
            <v>Low Pressure End guns/Big guns</v>
          </cell>
        </row>
        <row r="26">
          <cell r="B26" t="str">
            <v>Irrigation</v>
          </cell>
          <cell r="C26" t="str">
            <v>Discharge Fitting Equipment</v>
          </cell>
          <cell r="D26" t="str">
            <v>Nozzle Replacement</v>
          </cell>
        </row>
        <row r="27">
          <cell r="B27" t="str">
            <v>Irrigation</v>
          </cell>
          <cell r="C27" t="str">
            <v>Discharge Fitting Equipment</v>
          </cell>
          <cell r="D27" t="str">
            <v>Spray Heads</v>
          </cell>
        </row>
        <row r="28">
          <cell r="B28" t="str">
            <v>Irrigation</v>
          </cell>
          <cell r="C28" t="str">
            <v>Handmove and Sideroll System and Equipment</v>
          </cell>
          <cell r="D28" t="str">
            <v>Reduce System Friction Head</v>
          </cell>
        </row>
        <row r="29">
          <cell r="B29" t="str">
            <v>Irrigation</v>
          </cell>
          <cell r="C29" t="str">
            <v>Handmove and Sideroll System and Equipment</v>
          </cell>
          <cell r="D29" t="str">
            <v>Reduce System Leakage</v>
          </cell>
        </row>
        <row r="30">
          <cell r="B30" t="str">
            <v>Irrigation</v>
          </cell>
          <cell r="C30" t="str">
            <v>Handmove and Sideroll System and Equipment</v>
          </cell>
          <cell r="D30" t="str">
            <v>Reduce System Lift</v>
          </cell>
        </row>
        <row r="31">
          <cell r="B31" t="str">
            <v>Irrigation</v>
          </cell>
          <cell r="C31" t="str">
            <v>Handmove and Sideroll System and Equipment</v>
          </cell>
          <cell r="D31" t="str">
            <v>System Water Delivery Improvements</v>
          </cell>
        </row>
        <row r="32">
          <cell r="B32" t="str">
            <v>Irrigation</v>
          </cell>
          <cell r="C32" t="str">
            <v>Hardware</v>
          </cell>
          <cell r="D32" t="str">
            <v>Drain Replacement</v>
          </cell>
        </row>
        <row r="33">
          <cell r="B33" t="str">
            <v>Irrigation</v>
          </cell>
          <cell r="C33" t="str">
            <v>Hardware</v>
          </cell>
          <cell r="D33" t="str">
            <v>Drop Tube/Hose Extension</v>
          </cell>
        </row>
        <row r="34">
          <cell r="B34" t="str">
            <v>Irrigation</v>
          </cell>
          <cell r="C34" t="str">
            <v>Hardware</v>
          </cell>
          <cell r="D34" t="str">
            <v>Gasket Replacement</v>
          </cell>
        </row>
        <row r="35">
          <cell r="B35" t="str">
            <v>Irrigation</v>
          </cell>
          <cell r="C35" t="str">
            <v>Hardware</v>
          </cell>
          <cell r="D35" t="str">
            <v>Goose Necks</v>
          </cell>
        </row>
        <row r="36">
          <cell r="B36" t="str">
            <v>Irrigation</v>
          </cell>
          <cell r="C36" t="str">
            <v>Hardware</v>
          </cell>
          <cell r="D36" t="str">
            <v>Hub Replacement</v>
          </cell>
        </row>
        <row r="37">
          <cell r="B37" t="str">
            <v>Irrigation</v>
          </cell>
          <cell r="C37" t="str">
            <v>Hardware</v>
          </cell>
          <cell r="D37" t="str">
            <v>Leveler Rebuild</v>
          </cell>
        </row>
        <row r="38">
          <cell r="B38" t="str">
            <v>Irrigation</v>
          </cell>
          <cell r="C38" t="str">
            <v>Hardware</v>
          </cell>
          <cell r="D38" t="str">
            <v>Line Repairs</v>
          </cell>
        </row>
        <row r="39">
          <cell r="B39" t="str">
            <v>Irrigation</v>
          </cell>
          <cell r="C39" t="str">
            <v>Hardware</v>
          </cell>
          <cell r="D39" t="str">
            <v>Multi-Trajectory Sprays</v>
          </cell>
        </row>
        <row r="40">
          <cell r="B40" t="str">
            <v>Irrigation</v>
          </cell>
          <cell r="C40" t="str">
            <v>Hardware</v>
          </cell>
          <cell r="D40" t="str">
            <v>Nozzle Replacement</v>
          </cell>
        </row>
        <row r="41">
          <cell r="B41" t="str">
            <v>Irrigation</v>
          </cell>
          <cell r="C41" t="str">
            <v>Hardware</v>
          </cell>
          <cell r="D41" t="str">
            <v>Pipe Repair</v>
          </cell>
        </row>
        <row r="42">
          <cell r="B42" t="str">
            <v>Irrigation</v>
          </cell>
          <cell r="C42" t="str">
            <v>Hardware</v>
          </cell>
          <cell r="D42" t="str">
            <v>Regulator Replacement</v>
          </cell>
        </row>
        <row r="43">
          <cell r="B43" t="str">
            <v>Irrigation</v>
          </cell>
          <cell r="C43" t="str">
            <v>Hardware</v>
          </cell>
          <cell r="D43" t="str">
            <v>Sprinkler Replacements</v>
          </cell>
        </row>
        <row r="44">
          <cell r="B44" t="str">
            <v>Irrigation</v>
          </cell>
          <cell r="C44" t="str">
            <v>Irrigation System Improvements</v>
          </cell>
          <cell r="D44" t="str">
            <v>Change in Water Source</v>
          </cell>
        </row>
        <row r="45">
          <cell r="B45" t="str">
            <v>Irrigation</v>
          </cell>
          <cell r="C45" t="str">
            <v>Irrigation System Improvements</v>
          </cell>
          <cell r="D45" t="str">
            <v>Irrigation System Improvements</v>
          </cell>
        </row>
        <row r="46">
          <cell r="B46" t="str">
            <v>Irrigation</v>
          </cell>
          <cell r="C46" t="str">
            <v>Irrigation System Improvements</v>
          </cell>
          <cell r="D46" t="str">
            <v>Reduce Delivery System Leakage</v>
          </cell>
        </row>
        <row r="47">
          <cell r="B47" t="str">
            <v>Irrigation</v>
          </cell>
          <cell r="C47" t="str">
            <v>Mainline System and Equipment</v>
          </cell>
          <cell r="D47" t="str">
            <v>Interactive Mainline System and Equipment Improvements</v>
          </cell>
        </row>
        <row r="48">
          <cell r="B48" t="str">
            <v>Irrigation</v>
          </cell>
          <cell r="C48" t="str">
            <v>Mainline System and Equipment</v>
          </cell>
          <cell r="D48" t="str">
            <v>Mainline System Pump Improvements</v>
          </cell>
        </row>
        <row r="49">
          <cell r="B49" t="str">
            <v>Irrigation</v>
          </cell>
          <cell r="C49" t="str">
            <v>Mainline System and Equipment</v>
          </cell>
          <cell r="D49" t="str">
            <v>Reduce Friction Loss</v>
          </cell>
        </row>
        <row r="50">
          <cell r="B50" t="str">
            <v>Irrigation</v>
          </cell>
          <cell r="C50" t="str">
            <v>Mainline System and Equipment</v>
          </cell>
          <cell r="D50" t="str">
            <v xml:space="preserve">Reduce System Friction Head </v>
          </cell>
        </row>
        <row r="51">
          <cell r="B51" t="str">
            <v>Irrigation</v>
          </cell>
          <cell r="C51" t="str">
            <v>Mainline System and Equipment</v>
          </cell>
          <cell r="D51" t="str">
            <v>Reduce System Leakage</v>
          </cell>
        </row>
        <row r="52">
          <cell r="B52" t="str">
            <v>Irrigation</v>
          </cell>
          <cell r="C52" t="str">
            <v>Mainline System and Equipment</v>
          </cell>
          <cell r="D52" t="str">
            <v>Reduce System Lift</v>
          </cell>
        </row>
        <row r="53">
          <cell r="B53" t="str">
            <v>Irrigation</v>
          </cell>
          <cell r="C53" t="str">
            <v>Mainline System and Equipment</v>
          </cell>
          <cell r="D53" t="str">
            <v>System Water Delivery Improvements</v>
          </cell>
        </row>
        <row r="54">
          <cell r="B54" t="str">
            <v>Irrigation</v>
          </cell>
          <cell r="C54" t="str">
            <v>Pumps and Fans</v>
          </cell>
          <cell r="D54" t="str">
            <v>Centrifugal Pump System Improvements</v>
          </cell>
        </row>
        <row r="55">
          <cell r="B55" t="str">
            <v>Irrigation</v>
          </cell>
          <cell r="C55" t="str">
            <v>Pumps and Fans</v>
          </cell>
          <cell r="D55" t="str">
            <v>Pump Testing Service</v>
          </cell>
        </row>
        <row r="56">
          <cell r="B56" t="str">
            <v>Irrigation</v>
          </cell>
          <cell r="C56" t="str">
            <v>Pumps and Fans</v>
          </cell>
          <cell r="D56" t="str">
            <v>Turbine Pump System Improvements</v>
          </cell>
        </row>
        <row r="57">
          <cell r="B57" t="str">
            <v>Irrigation</v>
          </cell>
          <cell r="C57" t="str">
            <v>Pumps and Fans</v>
          </cell>
          <cell r="D57" t="str">
            <v>Vacuum Pump System Improvements</v>
          </cell>
        </row>
        <row r="58">
          <cell r="B58" t="str">
            <v>Irrigation</v>
          </cell>
          <cell r="C58" t="str">
            <v>Suction Fittings Equipment</v>
          </cell>
          <cell r="D58" t="str">
            <v>Reduce Cavitation</v>
          </cell>
        </row>
        <row r="59">
          <cell r="B59" t="str">
            <v>Irrigation</v>
          </cell>
          <cell r="C59" t="str">
            <v>Suction Fittings Equipment</v>
          </cell>
          <cell r="D59" t="str">
            <v xml:space="preserve">Reduce System Friction Head </v>
          </cell>
        </row>
        <row r="60">
          <cell r="B60" t="str">
            <v>Irrigation</v>
          </cell>
          <cell r="C60" t="str">
            <v>Suction Fittings Equipment</v>
          </cell>
          <cell r="D60" t="str">
            <v>Reduce System Leakage</v>
          </cell>
        </row>
        <row r="61">
          <cell r="B61" t="str">
            <v>Irrigation</v>
          </cell>
          <cell r="C61" t="str">
            <v>Suction Fittings Equipment</v>
          </cell>
          <cell r="D61" t="str">
            <v>Reduce System Lift</v>
          </cell>
        </row>
        <row r="62">
          <cell r="B62" t="str">
            <v>Irrigation</v>
          </cell>
          <cell r="C62" t="str">
            <v>Water Management</v>
          </cell>
          <cell r="D62" t="str">
            <v>Scientific Irrigation Scheduling</v>
          </cell>
        </row>
        <row r="63">
          <cell r="B63" t="str">
            <v>Lighting</v>
          </cell>
          <cell r="C63" t="str">
            <v>Delamping</v>
          </cell>
          <cell r="D63" t="str">
            <v>Delamping</v>
          </cell>
        </row>
        <row r="64">
          <cell r="B64" t="str">
            <v>Lighting</v>
          </cell>
          <cell r="C64" t="str">
            <v>Lamps/Ballasts/Fixtures</v>
          </cell>
          <cell r="D64" t="str">
            <v>Lamps/Ballasts</v>
          </cell>
        </row>
        <row r="65">
          <cell r="B65" t="str">
            <v>Lighting</v>
          </cell>
          <cell r="C65" t="str">
            <v>Lamps/Ballasts/Fixtures</v>
          </cell>
          <cell r="D65" t="str">
            <v>Lamps/Ballasts w/Controls</v>
          </cell>
        </row>
        <row r="66">
          <cell r="B66" t="str">
            <v>Lighting</v>
          </cell>
          <cell r="C66" t="str">
            <v>Lamps/Ballasts/Fixtures</v>
          </cell>
          <cell r="D66" t="str">
            <v>Lamps/Ballasts w/Delamping</v>
          </cell>
        </row>
        <row r="67">
          <cell r="B67" t="str">
            <v>Lighting</v>
          </cell>
          <cell r="C67" t="str">
            <v>Lamps/Ballasts/Fixtures</v>
          </cell>
          <cell r="D67" t="str">
            <v>Lamps/Ballasts w/Delamping and Controls</v>
          </cell>
        </row>
        <row r="68">
          <cell r="B68" t="str">
            <v>Lighting</v>
          </cell>
          <cell r="C68" t="str">
            <v>Lamps/Ballasts/Fixtures</v>
          </cell>
          <cell r="D68" t="str">
            <v>Lamps/Ballasts/Fixtures</v>
          </cell>
        </row>
        <row r="69">
          <cell r="B69" t="str">
            <v>Lighting</v>
          </cell>
          <cell r="C69" t="str">
            <v>Lamps/Ballasts/Fixtures</v>
          </cell>
          <cell r="D69" t="str">
            <v>Lamps/Ballasts/Fixtures w/Controls</v>
          </cell>
        </row>
        <row r="70">
          <cell r="B70" t="str">
            <v>Lighting</v>
          </cell>
          <cell r="C70" t="str">
            <v>Lamps/Ballasts/Fixtures</v>
          </cell>
          <cell r="D70" t="str">
            <v>Lamps/Ballasts/Fixtures w/Delamping</v>
          </cell>
        </row>
        <row r="71">
          <cell r="B71" t="str">
            <v>Lighting</v>
          </cell>
          <cell r="C71" t="str">
            <v>Lamps/Ballasts/Fixtures</v>
          </cell>
          <cell r="D71" t="str">
            <v>Lamps/Ballasts/Fixtures w/Delamping and Controls</v>
          </cell>
        </row>
        <row r="72">
          <cell r="B72" t="str">
            <v>Lighting</v>
          </cell>
          <cell r="C72" t="str">
            <v>Lamps/Ballasts/Fixtures</v>
          </cell>
          <cell r="D72" t="str">
            <v>Stall Lighting</v>
          </cell>
        </row>
        <row r="73">
          <cell r="B73" t="str">
            <v>Lighting</v>
          </cell>
          <cell r="C73" t="str">
            <v>Lighting Controls</v>
          </cell>
          <cell r="D73" t="str">
            <v>Control Panels</v>
          </cell>
        </row>
        <row r="74">
          <cell r="B74" t="str">
            <v>Lighting</v>
          </cell>
          <cell r="C74" t="str">
            <v>Lighting Controls</v>
          </cell>
          <cell r="D74" t="str">
            <v>Daylighting</v>
          </cell>
        </row>
        <row r="75">
          <cell r="B75" t="str">
            <v>Lighting</v>
          </cell>
          <cell r="C75" t="str">
            <v>Lighting Controls</v>
          </cell>
          <cell r="D75" t="str">
            <v>Occupancy Sensors</v>
          </cell>
        </row>
        <row r="76">
          <cell r="B76" t="str">
            <v>Lighting</v>
          </cell>
          <cell r="C76" t="str">
            <v>Lighting Controls</v>
          </cell>
          <cell r="D76" t="str">
            <v>Photocells</v>
          </cell>
        </row>
        <row r="77">
          <cell r="B77" t="str">
            <v>Lighting</v>
          </cell>
          <cell r="C77" t="str">
            <v>Lighting Controls</v>
          </cell>
          <cell r="D77" t="str">
            <v>Timers</v>
          </cell>
        </row>
        <row r="78">
          <cell r="B78" t="str">
            <v>Lighting</v>
          </cell>
          <cell r="C78" t="str">
            <v>Signs and Signals</v>
          </cell>
          <cell r="D78" t="str">
            <v>LED Exit Signs</v>
          </cell>
        </row>
        <row r="79">
          <cell r="B79" t="str">
            <v>Motors/Drives</v>
          </cell>
          <cell r="C79" t="str">
            <v>Compressed Air System Improvements</v>
          </cell>
          <cell r="D79" t="str">
            <v>Motors/Drives Installation on Compressed Air System</v>
          </cell>
        </row>
        <row r="80">
          <cell r="B80" t="str">
            <v>Motors/Drives</v>
          </cell>
          <cell r="C80" t="str">
            <v>Motors</v>
          </cell>
          <cell r="D80" t="str">
            <v>Motor Rewind</v>
          </cell>
        </row>
        <row r="81">
          <cell r="B81" t="str">
            <v>Motors/Drives</v>
          </cell>
          <cell r="C81" t="str">
            <v>Motors</v>
          </cell>
          <cell r="D81" t="str">
            <v>Motors</v>
          </cell>
        </row>
        <row r="82">
          <cell r="B82" t="str">
            <v>Motors/Drives</v>
          </cell>
          <cell r="C82" t="str">
            <v>Motors/Drives Controls</v>
          </cell>
          <cell r="D82" t="str">
            <v>Dairy Milking Machine Control Improvements (VFD)</v>
          </cell>
        </row>
        <row r="83">
          <cell r="B83" t="str">
            <v>Motors/Drives</v>
          </cell>
          <cell r="C83" t="str">
            <v>Motors/Drives Controls</v>
          </cell>
          <cell r="D83" t="str">
            <v>Electronically Commutated Motor (ECM)</v>
          </cell>
        </row>
        <row r="84">
          <cell r="B84" t="str">
            <v>Motors/Drives</v>
          </cell>
          <cell r="C84" t="str">
            <v>Motors/Drives Controls</v>
          </cell>
          <cell r="D84" t="str">
            <v>Energy Management Systems/System Controls</v>
          </cell>
        </row>
        <row r="85">
          <cell r="B85" t="str">
            <v>Motors/Drives</v>
          </cell>
          <cell r="C85" t="str">
            <v>Motors/Drives Controls</v>
          </cell>
          <cell r="D85" t="str">
            <v>Motors/Drives Control Improvements (non-VFD)</v>
          </cell>
        </row>
        <row r="86">
          <cell r="B86" t="str">
            <v>Motors/Drives</v>
          </cell>
          <cell r="C86" t="str">
            <v>Motors/Drives Controls</v>
          </cell>
          <cell r="D86" t="str">
            <v>Motors/Drives Control Improvements (VFD)</v>
          </cell>
        </row>
        <row r="87">
          <cell r="B87" t="str">
            <v>Motors/Drives</v>
          </cell>
          <cell r="C87" t="str">
            <v>Pumps and Fans</v>
          </cell>
          <cell r="D87" t="str">
            <v>Motors/Drives Installation on Fan System</v>
          </cell>
        </row>
        <row r="88">
          <cell r="B88" t="str">
            <v>Motors/Drives</v>
          </cell>
          <cell r="C88" t="str">
            <v>Pumps and Fans</v>
          </cell>
          <cell r="D88" t="str">
            <v>Motors/Drives Installation on Pump System</v>
          </cell>
        </row>
        <row r="89">
          <cell r="B89" t="str">
            <v>Motors/Drives</v>
          </cell>
          <cell r="C89" t="str">
            <v>Pumps and Fans</v>
          </cell>
          <cell r="D89" t="str">
            <v>Motors/Drives Installation on Vacuum Pumps</v>
          </cell>
        </row>
        <row r="90">
          <cell r="B90" t="str">
            <v>Process Loads</v>
          </cell>
          <cell r="C90" t="str">
            <v>Livestock Tanks</v>
          </cell>
          <cell r="D90" t="str">
            <v>Freeze Resistant Stock Tanks</v>
          </cell>
        </row>
        <row r="91">
          <cell r="B91" t="str">
            <v>Process Loads</v>
          </cell>
          <cell r="C91" t="str">
            <v>Process Loads System Improvements</v>
          </cell>
          <cell r="D91" t="str">
            <v>Interactive Process Loads System Improvements</v>
          </cell>
        </row>
        <row r="92">
          <cell r="B92" t="str">
            <v>Process Loads</v>
          </cell>
          <cell r="C92" t="str">
            <v>Pumps and Fans</v>
          </cell>
          <cell r="D92" t="str">
            <v>Centrifugal Pump System Improvements</v>
          </cell>
        </row>
        <row r="93">
          <cell r="B93" t="str">
            <v>Process Loads</v>
          </cell>
          <cell r="C93" t="str">
            <v>Pumps and Fans</v>
          </cell>
          <cell r="D93" t="str">
            <v>Fan System Improvements</v>
          </cell>
        </row>
        <row r="94">
          <cell r="B94" t="str">
            <v>Process Loads</v>
          </cell>
          <cell r="C94" t="str">
            <v>Pumps and Fans</v>
          </cell>
          <cell r="D94" t="str">
            <v>Pump System Improvements</v>
          </cell>
        </row>
        <row r="95">
          <cell r="B95" t="str">
            <v>Process Loads</v>
          </cell>
          <cell r="C95" t="str">
            <v>Pumps and Fans</v>
          </cell>
          <cell r="D95" t="str">
            <v>Turbine Pump System Improvements</v>
          </cell>
        </row>
        <row r="96">
          <cell r="B96" t="str">
            <v>Process Loads</v>
          </cell>
          <cell r="C96" t="str">
            <v>Pumps and Fans</v>
          </cell>
          <cell r="D96" t="str">
            <v>Vacuum Pump System Improvements</v>
          </cell>
        </row>
        <row r="97">
          <cell r="B97" t="str">
            <v>Refrigeration</v>
          </cell>
          <cell r="C97" t="str">
            <v>Dairy System Improvements</v>
          </cell>
          <cell r="D97" t="str">
            <v>Heat Recovery Improvements</v>
          </cell>
        </row>
        <row r="98">
          <cell r="B98" t="str">
            <v>Refrigeration</v>
          </cell>
          <cell r="C98" t="str">
            <v>Dairy System Improvements</v>
          </cell>
          <cell r="D98" t="str">
            <v>Plate Milk Pre-cooler</v>
          </cell>
        </row>
        <row r="99">
          <cell r="B99" t="str">
            <v>Refrigeration</v>
          </cell>
          <cell r="C99" t="str">
            <v>Heat Recovery</v>
          </cell>
          <cell r="D99" t="str">
            <v>Heat Recovery Improvements</v>
          </cell>
        </row>
        <row r="100">
          <cell r="B100" t="str">
            <v>Refrigeration</v>
          </cell>
          <cell r="C100" t="str">
            <v>Packaged Refrigeration</v>
          </cell>
          <cell r="D100" t="str">
            <v>Packaged Refrigeration System Improvements</v>
          </cell>
        </row>
        <row r="101">
          <cell r="B101" t="str">
            <v>Refrigeration</v>
          </cell>
          <cell r="C101" t="str">
            <v>Pumps and Fans</v>
          </cell>
          <cell r="D101" t="str">
            <v>Condensor Fan System Improvements</v>
          </cell>
        </row>
        <row r="102">
          <cell r="B102" t="str">
            <v>Refrigeration</v>
          </cell>
          <cell r="C102" t="str">
            <v>Pumps and Fans</v>
          </cell>
          <cell r="D102" t="str">
            <v>Evaporator Coil Fan System Improvements</v>
          </cell>
        </row>
        <row r="103">
          <cell r="B103" t="str">
            <v>Refrigeration</v>
          </cell>
          <cell r="C103" t="str">
            <v>Pumps and Fans</v>
          </cell>
          <cell r="D103" t="str">
            <v>Evaporator Fan System Improvements</v>
          </cell>
        </row>
        <row r="104">
          <cell r="B104" t="str">
            <v>Refrigeration</v>
          </cell>
          <cell r="C104" t="str">
            <v>Refrigeration System Controls</v>
          </cell>
          <cell r="D104" t="str">
            <v>Defrost Control Improvements</v>
          </cell>
        </row>
        <row r="105">
          <cell r="B105" t="str">
            <v>Refrigeration</v>
          </cell>
          <cell r="C105" t="str">
            <v>Refrigeration System Controls</v>
          </cell>
          <cell r="D105" t="str">
            <v>Refrigeration Control Improvements (non-VFD)</v>
          </cell>
        </row>
        <row r="106">
          <cell r="B106" t="str">
            <v>Refrigeration</v>
          </cell>
          <cell r="C106" t="str">
            <v>Refrigeration System Controls</v>
          </cell>
          <cell r="D106" t="str">
            <v>Refrigeration Control Improvements (VFD)</v>
          </cell>
        </row>
        <row r="107">
          <cell r="B107" t="str">
            <v>Refrigeration</v>
          </cell>
          <cell r="C107" t="str">
            <v>Refrigeration System Improvements</v>
          </cell>
          <cell r="D107" t="str">
            <v>Chiller Improvements</v>
          </cell>
        </row>
        <row r="108">
          <cell r="B108" t="str">
            <v>Refrigeration</v>
          </cell>
          <cell r="C108" t="str">
            <v>Refrigeration System Improvements</v>
          </cell>
          <cell r="D108" t="str">
            <v>Insulation</v>
          </cell>
        </row>
        <row r="109">
          <cell r="B109" t="str">
            <v>Refrigeration</v>
          </cell>
          <cell r="C109" t="str">
            <v>Refrigeration System Improvements</v>
          </cell>
          <cell r="D109" t="str">
            <v>Interactive Refrigeration System Improvements</v>
          </cell>
        </row>
        <row r="110">
          <cell r="B110" t="str">
            <v xml:space="preserve">Utility Distribution System </v>
          </cell>
          <cell r="C110" t="str">
            <v>Transformers</v>
          </cell>
          <cell r="D110" t="str">
            <v>De-Energization</v>
          </cell>
        </row>
        <row r="111">
          <cell r="B111" t="str">
            <v>Water Heating</v>
          </cell>
          <cell r="C111" t="str">
            <v>Heat Recovery</v>
          </cell>
          <cell r="D111" t="str">
            <v>Heat Recovery Improvements</v>
          </cell>
        </row>
        <row r="112">
          <cell r="B112" t="str">
            <v>Water Heating</v>
          </cell>
          <cell r="C112" t="str">
            <v>System Efficiency Improvements</v>
          </cell>
          <cell r="D112" t="str">
            <v>Insulation</v>
          </cell>
        </row>
        <row r="113">
          <cell r="B113" t="str">
            <v>Water Heating</v>
          </cell>
          <cell r="C113" t="str">
            <v>Water Heaters</v>
          </cell>
          <cell r="D113" t="str">
            <v>Water Heaters</v>
          </cell>
        </row>
        <row r="114">
          <cell r="B114" t="str">
            <v>Whole Bldg/Meter Level</v>
          </cell>
          <cell r="C114" t="str">
            <v>Whole Bldg/Meter Level System Improvements</v>
          </cell>
          <cell r="D114" t="str">
            <v>Interactive Whole Bldg/Meter Level System Improvements</v>
          </cell>
        </row>
        <row r="115">
          <cell r="B115" t="str">
            <v>Compressed Air</v>
          </cell>
          <cell r="C115" t="str">
            <v>Compressed Air System Controls</v>
          </cell>
          <cell r="D115" t="str">
            <v>Compressed Air Control Improvements (non-VFD)</v>
          </cell>
        </row>
        <row r="116">
          <cell r="B116" t="str">
            <v>Compressed Air</v>
          </cell>
          <cell r="C116" t="str">
            <v>Compressed Air System Controls</v>
          </cell>
          <cell r="D116" t="str">
            <v>Compressed Air Control Improvements (VFD)</v>
          </cell>
        </row>
        <row r="117">
          <cell r="B117" t="str">
            <v>Compressed Air</v>
          </cell>
          <cell r="C117" t="str">
            <v>Compressed Air System Improvements</v>
          </cell>
          <cell r="D117" t="str">
            <v>Compressed Air System Compressor Improvements (non-VFD)</v>
          </cell>
        </row>
        <row r="118">
          <cell r="B118" t="str">
            <v>Compressed Air</v>
          </cell>
          <cell r="C118" t="str">
            <v>Compressed Air System Improvements</v>
          </cell>
          <cell r="D118" t="str">
            <v>Compressed Air System Compressor Improvements (VFD)</v>
          </cell>
        </row>
        <row r="119">
          <cell r="B119" t="str">
            <v>Compressed Air</v>
          </cell>
          <cell r="C119" t="str">
            <v>Compressed Air System Improvements</v>
          </cell>
          <cell r="D119" t="str">
            <v>Compressed Air System Demand Side Improvements</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Region Load (Base Case)"/>
      <sheetName val="Region Load (High)"/>
      <sheetName val="Region Load (Low)"/>
      <sheetName val="DataCenter Forecast (Base Case)"/>
      <sheetName val="DataCenter Forecast (High)"/>
      <sheetName val="DataCenter Forecast (Low)"/>
    </sheetNames>
    <definedNames>
      <definedName name="switch_ForecastScenario" refersTo="='Forecast Switchboard'!$H$3"/>
      <definedName name="switch_ForecastState" refersTo="='Forecast Switchboard'!$H$4"/>
    </definedNames>
    <sheetDataSet>
      <sheetData sheetId="0"/>
      <sheetData sheetId="1">
        <row r="3">
          <cell r="H3" t="str">
            <v>Base</v>
          </cell>
        </row>
        <row r="4">
          <cell r="H4" t="str">
            <v>Region</v>
          </cell>
        </row>
      </sheetData>
      <sheetData sheetId="2">
        <row r="3">
          <cell r="H3">
            <v>100</v>
          </cell>
        </row>
        <row r="4">
          <cell r="H4">
            <v>100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
          <cell r="B5" t="str">
            <v>Anchor</v>
          </cell>
          <cell r="C5" t="str">
            <v>Abrev</v>
          </cell>
          <cell r="D5" t="str">
            <v>POPULATION FORECAST (1000s)</v>
          </cell>
          <cell r="E5" t="str">
            <v>Scenario</v>
          </cell>
          <cell r="F5">
            <v>1985</v>
          </cell>
          <cell r="G5">
            <v>1986</v>
          </cell>
          <cell r="H5">
            <v>1987</v>
          </cell>
          <cell r="I5">
            <v>1988</v>
          </cell>
          <cell r="J5">
            <v>1989</v>
          </cell>
          <cell r="K5">
            <v>1990</v>
          </cell>
          <cell r="L5">
            <v>1991</v>
          </cell>
          <cell r="M5">
            <v>1992</v>
          </cell>
          <cell r="N5">
            <v>1993</v>
          </cell>
          <cell r="O5">
            <v>1994</v>
          </cell>
          <cell r="P5">
            <v>1995</v>
          </cell>
          <cell r="Q5">
            <v>1996</v>
          </cell>
          <cell r="R5">
            <v>1997</v>
          </cell>
          <cell r="S5">
            <v>1998</v>
          </cell>
          <cell r="T5">
            <v>1999</v>
          </cell>
          <cell r="U5">
            <v>2000</v>
          </cell>
          <cell r="V5">
            <v>2001</v>
          </cell>
          <cell r="W5">
            <v>2002</v>
          </cell>
          <cell r="X5">
            <v>2003</v>
          </cell>
          <cell r="Y5">
            <v>2004</v>
          </cell>
          <cell r="Z5">
            <v>2005</v>
          </cell>
          <cell r="AA5">
            <v>2006</v>
          </cell>
          <cell r="AB5">
            <v>2007</v>
          </cell>
          <cell r="AC5">
            <v>2008</v>
          </cell>
          <cell r="AD5">
            <v>2009</v>
          </cell>
          <cell r="AE5">
            <v>2010</v>
          </cell>
          <cell r="AF5">
            <v>2011</v>
          </cell>
          <cell r="AG5">
            <v>2012</v>
          </cell>
          <cell r="AH5">
            <v>2013</v>
          </cell>
          <cell r="AI5">
            <v>2014</v>
          </cell>
          <cell r="AJ5">
            <v>2015</v>
          </cell>
          <cell r="AK5">
            <v>2016</v>
          </cell>
          <cell r="AL5">
            <v>2017</v>
          </cell>
          <cell r="AM5">
            <v>2018</v>
          </cell>
          <cell r="AN5">
            <v>2019</v>
          </cell>
          <cell r="AO5">
            <v>2020</v>
          </cell>
          <cell r="AP5">
            <v>2021</v>
          </cell>
          <cell r="AQ5">
            <v>2022</v>
          </cell>
          <cell r="AR5">
            <v>2023</v>
          </cell>
          <cell r="AS5">
            <v>2024</v>
          </cell>
          <cell r="AT5">
            <v>2025</v>
          </cell>
          <cell r="AU5">
            <v>2026</v>
          </cell>
          <cell r="AV5">
            <v>2027</v>
          </cell>
          <cell r="AW5">
            <v>2028</v>
          </cell>
          <cell r="AX5">
            <v>2029</v>
          </cell>
          <cell r="AY5">
            <v>2030</v>
          </cell>
          <cell r="AZ5">
            <v>2031</v>
          </cell>
          <cell r="BA5">
            <v>2032</v>
          </cell>
          <cell r="BB5">
            <v>2033</v>
          </cell>
          <cell r="BC5">
            <v>2034</v>
          </cell>
        </row>
        <row r="6">
          <cell r="B6" t="str">
            <v>OrPopStock</v>
          </cell>
          <cell r="C6" t="str">
            <v>Or</v>
          </cell>
          <cell r="D6" t="str">
            <v>Oregon</v>
          </cell>
          <cell r="E6" t="str">
            <v>Trend (basecase)</v>
          </cell>
          <cell r="F6">
            <v>2674.306</v>
          </cell>
          <cell r="G6">
            <v>2686.1149999999998</v>
          </cell>
          <cell r="H6">
            <v>2707.4250000000002</v>
          </cell>
          <cell r="I6">
            <v>2747.9569999999999</v>
          </cell>
          <cell r="J6">
            <v>2800.471</v>
          </cell>
          <cell r="K6">
            <v>2868.6590000000001</v>
          </cell>
          <cell r="L6">
            <v>2935.9960000000001</v>
          </cell>
          <cell r="M6">
            <v>3000.55</v>
          </cell>
          <cell r="N6">
            <v>3067.395</v>
          </cell>
          <cell r="O6">
            <v>3129.1930000000002</v>
          </cell>
          <cell r="P6">
            <v>3192.0929999999998</v>
          </cell>
          <cell r="Q6">
            <v>3253.8310000000001</v>
          </cell>
          <cell r="R6">
            <v>3309.7</v>
          </cell>
          <cell r="S6">
            <v>3357.1759999999999</v>
          </cell>
          <cell r="T6">
            <v>3398.232</v>
          </cell>
          <cell r="U6">
            <v>3434.8069999999998</v>
          </cell>
          <cell r="V6">
            <v>3474.0340000000001</v>
          </cell>
          <cell r="W6">
            <v>3516.915</v>
          </cell>
          <cell r="X6">
            <v>3549.38</v>
          </cell>
          <cell r="Y6">
            <v>3576.2510000000002</v>
          </cell>
          <cell r="Z6">
            <v>3621.221</v>
          </cell>
          <cell r="AA6">
            <v>3676.88</v>
          </cell>
          <cell r="AB6">
            <v>3727.835</v>
          </cell>
          <cell r="AC6">
            <v>3773.288</v>
          </cell>
          <cell r="AD6">
            <v>3811.7179999999998</v>
          </cell>
          <cell r="AE6">
            <v>3841.4360000000001</v>
          </cell>
          <cell r="AF6">
            <v>3871.9769999999999</v>
          </cell>
          <cell r="AG6">
            <v>3903.4650000000001</v>
          </cell>
          <cell r="AH6">
            <v>3934.049</v>
          </cell>
          <cell r="AI6">
            <v>3966.8829999999998</v>
          </cell>
          <cell r="AJ6">
            <v>4002.799</v>
          </cell>
          <cell r="AK6">
            <v>4039.9940000000001</v>
          </cell>
          <cell r="AL6">
            <v>4078.125</v>
          </cell>
          <cell r="AM6">
            <v>4116.6090000000004</v>
          </cell>
          <cell r="AN6">
            <v>4154.674</v>
          </cell>
          <cell r="AO6">
            <v>4192.0780000000004</v>
          </cell>
          <cell r="AP6">
            <v>4228.7430000000004</v>
          </cell>
          <cell r="AQ6">
            <v>4264.6490000000003</v>
          </cell>
          <cell r="AR6">
            <v>4299.7920000000004</v>
          </cell>
          <cell r="AS6">
            <v>4334.1710000000003</v>
          </cell>
          <cell r="AT6">
            <v>4367.7330000000002</v>
          </cell>
          <cell r="AU6">
            <v>4400.4340000000002</v>
          </cell>
          <cell r="AV6">
            <v>4432.5820000000003</v>
          </cell>
          <cell r="AW6">
            <v>4464.3519999999999</v>
          </cell>
          <cell r="AX6">
            <v>4495.7730000000001</v>
          </cell>
          <cell r="AY6">
            <v>4526.8729999999996</v>
          </cell>
          <cell r="AZ6">
            <v>4557.6930000000002</v>
          </cell>
          <cell r="BA6">
            <v>4588.2659999999996</v>
          </cell>
          <cell r="BB6">
            <v>4618.6210000000001</v>
          </cell>
          <cell r="BC6">
            <v>4648.692</v>
          </cell>
        </row>
        <row r="7">
          <cell r="B7" t="str">
            <v>WAPopStock</v>
          </cell>
          <cell r="C7" t="str">
            <v>WA</v>
          </cell>
          <cell r="D7" t="str">
            <v>Washington</v>
          </cell>
          <cell r="E7" t="str">
            <v>Trend (basecase)</v>
          </cell>
          <cell r="F7">
            <v>4406.3850000000002</v>
          </cell>
          <cell r="G7">
            <v>4464.1899999999996</v>
          </cell>
          <cell r="H7">
            <v>4547.0309999999999</v>
          </cell>
          <cell r="I7">
            <v>4652.9070000000002</v>
          </cell>
          <cell r="J7">
            <v>4768.7150000000001</v>
          </cell>
          <cell r="K7">
            <v>4915.9459999999999</v>
          </cell>
          <cell r="L7">
            <v>5043.0330000000004</v>
          </cell>
          <cell r="M7">
            <v>5174.2219999999998</v>
          </cell>
          <cell r="N7">
            <v>5289.3639999999996</v>
          </cell>
          <cell r="O7">
            <v>5388.8370000000004</v>
          </cell>
          <cell r="P7">
            <v>5490.92</v>
          </cell>
          <cell r="Q7">
            <v>5583.7539999999999</v>
          </cell>
          <cell r="R7">
            <v>5685.8310000000001</v>
          </cell>
          <cell r="S7">
            <v>5777.2370000000001</v>
          </cell>
          <cell r="T7">
            <v>5850.9089999999997</v>
          </cell>
          <cell r="U7">
            <v>5920.5039999999999</v>
          </cell>
          <cell r="V7">
            <v>5993.451</v>
          </cell>
          <cell r="W7">
            <v>6057.85</v>
          </cell>
          <cell r="X7">
            <v>6114.7939999999999</v>
          </cell>
          <cell r="Y7">
            <v>6188.66</v>
          </cell>
          <cell r="Z7">
            <v>6273.5249999999996</v>
          </cell>
          <cell r="AA7">
            <v>6380.576</v>
          </cell>
          <cell r="AB7">
            <v>6474.665</v>
          </cell>
          <cell r="AC7">
            <v>6575.5370000000003</v>
          </cell>
          <cell r="AD7">
            <v>6675.0910000000003</v>
          </cell>
          <cell r="AE7">
            <v>6752.683</v>
          </cell>
          <cell r="AF7">
            <v>6830.3310000000001</v>
          </cell>
          <cell r="AG7">
            <v>6904.9059999999999</v>
          </cell>
          <cell r="AH7">
            <v>6981</v>
          </cell>
          <cell r="AI7">
            <v>7058.0010000000002</v>
          </cell>
          <cell r="AJ7">
            <v>7134.8850000000002</v>
          </cell>
          <cell r="AK7">
            <v>7210.4989999999998</v>
          </cell>
          <cell r="AL7">
            <v>7285.5159999999996</v>
          </cell>
          <cell r="AM7">
            <v>7360.0730000000003</v>
          </cell>
          <cell r="AN7">
            <v>7433.7640000000001</v>
          </cell>
          <cell r="AO7">
            <v>7506.3230000000003</v>
          </cell>
          <cell r="AP7">
            <v>7577.2960000000003</v>
          </cell>
          <cell r="AQ7">
            <v>7646.607</v>
          </cell>
          <cell r="AR7">
            <v>7714.268</v>
          </cell>
          <cell r="AS7">
            <v>7780.4369999999999</v>
          </cell>
          <cell r="AT7">
            <v>7845.4889999999996</v>
          </cell>
          <cell r="AU7">
            <v>7909.7030000000004</v>
          </cell>
          <cell r="AV7">
            <v>7973.1719999999996</v>
          </cell>
          <cell r="AW7">
            <v>8035.9170000000004</v>
          </cell>
          <cell r="AX7">
            <v>8097.9880000000003</v>
          </cell>
          <cell r="AY7">
            <v>8159.4440000000004</v>
          </cell>
          <cell r="AZ7">
            <v>8220.3349999999991</v>
          </cell>
          <cell r="BA7">
            <v>8280.7260000000006</v>
          </cell>
          <cell r="BB7">
            <v>8340.6640000000007</v>
          </cell>
          <cell r="BC7">
            <v>8400.2720000000008</v>
          </cell>
        </row>
        <row r="8">
          <cell r="B8" t="str">
            <v>IDPopStock</v>
          </cell>
          <cell r="C8" t="str">
            <v>ID</v>
          </cell>
          <cell r="D8" t="str">
            <v>Idaho</v>
          </cell>
          <cell r="E8" t="str">
            <v>Trend (basecase)</v>
          </cell>
          <cell r="F8">
            <v>993.13199999999995</v>
          </cell>
          <cell r="G8">
            <v>989.48</v>
          </cell>
          <cell r="H8">
            <v>985.447</v>
          </cell>
          <cell r="I8">
            <v>987.25800000000004</v>
          </cell>
          <cell r="J8">
            <v>997.22299999999996</v>
          </cell>
          <cell r="K8">
            <v>1016.634</v>
          </cell>
          <cell r="L8">
            <v>1045.135</v>
          </cell>
          <cell r="M8">
            <v>1076.6510000000001</v>
          </cell>
          <cell r="N8">
            <v>1113.1759999999999</v>
          </cell>
          <cell r="O8">
            <v>1148.825</v>
          </cell>
          <cell r="P8">
            <v>1180.0889999999999</v>
          </cell>
          <cell r="Q8">
            <v>1206.2</v>
          </cell>
          <cell r="R8">
            <v>1231.357</v>
          </cell>
          <cell r="S8">
            <v>1255.1849999999999</v>
          </cell>
          <cell r="T8">
            <v>1278.7760000000001</v>
          </cell>
          <cell r="U8">
            <v>1301.894</v>
          </cell>
          <cell r="V8">
            <v>1322.481</v>
          </cell>
          <cell r="W8">
            <v>1343.3820000000001</v>
          </cell>
          <cell r="X8">
            <v>1367.23</v>
          </cell>
          <cell r="Y8">
            <v>1396.7929999999999</v>
          </cell>
          <cell r="Z8">
            <v>1433.46</v>
          </cell>
          <cell r="AA8">
            <v>1472.8989999999999</v>
          </cell>
          <cell r="AB8">
            <v>1508.2539999999999</v>
          </cell>
          <cell r="AC8">
            <v>1536.239</v>
          </cell>
          <cell r="AD8">
            <v>1556.479</v>
          </cell>
          <cell r="AE8">
            <v>1572.4290000000001</v>
          </cell>
          <cell r="AF8">
            <v>1585.2860000000001</v>
          </cell>
          <cell r="AG8">
            <v>1597.952</v>
          </cell>
          <cell r="AH8">
            <v>1614.3810000000001</v>
          </cell>
          <cell r="AI8">
            <v>1633.1020000000001</v>
          </cell>
          <cell r="AJ8">
            <v>1653.616</v>
          </cell>
          <cell r="AK8">
            <v>1675.2660000000001</v>
          </cell>
          <cell r="AL8">
            <v>1698.1659999999999</v>
          </cell>
          <cell r="AM8">
            <v>1722.0160000000001</v>
          </cell>
          <cell r="AN8">
            <v>1746.183</v>
          </cell>
          <cell r="AO8">
            <v>1770.4179999999999</v>
          </cell>
          <cell r="AP8">
            <v>1794.69</v>
          </cell>
          <cell r="AQ8">
            <v>1818.9970000000001</v>
          </cell>
          <cell r="AR8">
            <v>1843.36</v>
          </cell>
          <cell r="AS8">
            <v>1867.77</v>
          </cell>
          <cell r="AT8">
            <v>1892.2149999999999</v>
          </cell>
          <cell r="AU8">
            <v>1916.6949999999999</v>
          </cell>
          <cell r="AV8">
            <v>1941.2059999999999</v>
          </cell>
          <cell r="AW8">
            <v>1965.741</v>
          </cell>
          <cell r="AX8">
            <v>1990.2360000000001</v>
          </cell>
          <cell r="AY8">
            <v>2014.665</v>
          </cell>
          <cell r="AZ8">
            <v>2039.0309999999999</v>
          </cell>
          <cell r="BA8">
            <v>2063.33</v>
          </cell>
          <cell r="BB8">
            <v>2087.5639999999999</v>
          </cell>
          <cell r="BC8">
            <v>2111.7449999999999</v>
          </cell>
        </row>
        <row r="9">
          <cell r="B9" t="str">
            <v>MTPopStock</v>
          </cell>
          <cell r="C9" t="str">
            <v>MT</v>
          </cell>
          <cell r="D9" t="str">
            <v>Montana</v>
          </cell>
          <cell r="E9" t="str">
            <v>Trend (basecase)</v>
          </cell>
          <cell r="F9">
            <v>820.61699999999996</v>
          </cell>
          <cell r="G9">
            <v>812.64099999999996</v>
          </cell>
          <cell r="H9">
            <v>804.69</v>
          </cell>
          <cell r="I9">
            <v>800.39700000000005</v>
          </cell>
          <cell r="J9">
            <v>799.77599999999995</v>
          </cell>
          <cell r="K9">
            <v>801.93899999999996</v>
          </cell>
          <cell r="L9">
            <v>812.08500000000004</v>
          </cell>
          <cell r="M9">
            <v>828.29399999999998</v>
          </cell>
          <cell r="N9">
            <v>846.649</v>
          </cell>
          <cell r="O9">
            <v>863.10900000000004</v>
          </cell>
          <cell r="P9">
            <v>877.40700000000004</v>
          </cell>
          <cell r="Q9">
            <v>886.32100000000003</v>
          </cell>
          <cell r="R9">
            <v>890.12</v>
          </cell>
          <cell r="S9">
            <v>893.221</v>
          </cell>
          <cell r="T9">
            <v>898.36199999999997</v>
          </cell>
          <cell r="U9">
            <v>903.97699999999998</v>
          </cell>
          <cell r="V9">
            <v>907.64300000000003</v>
          </cell>
          <cell r="W9">
            <v>912.86199999999997</v>
          </cell>
          <cell r="X9">
            <v>921.07</v>
          </cell>
          <cell r="Y9">
            <v>931.24400000000003</v>
          </cell>
          <cell r="Z9">
            <v>941.82</v>
          </cell>
          <cell r="AA9">
            <v>954.14599999999996</v>
          </cell>
          <cell r="AB9">
            <v>966.13900000000001</v>
          </cell>
          <cell r="AC9">
            <v>977.09500000000003</v>
          </cell>
          <cell r="AD9">
            <v>984.86599999999999</v>
          </cell>
          <cell r="AE9">
            <v>991.57600000000002</v>
          </cell>
          <cell r="AF9">
            <v>998.63499999999999</v>
          </cell>
          <cell r="AG9">
            <v>1006.807</v>
          </cell>
          <cell r="AH9">
            <v>1016.352</v>
          </cell>
          <cell r="AI9">
            <v>1025.7760000000001</v>
          </cell>
          <cell r="AJ9">
            <v>1034.779</v>
          </cell>
          <cell r="AK9">
            <v>1043.723</v>
          </cell>
          <cell r="AL9">
            <v>1052.69</v>
          </cell>
          <cell r="AM9">
            <v>1061.3920000000001</v>
          </cell>
          <cell r="AN9">
            <v>1069.5709999999999</v>
          </cell>
          <cell r="AO9">
            <v>1077.162</v>
          </cell>
          <cell r="AP9">
            <v>1084.1869999999999</v>
          </cell>
          <cell r="AQ9">
            <v>1090.6420000000001</v>
          </cell>
          <cell r="AR9">
            <v>1096.5219999999999</v>
          </cell>
          <cell r="AS9">
            <v>1101.83</v>
          </cell>
          <cell r="AT9">
            <v>1106.683</v>
          </cell>
          <cell r="AU9">
            <v>1111.384</v>
          </cell>
          <cell r="AV9">
            <v>1115.998</v>
          </cell>
          <cell r="AW9">
            <v>1120.511</v>
          </cell>
          <cell r="AX9">
            <v>1124.9100000000001</v>
          </cell>
          <cell r="AY9">
            <v>1129.1980000000001</v>
          </cell>
          <cell r="AZ9">
            <v>1133.386</v>
          </cell>
          <cell r="BA9">
            <v>1137.4849999999999</v>
          </cell>
          <cell r="BB9">
            <v>1141.509</v>
          </cell>
          <cell r="BC9">
            <v>1145.4690000000001</v>
          </cell>
        </row>
        <row r="10">
          <cell r="B10" t="str">
            <v>RegionPopStock</v>
          </cell>
          <cell r="C10" t="str">
            <v>Region</v>
          </cell>
          <cell r="D10" t="str">
            <v>Region (with WMT only)</v>
          </cell>
          <cell r="E10" t="str">
            <v>Trend (basecase)</v>
          </cell>
          <cell r="F10">
            <v>8541.5746899999995</v>
          </cell>
          <cell r="G10">
            <v>8602.9903699999995</v>
          </cell>
          <cell r="H10">
            <v>8698.5763000000006</v>
          </cell>
          <cell r="I10">
            <v>8844.3482899999999</v>
          </cell>
          <cell r="J10">
            <v>9022.2813200000001</v>
          </cell>
          <cell r="K10">
            <v>9258.3442299999988</v>
          </cell>
          <cell r="L10">
            <v>9487.052450000001</v>
          </cell>
          <cell r="M10">
            <v>9723.550580000001</v>
          </cell>
          <cell r="N10">
            <v>9952.5249299999996</v>
          </cell>
          <cell r="O10">
            <v>10158.827130000001</v>
          </cell>
          <cell r="P10">
            <v>10363.223989999999</v>
          </cell>
          <cell r="Q10">
            <v>10548.98797</v>
          </cell>
          <cell r="R10">
            <v>10734.256399999998</v>
          </cell>
          <cell r="S10">
            <v>10898.733969999999</v>
          </cell>
          <cell r="T10">
            <v>11039.983339999999</v>
          </cell>
          <cell r="U10">
            <v>11172.471890000001</v>
          </cell>
          <cell r="V10">
            <v>11307.32251</v>
          </cell>
          <cell r="W10">
            <v>11438.47834</v>
          </cell>
          <cell r="X10">
            <v>11556.4139</v>
          </cell>
          <cell r="Y10">
            <v>11692.513080000001</v>
          </cell>
          <cell r="Z10">
            <v>11865.043399999999</v>
          </cell>
          <cell r="AA10">
            <v>12074.218219999999</v>
          </cell>
          <cell r="AB10">
            <v>12261.453230000001</v>
          </cell>
          <cell r="AC10">
            <v>12442.00815</v>
          </cell>
          <cell r="AD10">
            <v>12604.661620000001</v>
          </cell>
          <cell r="AE10">
            <v>12731.74632</v>
          </cell>
          <cell r="AF10">
            <v>12856.81595</v>
          </cell>
          <cell r="AG10">
            <v>12980.202989999998</v>
          </cell>
          <cell r="AH10">
            <v>13108.750639999998</v>
          </cell>
          <cell r="AI10">
            <v>13242.678320000001</v>
          </cell>
          <cell r="AJ10">
            <v>13381.124030000001</v>
          </cell>
          <cell r="AK10">
            <v>13520.68111</v>
          </cell>
          <cell r="AL10">
            <v>13661.840299999998</v>
          </cell>
          <cell r="AM10">
            <v>13803.691440000001</v>
          </cell>
          <cell r="AN10">
            <v>13944.276469999999</v>
          </cell>
          <cell r="AO10">
            <v>14082.801340000002</v>
          </cell>
          <cell r="AP10">
            <v>14218.715590000002</v>
          </cell>
          <cell r="AQ10">
            <v>14351.918940000001</v>
          </cell>
          <cell r="AR10">
            <v>14482.437540000003</v>
          </cell>
          <cell r="AS10">
            <v>14610.4211</v>
          </cell>
          <cell r="AT10">
            <v>14736.24631</v>
          </cell>
          <cell r="AU10">
            <v>14860.320880000001</v>
          </cell>
          <cell r="AV10">
            <v>14983.078860000001</v>
          </cell>
          <cell r="AW10">
            <v>15104.70127</v>
          </cell>
          <cell r="AX10">
            <v>15225.195700000002</v>
          </cell>
          <cell r="AY10">
            <v>15344.62486</v>
          </cell>
          <cell r="AZ10">
            <v>15463.089019999998</v>
          </cell>
          <cell r="BA10">
            <v>15580.68845</v>
          </cell>
          <cell r="BB10">
            <v>15697.50913</v>
          </cell>
          <cell r="BC10">
            <v>15813.626329999999</v>
          </cell>
        </row>
      </sheetData>
      <sheetData sheetId="17"/>
      <sheetData sheetId="18"/>
      <sheetData sheetId="19">
        <row r="3">
          <cell r="H3">
            <v>1996</v>
          </cell>
        </row>
      </sheetData>
      <sheetData sheetId="20">
        <row r="3">
          <cell r="H3">
            <v>2018</v>
          </cell>
        </row>
        <row r="4">
          <cell r="H4">
            <v>14023.216425344392</v>
          </cell>
        </row>
      </sheetData>
      <sheetData sheetId="21">
        <row r="3">
          <cell r="H3">
            <v>2018</v>
          </cell>
        </row>
        <row r="4">
          <cell r="H4">
            <v>14023.216425344392</v>
          </cell>
        </row>
      </sheetData>
      <sheetData sheetId="22">
        <row r="4">
          <cell r="H4">
            <v>2021</v>
          </cell>
        </row>
      </sheetData>
      <sheetData sheetId="23">
        <row r="4">
          <cell r="H4">
            <v>2021</v>
          </cell>
        </row>
      </sheetData>
      <sheetData sheetId="24">
        <row r="4">
          <cell r="H4">
            <v>2021</v>
          </cell>
        </row>
      </sheetData>
      <sheetData sheetId="25"/>
      <sheetData sheetId="26"/>
      <sheetData sheetId="27"/>
      <sheetData sheetId="28"/>
      <sheetData sheetId="29"/>
      <sheetData sheetId="3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harlie Grist" refreshedDate="42006.464808564815" createdVersion="3" refreshedVersion="3" minRefreshableVersion="3" recordCount="507">
  <cacheSource type="worksheet">
    <worksheetSource name="Table1349"/>
  </cacheSource>
  <cacheFields count="10">
    <cacheField name="ENERGY STAR Partner" numFmtId="49">
      <sharedItems/>
    </cacheField>
    <cacheField name="Brand" numFmtId="49">
      <sharedItems count="51">
        <s v="Origins"/>
        <s v="Alpine"/>
        <s v="Aurora"/>
        <s v="Feel Well"/>
        <s v="Avanti"/>
        <s v="Clover"/>
        <s v="Clover; AQUVERSE"/>
        <s v="Cuisinart"/>
        <s v="Cuisinart Baby"/>
        <s v="Crystal Mountain"/>
        <s v="CRYSTAL QUEST"/>
        <s v="Electrotemp"/>
        <s v="Black and Decker"/>
        <s v="GLACIAL"/>
        <s v="VIVA"/>
        <s v="Sharp"/>
        <s v="FilterPro"/>
        <s v="IGO"/>
        <s v="GE Profile"/>
        <s v="GE"/>
        <s v="Profile"/>
        <s v="Polar"/>
        <s v="Greenway"/>
        <s v="Watermaxx"/>
        <s v="Vitapur"/>
        <s v="Presidents Choice"/>
        <s v="Garrison"/>
        <s v="Haier"/>
        <s v="Hyundai"/>
        <s v="LITTLE LUXURY"/>
        <s v="Whirlpool"/>
        <s v="Kool Tek"/>
        <s v="Ion"/>
        <s v="NESTLE"/>
        <s v="HICON"/>
        <s v="Oasis"/>
        <s v="Primo"/>
        <s v="Interpure"/>
        <s v="Generation 3"/>
        <s v="QIDI"/>
        <s v="Quench 720"/>
        <s v="VERTEX"/>
        <s v="MTN"/>
        <s v="MTN Inspiration"/>
        <s v="MTN Reflection"/>
        <s v="MTN Vision"/>
        <s v="Water Solutions (Hong Kong) Limited"/>
        <s v="Waterlogic"/>
        <s v="Culligan"/>
        <s v="Innowave"/>
        <s v="Aquaria"/>
      </sharedItems>
    </cacheField>
    <cacheField name="Model Name" numFmtId="49">
      <sharedItems containsBlank="1"/>
    </cacheField>
    <cacheField name="Model Number" numFmtId="49">
      <sharedItems/>
    </cacheField>
    <cacheField name="Additional Model Information" numFmtId="49">
      <sharedItems containsBlank="1"/>
    </cacheField>
    <cacheField name="Product Type" numFmtId="49">
      <sharedItems count="3">
        <s v="Hot and Cold Unit"/>
        <s v="Cook and Cold Unit"/>
        <s v="Cold Only Unit"/>
      </sharedItems>
    </cacheField>
    <cacheField name="Water Source" numFmtId="49">
      <sharedItems containsBlank="1" count="3">
        <m/>
        <s v="Bottled Water"/>
        <s v="Point Of Use (Tap Water Source)"/>
      </sharedItems>
    </cacheField>
    <cacheField name="Standby Energy Consumption (kWh/day)" numFmtId="2">
      <sharedItems containsSemiMixedTypes="0" containsString="0" containsNumber="1" minValue="0.04" maxValue="1.2"/>
    </cacheField>
    <cacheField name="Date Available On Market" numFmtId="173">
      <sharedItems containsNonDate="0" containsDate="1" containsString="0" containsBlank="1" minDate="2003-01-01T00:00:00" maxDate="2012-06-27T00:00:00"/>
    </cacheField>
    <cacheField name="Date Qualified" numFmtId="173">
      <sharedItems containsSemiMixedTypes="0" containsNonDate="0" containsDate="1" containsString="0" minDate="2002-10-01T00:00:00" maxDate="2012-10-03T00:00:00"/>
    </cacheField>
  </cacheFields>
</pivotCacheDefinition>
</file>

<file path=xl/pivotCache/pivotCacheRecords1.xml><?xml version="1.0" encoding="utf-8"?>
<pivotCacheRecords xmlns="http://schemas.openxmlformats.org/spreadsheetml/2006/main" xmlns:r="http://schemas.openxmlformats.org/officeDocument/2006/relationships" count="507">
  <r>
    <s v="Aerus LLC"/>
    <x v="0"/>
    <m/>
    <s v="W175A"/>
    <m/>
    <x v="0"/>
    <x v="0"/>
    <n v="1.1599999999999999"/>
    <d v="2011-01-04T00:00:00"/>
    <d v="2010-11-11T00:00:00"/>
  </r>
  <r>
    <s v="Alpine Coolers"/>
    <x v="1"/>
    <m/>
    <s v="3001"/>
    <m/>
    <x v="0"/>
    <x v="0"/>
    <n v="1.0189999999999999"/>
    <d v="2010-06-22T00:00:00"/>
    <d v="2010-07-13T00:00:00"/>
  </r>
  <r>
    <s v="Alpine Coolers"/>
    <x v="2"/>
    <m/>
    <s v="3001"/>
    <m/>
    <x v="0"/>
    <x v="0"/>
    <n v="1.0189999999999999"/>
    <d v="2010-06-22T00:00:00"/>
    <d v="2010-07-13T00:00:00"/>
  </r>
  <r>
    <s v="Alpine Coolers"/>
    <x v="3"/>
    <m/>
    <s v="3001"/>
    <m/>
    <x v="0"/>
    <x v="0"/>
    <n v="1.0189999999999999"/>
    <d v="2010-06-22T00:00:00"/>
    <d v="2010-07-13T00:00:00"/>
  </r>
  <r>
    <s v="Alpine Coolers"/>
    <x v="3"/>
    <m/>
    <s v="3001-OZ"/>
    <m/>
    <x v="0"/>
    <x v="0"/>
    <n v="1.028"/>
    <d v="2010-07-12T00:00:00"/>
    <d v="2010-08-13T00:00:00"/>
  </r>
  <r>
    <s v="Alpine Coolers"/>
    <x v="3"/>
    <m/>
    <s v="3001-UV"/>
    <m/>
    <x v="0"/>
    <x v="0"/>
    <n v="1.0289999999999999"/>
    <d v="2010-07-14T00:00:00"/>
    <d v="2010-08-13T00:00:00"/>
  </r>
  <r>
    <s v="Alpine Coolers"/>
    <x v="1"/>
    <m/>
    <s v="3000"/>
    <m/>
    <x v="0"/>
    <x v="0"/>
    <n v="1.0469999999999999"/>
    <d v="2010-06-22T00:00:00"/>
    <d v="2010-07-13T00:00:00"/>
  </r>
  <r>
    <s v="Alpine Coolers"/>
    <x v="2"/>
    <m/>
    <s v="3000"/>
    <m/>
    <x v="0"/>
    <x v="0"/>
    <n v="1.0469999999999999"/>
    <d v="2010-06-22T00:00:00"/>
    <d v="2010-07-13T00:00:00"/>
  </r>
  <r>
    <s v="Alpine Coolers"/>
    <x v="3"/>
    <m/>
    <s v="3000"/>
    <m/>
    <x v="0"/>
    <x v="0"/>
    <n v="1.0469999999999999"/>
    <d v="2010-06-22T00:00:00"/>
    <d v="2010-07-13T00:00:00"/>
  </r>
  <r>
    <s v="Alpine Coolers"/>
    <x v="3"/>
    <m/>
    <s v="3000-OZ"/>
    <m/>
    <x v="0"/>
    <x v="0"/>
    <n v="1.056"/>
    <d v="2010-07-06T00:00:00"/>
    <d v="2010-08-13T00:00:00"/>
  </r>
  <r>
    <s v="Alpine Coolers"/>
    <x v="3"/>
    <m/>
    <s v="3000-UV"/>
    <m/>
    <x v="0"/>
    <x v="0"/>
    <n v="1.0569999999999999"/>
    <d v="2010-07-08T00:00:00"/>
    <d v="2010-08-13T00:00:00"/>
  </r>
  <r>
    <s v="Avanti Products"/>
    <x v="4"/>
    <m/>
    <s v="WDP75"/>
    <m/>
    <x v="0"/>
    <x v="0"/>
    <n v="0.69199999999999995"/>
    <m/>
    <d v="2010-10-06T00:00:00"/>
  </r>
  <r>
    <s v="Avanti Products"/>
    <x v="4"/>
    <m/>
    <s v="WHC59"/>
    <m/>
    <x v="0"/>
    <x v="0"/>
    <n v="0.95"/>
    <d v="2003-04-01T00:00:00"/>
    <d v="2003-04-01T00:00:00"/>
  </r>
  <r>
    <s v="Clover Co., Ltd."/>
    <x v="5"/>
    <m/>
    <s v="B14B"/>
    <m/>
    <x v="1"/>
    <x v="0"/>
    <n v="0.15"/>
    <m/>
    <d v="2008-09-30T00:00:00"/>
  </r>
  <r>
    <s v="Clover Co., Ltd."/>
    <x v="5"/>
    <m/>
    <s v="B5C"/>
    <m/>
    <x v="1"/>
    <x v="0"/>
    <n v="0.15"/>
    <d v="2009-01-01T00:00:00"/>
    <d v="2009-01-27T00:00:00"/>
  </r>
  <r>
    <s v="Clover Co., Ltd."/>
    <x v="5"/>
    <m/>
    <s v="B7B"/>
    <m/>
    <x v="1"/>
    <x v="0"/>
    <n v="0.15"/>
    <m/>
    <d v="2008-09-30T00:00:00"/>
  </r>
  <r>
    <s v="Clover Co., Ltd."/>
    <x v="5"/>
    <m/>
    <s v="SB5C"/>
    <m/>
    <x v="1"/>
    <x v="0"/>
    <n v="0.15"/>
    <d v="2009-01-01T00:00:00"/>
    <d v="2009-01-27T00:00:00"/>
  </r>
  <r>
    <s v="Clover Co., Ltd."/>
    <x v="5"/>
    <m/>
    <s v="B10B"/>
    <m/>
    <x v="1"/>
    <x v="0"/>
    <n v="0.155"/>
    <d v="2009-01-01T00:00:00"/>
    <d v="2009-01-27T00:00:00"/>
  </r>
  <r>
    <s v="Clover Co., Ltd."/>
    <x v="5"/>
    <m/>
    <s v="B9B"/>
    <m/>
    <x v="1"/>
    <x v="0"/>
    <n v="0.155"/>
    <d v="2009-01-01T00:00:00"/>
    <d v="2009-01-27T00:00:00"/>
  </r>
  <r>
    <s v="Clover Co., Ltd."/>
    <x v="5"/>
    <s v="B11A"/>
    <s v="B11A"/>
    <m/>
    <x v="0"/>
    <x v="1"/>
    <n v="1.1000000000000001"/>
    <d v="2011-11-20T00:00:00"/>
    <d v="2012-06-25T00:00:00"/>
  </r>
  <r>
    <s v="Clover Co., Ltd."/>
    <x v="5"/>
    <s v="D14A"/>
    <s v="D14A"/>
    <m/>
    <x v="0"/>
    <x v="2"/>
    <n v="1.1000000000000001"/>
    <d v="2012-03-01T00:00:00"/>
    <d v="2012-06-25T00:00:00"/>
  </r>
  <r>
    <s v="Clover Co., Ltd."/>
    <x v="5"/>
    <m/>
    <s v="B14A"/>
    <m/>
    <x v="0"/>
    <x v="0"/>
    <n v="1.1499999999999999"/>
    <d v="2008-09-01T00:00:00"/>
    <d v="2008-09-02T00:00:00"/>
  </r>
  <r>
    <s v="Clover Co., Ltd."/>
    <x v="5"/>
    <m/>
    <s v="B7A"/>
    <m/>
    <x v="0"/>
    <x v="0"/>
    <n v="1.1499999999999999"/>
    <d v="2008-09-01T00:00:00"/>
    <d v="2008-09-02T00:00:00"/>
  </r>
  <r>
    <s v="Clover Co., Ltd."/>
    <x v="6"/>
    <s v="D17A0"/>
    <s v="D17A0"/>
    <s v="5PH,5PH,"/>
    <x v="0"/>
    <x v="1"/>
    <n v="1.19"/>
    <d v="2012-03-01T00:00:00"/>
    <d v="2012-06-26T00:00:00"/>
  </r>
  <r>
    <s v="Clover Co., Ltd."/>
    <x v="5"/>
    <s v="B17A0"/>
    <s v="B17A0"/>
    <m/>
    <x v="0"/>
    <x v="1"/>
    <n v="1.2"/>
    <d v="2011-11-20T00:00:00"/>
    <d v="2012-06-25T00:00:00"/>
  </r>
  <r>
    <s v="Conair Corporation"/>
    <x v="7"/>
    <m/>
    <s v="WCH1500"/>
    <m/>
    <x v="0"/>
    <x v="0"/>
    <n v="1.18"/>
    <d v="2010-06-08T00:00:00"/>
    <d v="2010-06-08T00:00:00"/>
  </r>
  <r>
    <s v="Conair Corporation"/>
    <x v="8"/>
    <m/>
    <s v="WCH1500BY"/>
    <m/>
    <x v="0"/>
    <x v="0"/>
    <n v="1.18"/>
    <d v="2010-09-10T00:00:00"/>
    <d v="2010-06-18T00:00:00"/>
  </r>
  <r>
    <s v="Crystal Mountain Products Limited"/>
    <x v="9"/>
    <s v="Glacier"/>
    <s v="GLED2KTK1AC"/>
    <m/>
    <x v="1"/>
    <x v="0"/>
    <n v="0.106"/>
    <d v="2008-03-01T00:00:00"/>
    <d v="2008-04-14T00:00:00"/>
  </r>
  <r>
    <s v="Crystal Mountain Products Limited"/>
    <x v="9"/>
    <s v="Glacier"/>
    <s v="GLEC2WTW1AC"/>
    <m/>
    <x v="1"/>
    <x v="0"/>
    <n v="0.106"/>
    <d v="2008-01-01T00:00:00"/>
    <d v="2008-02-04T00:00:00"/>
  </r>
  <r>
    <s v="Crystal Mountain Products Limited"/>
    <x v="9"/>
    <s v="Glacier"/>
    <s v="GLED2RTR1AC"/>
    <m/>
    <x v="1"/>
    <x v="0"/>
    <n v="0.106"/>
    <d v="2008-01-01T00:00:00"/>
    <d v="2008-02-04T00:00:00"/>
  </r>
  <r>
    <s v="Crystal Mountain Products Limited"/>
    <x v="9"/>
    <s v="Glacier"/>
    <s v="GLED2WTW1AC"/>
    <m/>
    <x v="1"/>
    <x v="0"/>
    <n v="0.106"/>
    <d v="2008-01-01T00:00:00"/>
    <d v="2008-02-04T00:00:00"/>
  </r>
  <r>
    <s v="Crystal Mountain Products Limited"/>
    <x v="9"/>
    <s v="Summit"/>
    <s v="SUED2STS1AC"/>
    <m/>
    <x v="1"/>
    <x v="0"/>
    <n v="0.106"/>
    <d v="2008-01-01T00:00:00"/>
    <d v="2008-02-04T00:00:00"/>
  </r>
  <r>
    <s v="Crystal Mountain Products Limited"/>
    <x v="9"/>
    <s v="ESED2*T*2#C"/>
    <s v="The first &quot;*&quot; may be any alphanumeric character(A-Z or 0-9"/>
    <s v="&quot;#&quot; may be any alphanumeric characters,A-Z or 0-9,; The second &quot;*&quot; may be any alphanumeric character,A-Z or 0-9,"/>
    <x v="1"/>
    <x v="1"/>
    <n v="0.12"/>
    <d v="2010-02-01T00:00:00"/>
    <d v="2012-06-25T00:00:00"/>
  </r>
  <r>
    <s v="Crystal Mountain Products Limited"/>
    <x v="9"/>
    <s v="Glacier"/>
    <s v="GLSC2WTW1AC"/>
    <m/>
    <x v="1"/>
    <x v="0"/>
    <n v="0.13100000000000001"/>
    <d v="2008-03-01T00:00:00"/>
    <d v="2008-04-14T00:00:00"/>
  </r>
  <r>
    <s v="Crystal Mountain Products Limited"/>
    <x v="9"/>
    <s v="Glacier"/>
    <s v="GLSD2KTK1AC"/>
    <m/>
    <x v="1"/>
    <x v="0"/>
    <n v="0.13100000000000001"/>
    <d v="2008-03-01T00:00:00"/>
    <d v="2008-04-14T00:00:00"/>
  </r>
  <r>
    <s v="Crystal Mountain Products Limited"/>
    <x v="9"/>
    <s v="Glacier"/>
    <s v="GLSD2WTW1AC"/>
    <m/>
    <x v="1"/>
    <x v="0"/>
    <n v="0.13100000000000001"/>
    <d v="2008-03-01T00:00:00"/>
    <d v="2008-04-14T00:00:00"/>
  </r>
  <r>
    <s v="Crystal Mountain Products Limited"/>
    <x v="9"/>
    <s v="Glacier"/>
    <s v="GLEG2KTK2AC"/>
    <m/>
    <x v="1"/>
    <x v="0"/>
    <n v="0.14599999999999999"/>
    <d v="2009-06-01T00:00:00"/>
    <d v="2009-05-29T00:00:00"/>
  </r>
  <r>
    <s v="Crystal Mountain Products Limited"/>
    <x v="9"/>
    <s v="Mogul"/>
    <s v="GLEG2WTW2AC"/>
    <m/>
    <x v="1"/>
    <x v="0"/>
    <n v="0.14599999999999999"/>
    <d v="2009-06-01T00:00:00"/>
    <d v="2009-05-29T00:00:00"/>
  </r>
  <r>
    <s v="Crystal Mountain Products Limited"/>
    <x v="9"/>
    <s v="Nevada"/>
    <s v="NEEG2GTB2AC"/>
    <m/>
    <x v="1"/>
    <x v="0"/>
    <n v="0.14599999999999999"/>
    <d v="2009-06-01T00:00:00"/>
    <d v="2009-05-29T00:00:00"/>
  </r>
  <r>
    <s v="Crystal Mountain Products Limited"/>
    <x v="9"/>
    <s v="Nevada"/>
    <s v="NEEG2GTL2AC"/>
    <m/>
    <x v="1"/>
    <x v="0"/>
    <n v="0.14599999999999999"/>
    <d v="2009-06-01T00:00:00"/>
    <d v="2009-05-29T00:00:00"/>
  </r>
  <r>
    <s v="Crystal Mountain Products Limited"/>
    <x v="9"/>
    <s v="Summit"/>
    <s v="SUED2STS2AC"/>
    <m/>
    <x v="1"/>
    <x v="0"/>
    <n v="0.14599999999999999"/>
    <d v="2009-06-01T00:00:00"/>
    <d v="2009-05-29T00:00:00"/>
  </r>
  <r>
    <s v="Crystal Mountain Products Limited"/>
    <x v="9"/>
    <s v="Glacier"/>
    <s v="GLSC2WHW1AC"/>
    <m/>
    <x v="0"/>
    <x v="0"/>
    <n v="0.91500000000000004"/>
    <d v="2008-03-01T00:00:00"/>
    <d v="2008-04-14T00:00:00"/>
  </r>
  <r>
    <s v="Crystal Mountain Products Limited"/>
    <x v="9"/>
    <s v="Glacier"/>
    <s v="GLSD2KHK1AC"/>
    <m/>
    <x v="0"/>
    <x v="0"/>
    <n v="0.91500000000000004"/>
    <d v="2008-03-01T00:00:00"/>
    <d v="2008-04-14T00:00:00"/>
  </r>
  <r>
    <s v="Crystal Mountain Products Limited"/>
    <x v="9"/>
    <s v="Glacier"/>
    <s v="GLSD2WHW1AC"/>
    <m/>
    <x v="0"/>
    <x v="0"/>
    <n v="0.91500000000000004"/>
    <d v="2008-03-01T00:00:00"/>
    <d v="2008-04-14T00:00:00"/>
  </r>
  <r>
    <s v="Crystal Mountain Products Limited"/>
    <x v="9"/>
    <s v="ESED2*H*1#C"/>
    <s v="ESED2*H*1#C"/>
    <m/>
    <x v="0"/>
    <x v="1"/>
    <n v="1.01"/>
    <d v="2010-02-01T00:00:00"/>
    <d v="2012-06-25T00:00:00"/>
  </r>
  <r>
    <s v="Crystal Mountain Products Limited"/>
    <x v="9"/>
    <s v="Glacier"/>
    <s v="GLEG2KHK2AC"/>
    <m/>
    <x v="0"/>
    <x v="0"/>
    <n v="1.024"/>
    <d v="2009-06-01T00:00:00"/>
    <d v="2009-05-29T00:00:00"/>
  </r>
  <r>
    <s v="Crystal Mountain Products Limited"/>
    <x v="9"/>
    <s v="Mogul"/>
    <s v="MOEG2WHW2AC"/>
    <m/>
    <x v="0"/>
    <x v="0"/>
    <n v="1.024"/>
    <d v="2009-06-01T00:00:00"/>
    <d v="2009-05-29T00:00:00"/>
  </r>
  <r>
    <s v="Crystal Mountain Products Limited"/>
    <x v="9"/>
    <s v="Nevada"/>
    <s v="NEEG2GHB2AC"/>
    <m/>
    <x v="0"/>
    <x v="0"/>
    <n v="1.024"/>
    <d v="2009-06-01T00:00:00"/>
    <d v="2009-05-29T00:00:00"/>
  </r>
  <r>
    <s v="Crystal Mountain Products Limited"/>
    <x v="9"/>
    <s v="Nevada"/>
    <s v="NEEG2GHD2AC"/>
    <m/>
    <x v="0"/>
    <x v="0"/>
    <n v="1.024"/>
    <d v="2009-06-01T00:00:00"/>
    <d v="2009-05-29T00:00:00"/>
  </r>
  <r>
    <s v="Crystal Mountain Products Limited"/>
    <x v="9"/>
    <s v="Nevada"/>
    <s v="NEEG2GHL2AC"/>
    <m/>
    <x v="0"/>
    <x v="0"/>
    <n v="1.024"/>
    <d v="2009-06-01T00:00:00"/>
    <d v="2009-05-29T00:00:00"/>
  </r>
  <r>
    <s v="Crystal Mountain Products Limited"/>
    <x v="9"/>
    <s v="Summit"/>
    <s v="SUED2SHS2AC"/>
    <m/>
    <x v="0"/>
    <x v="0"/>
    <n v="1.024"/>
    <d v="2009-06-01T00:00:00"/>
    <d v="2009-05-29T00:00:00"/>
  </r>
  <r>
    <s v="Crystal Mountain Products Limited"/>
    <x v="9"/>
    <s v="Glacier"/>
    <s v="GLEC2WHW1AC"/>
    <m/>
    <x v="0"/>
    <x v="0"/>
    <n v="1.0629999999999999"/>
    <d v="2008-01-01T00:00:00"/>
    <d v="2008-02-04T00:00:00"/>
  </r>
  <r>
    <s v="Crystal Mountain Products Limited"/>
    <x v="9"/>
    <s v="Glacier"/>
    <s v="GLED2KHK1AC"/>
    <m/>
    <x v="0"/>
    <x v="0"/>
    <n v="1.0629999999999999"/>
    <d v="2008-03-01T00:00:00"/>
    <d v="2008-04-14T00:00:00"/>
  </r>
  <r>
    <s v="Crystal Mountain Products Limited"/>
    <x v="9"/>
    <s v="Glacier"/>
    <s v="GLED2RHR1AC"/>
    <m/>
    <x v="0"/>
    <x v="0"/>
    <n v="1.0629999999999999"/>
    <d v="2008-01-01T00:00:00"/>
    <d v="2008-02-04T00:00:00"/>
  </r>
  <r>
    <s v="Crystal Mountain Products Limited"/>
    <x v="9"/>
    <s v="Glacier"/>
    <s v="GLED2WHW1AC"/>
    <m/>
    <x v="0"/>
    <x v="0"/>
    <n v="1.0629999999999999"/>
    <d v="2008-01-01T00:00:00"/>
    <d v="2008-02-04T00:00:00"/>
  </r>
  <r>
    <s v="Crystal Mountain Products Limited"/>
    <x v="9"/>
    <s v="Summit"/>
    <s v="SUED2SHS1AC"/>
    <m/>
    <x v="0"/>
    <x v="0"/>
    <n v="1.0629999999999999"/>
    <d v="2008-01-01T00:00:00"/>
    <d v="2008-02-04T00:00:00"/>
  </r>
  <r>
    <s v="Crystal Mountain Products Limited"/>
    <x v="9"/>
    <s v="ESED2*H*2#C"/>
    <s v="The first &quot;*&quot; may be any alphanumeric character(A-Z or 0-9"/>
    <s v="&quot;#&quot; may be any alphanumeric characters,A-Z or 0-9,; The second &quot;*&quot; may be any alphanumeric character,A-Z or 0-9,"/>
    <x v="0"/>
    <x v="1"/>
    <n v="1.1000000000000001"/>
    <d v="2010-02-01T00:00:00"/>
    <d v="2012-06-25T00:00:00"/>
  </r>
  <r>
    <s v="Crystal Quest Manufacturing"/>
    <x v="10"/>
    <s v="Sharp Ultrafiltration Water Cooler"/>
    <s v="CQE/WC-00909"/>
    <m/>
    <x v="0"/>
    <x v="2"/>
    <n v="0.87"/>
    <d v="2011-06-02T00:00:00"/>
    <d v="2011-06-02T00:00:00"/>
  </r>
  <r>
    <s v="Crystal Quest Manufacturing"/>
    <x v="10"/>
    <s v="Sharp Ultrafiltration Water Cooler"/>
    <s v="CQE/WC-00909"/>
    <m/>
    <x v="0"/>
    <x v="2"/>
    <n v="0.87"/>
    <d v="2011-06-22T00:00:00"/>
    <d v="2011-06-28T00:00:00"/>
  </r>
  <r>
    <s v="Crystal Quest Manufacturing"/>
    <x v="10"/>
    <s v="Turbo Ultrafiltration Water Cooler"/>
    <s v="CQE/WC-00906"/>
    <m/>
    <x v="0"/>
    <x v="2"/>
    <n v="0.99"/>
    <d v="2011-06-02T00:00:00"/>
    <d v="2011-06-02T00:00:00"/>
  </r>
  <r>
    <s v="Crystal Quest Manufacturing"/>
    <x v="10"/>
    <s v="Turbo Ultrafiltration Water Cooler"/>
    <s v="CQE/WC-00906"/>
    <m/>
    <x v="0"/>
    <x v="2"/>
    <n v="0.99"/>
    <d v="2011-06-22T00:00:00"/>
    <d v="2011-06-28T00:00:00"/>
  </r>
  <r>
    <s v="Electrotemp Technologies, Inc."/>
    <x v="11"/>
    <s v="Colorado Springs"/>
    <s v="CS-CK-300"/>
    <m/>
    <x v="2"/>
    <x v="0"/>
    <n v="9.2499999999999999E-2"/>
    <m/>
    <d v="2005-10-25T00:00:00"/>
  </r>
  <r>
    <s v="Electrotemp Technologies, Inc."/>
    <x v="12"/>
    <s v="Top Loading"/>
    <s v="7LIECK-W"/>
    <m/>
    <x v="1"/>
    <x v="0"/>
    <n v="0.13600000000000001"/>
    <d v="2010-02-27T00:00:00"/>
    <d v="2011-02-01T00:00:00"/>
  </r>
  <r>
    <s v="Electrotemp Technologies, Inc."/>
    <x v="11"/>
    <s v="Colorado Springs"/>
    <s v="CSC-CK-300"/>
    <m/>
    <x v="1"/>
    <x v="0"/>
    <n v="0.14499999999999999"/>
    <d v="2006-06-20T00:00:00"/>
    <d v="2006-07-27T00:00:00"/>
  </r>
  <r>
    <s v="Electrotemp Technologies, Inc."/>
    <x v="11"/>
    <s v="Colorado Springs"/>
    <s v="CSD-CK-300"/>
    <m/>
    <x v="1"/>
    <x v="0"/>
    <n v="0.14499999999999999"/>
    <d v="2006-06-20T00:00:00"/>
    <d v="2006-07-27T00:00:00"/>
  </r>
  <r>
    <s v="Electrotemp Technologies, Inc."/>
    <x v="11"/>
    <s v="Vail"/>
    <s v="VC-CK-400"/>
    <m/>
    <x v="1"/>
    <x v="0"/>
    <n v="0.14499999999999999"/>
    <d v="2006-06-20T00:00:00"/>
    <d v="2006-06-23T00:00:00"/>
  </r>
  <r>
    <s v="Electrotemp Technologies, Inc."/>
    <x v="11"/>
    <s v="Vail"/>
    <s v="VD-CK-400"/>
    <m/>
    <x v="1"/>
    <x v="0"/>
    <n v="0.14499999999999999"/>
    <d v="2006-06-20T00:00:00"/>
    <d v="2006-06-23T00:00:00"/>
  </r>
  <r>
    <s v="Electrotemp Technologies, Inc."/>
    <x v="12"/>
    <s v="Top Loading"/>
    <s v="7LIECK-*"/>
    <m/>
    <x v="1"/>
    <x v="1"/>
    <n v="0.15"/>
    <d v="2010-04-29T00:00:00"/>
    <d v="2012-03-12T00:00:00"/>
  </r>
  <r>
    <s v="Electrotemp Technologies, Inc."/>
    <x v="12"/>
    <s v="Top Loading"/>
    <s v="7LIECK-SC-*"/>
    <m/>
    <x v="1"/>
    <x v="1"/>
    <n v="0.15"/>
    <d v="2012-04-25T00:00:00"/>
    <d v="2012-03-12T00:00:00"/>
  </r>
  <r>
    <s v="Electrotemp Technologies, Inc."/>
    <x v="11"/>
    <s v="Top Loading"/>
    <s v="7LIECK-*"/>
    <m/>
    <x v="1"/>
    <x v="1"/>
    <n v="0.15"/>
    <d v="2012-06-05T00:00:00"/>
    <d v="2012-03-12T00:00:00"/>
  </r>
  <r>
    <s v="Electrotemp Technologies, Inc."/>
    <x v="11"/>
    <s v="Top Loading"/>
    <s v="7LIECK-SC-*"/>
    <m/>
    <x v="1"/>
    <x v="1"/>
    <n v="0.15"/>
    <d v="2012-05-10T00:00:00"/>
    <d v="2012-03-12T00:00:00"/>
  </r>
  <r>
    <s v="Electrotemp Technologies, Inc."/>
    <x v="13"/>
    <s v="Top Loading"/>
    <s v="7LIECK-*"/>
    <m/>
    <x v="1"/>
    <x v="1"/>
    <n v="0.15"/>
    <d v="2012-05-16T00:00:00"/>
    <d v="2012-03-12T00:00:00"/>
  </r>
  <r>
    <s v="Electrotemp Technologies, Inc."/>
    <x v="13"/>
    <s v="Top Loading"/>
    <s v="7LIECK-SC-*"/>
    <m/>
    <x v="1"/>
    <x v="1"/>
    <n v="0.15"/>
    <d v="2012-05-16T00:00:00"/>
    <d v="2012-03-12T00:00:00"/>
  </r>
  <r>
    <s v="Electrotemp Technologies, Inc."/>
    <x v="14"/>
    <s v="Top Loading"/>
    <s v="7LIECK-*"/>
    <m/>
    <x v="1"/>
    <x v="1"/>
    <n v="0.15"/>
    <d v="2012-05-10T00:00:00"/>
    <d v="2012-03-12T00:00:00"/>
  </r>
  <r>
    <s v="Electrotemp Technologies, Inc."/>
    <x v="14"/>
    <s v="Top Loading"/>
    <s v="7LIECK-SC-*"/>
    <m/>
    <x v="1"/>
    <x v="1"/>
    <n v="0.15"/>
    <d v="2012-05-10T00:00:00"/>
    <d v="2012-03-12T00:00:00"/>
  </r>
  <r>
    <s v="Electrotemp Technologies, Inc."/>
    <x v="11"/>
    <s v="Aspen"/>
    <s v="CK-102"/>
    <m/>
    <x v="1"/>
    <x v="0"/>
    <n v="0.152"/>
    <d v="2004-08-15T00:00:00"/>
    <d v="2004-08-25T00:00:00"/>
  </r>
  <r>
    <s v="Electrotemp Technologies, Inc."/>
    <x v="12"/>
    <s v="Bottom Loading"/>
    <s v="8LIECK-W"/>
    <m/>
    <x v="1"/>
    <x v="0"/>
    <n v="0.153"/>
    <d v="2010-02-27T00:00:00"/>
    <d v="2011-02-01T00:00:00"/>
  </r>
  <r>
    <s v="Electrotemp Technologies, Inc."/>
    <x v="12"/>
    <s v="Bottom Loader"/>
    <s v="10-001B"/>
    <m/>
    <x v="1"/>
    <x v="0"/>
    <n v="0.15490000000000001"/>
    <d v="2010-04-01T00:00:00"/>
    <d v="2010-04-02T00:00:00"/>
  </r>
  <r>
    <s v="Electrotemp Technologies, Inc."/>
    <x v="11"/>
    <s v="Colorado Springs"/>
    <s v="CS-CK-301"/>
    <m/>
    <x v="2"/>
    <x v="0"/>
    <n v="0.156"/>
    <m/>
    <d v="2005-10-25T00:00:00"/>
  </r>
  <r>
    <s v="Electrotemp Technologies, Inc."/>
    <x v="11"/>
    <s v="Colorado Springs"/>
    <s v="CSC-CH-300"/>
    <m/>
    <x v="0"/>
    <x v="0"/>
    <n v="0.68500000000000005"/>
    <d v="2006-06-20T00:00:00"/>
    <d v="2006-07-27T00:00:00"/>
  </r>
  <r>
    <s v="Electrotemp Technologies, Inc."/>
    <x v="11"/>
    <s v="Vail"/>
    <s v="VC-CHK-400"/>
    <m/>
    <x v="0"/>
    <x v="0"/>
    <n v="0.68500000000000005"/>
    <d v="2006-06-20T00:00:00"/>
    <d v="2006-06-23T00:00:00"/>
  </r>
  <r>
    <s v="Electrotemp Technologies, Inc."/>
    <x v="11"/>
    <s v="Vail"/>
    <s v="VD-CHK-400"/>
    <m/>
    <x v="0"/>
    <x v="0"/>
    <n v="0.7"/>
    <d v="2006-06-20T00:00:00"/>
    <d v="2006-06-23T00:00:00"/>
  </r>
  <r>
    <s v="Electrotemp Technologies, Inc."/>
    <x v="11"/>
    <s v="Colorado Springs"/>
    <s v="CSD-CH-300"/>
    <m/>
    <x v="0"/>
    <x v="0"/>
    <n v="0.7"/>
    <d v="2006-06-20T00:00:00"/>
    <d v="2006-07-27T00:00:00"/>
  </r>
  <r>
    <s v="Electrotemp Technologies, Inc."/>
    <x v="12"/>
    <s v="Top Loading"/>
    <s v="7LIECH-*"/>
    <m/>
    <x v="0"/>
    <x v="1"/>
    <n v="0.86"/>
    <d v="2008-01-04T00:00:00"/>
    <d v="2012-03-12T00:00:00"/>
  </r>
  <r>
    <s v="Electrotemp Technologies, Inc."/>
    <x v="12"/>
    <s v="Top Loading"/>
    <s v="7LIECH-SC-*"/>
    <m/>
    <x v="0"/>
    <x v="1"/>
    <n v="0.86"/>
    <d v="2012-04-25T00:00:00"/>
    <d v="2012-03-12T00:00:00"/>
  </r>
  <r>
    <s v="Electrotemp Technologies, Inc."/>
    <x v="11"/>
    <s v="Top Loading"/>
    <s v="7LIECH-*"/>
    <m/>
    <x v="0"/>
    <x v="1"/>
    <n v="0.86"/>
    <d v="2008-07-05T00:00:00"/>
    <d v="2012-03-12T00:00:00"/>
  </r>
  <r>
    <s v="Electrotemp Technologies, Inc."/>
    <x v="11"/>
    <s v="Top Loading"/>
    <s v="7LIECH-SC-*"/>
    <m/>
    <x v="0"/>
    <x v="1"/>
    <n v="0.86"/>
    <d v="2012-05-10T00:00:00"/>
    <d v="2012-03-12T00:00:00"/>
  </r>
  <r>
    <s v="Electrotemp Technologies, Inc."/>
    <x v="13"/>
    <s v="Top Loading"/>
    <s v="7LIECH-*"/>
    <m/>
    <x v="0"/>
    <x v="1"/>
    <n v="0.86"/>
    <d v="2012-05-16T00:00:00"/>
    <d v="2012-03-12T00:00:00"/>
  </r>
  <r>
    <s v="Electrotemp Technologies, Inc."/>
    <x v="13"/>
    <s v="Top Loading"/>
    <s v="7LIECH-SC-*"/>
    <m/>
    <x v="0"/>
    <x v="1"/>
    <n v="0.86"/>
    <d v="2012-05-16T00:00:00"/>
    <d v="2012-03-12T00:00:00"/>
  </r>
  <r>
    <s v="Electrotemp Technologies, Inc."/>
    <x v="14"/>
    <s v="Top Loading"/>
    <s v="7LIECH-*"/>
    <m/>
    <x v="0"/>
    <x v="1"/>
    <n v="0.86"/>
    <d v="2012-05-10T00:00:00"/>
    <d v="2012-03-12T00:00:00"/>
  </r>
  <r>
    <s v="Electrotemp Technologies, Inc."/>
    <x v="14"/>
    <s v="Top Loading"/>
    <s v="7LIECH-SC-*"/>
    <m/>
    <x v="0"/>
    <x v="1"/>
    <n v="0.86"/>
    <d v="2012-05-10T00:00:00"/>
    <d v="2012-03-12T00:00:00"/>
  </r>
  <r>
    <s v="Electrotemp Technologies, Inc."/>
    <x v="12"/>
    <s v="Bottom Loader"/>
    <s v="10-030A"/>
    <m/>
    <x v="0"/>
    <x v="0"/>
    <n v="0.88519999999999999"/>
    <d v="2010-04-01T00:00:00"/>
    <d v="2010-04-02T00:00:00"/>
  </r>
  <r>
    <s v="Electrotemp Technologies, Inc."/>
    <x v="11"/>
    <s v="Colorado Springs"/>
    <s v="CS-CH-310"/>
    <m/>
    <x v="0"/>
    <x v="0"/>
    <n v="0.9"/>
    <m/>
    <d v="2005-10-25T00:00:00"/>
  </r>
  <r>
    <s v="Electrotemp Technologies, Inc."/>
    <x v="12"/>
    <s v="Bottom Loading"/>
    <s v="10-024"/>
    <m/>
    <x v="0"/>
    <x v="0"/>
    <n v="0.94450000000000001"/>
    <m/>
    <d v="2010-10-22T00:00:00"/>
  </r>
  <r>
    <s v="Electrotemp Technologies, Inc."/>
    <x v="12"/>
    <s v="Bottom Loading"/>
    <s v="8LIECH-BP"/>
    <m/>
    <x v="0"/>
    <x v="0"/>
    <n v="0.94450000000000001"/>
    <m/>
    <d v="2010-10-22T00:00:00"/>
  </r>
  <r>
    <s v="Electrotemp Technologies, Inc."/>
    <x v="12"/>
    <s v="Bottom Loading"/>
    <s v="8LIECH-BP-Z"/>
    <m/>
    <x v="0"/>
    <x v="0"/>
    <n v="0.94450000000000001"/>
    <m/>
    <d v="2010-10-22T00:00:00"/>
  </r>
  <r>
    <s v="Electrotemp Technologies, Inc."/>
    <x v="12"/>
    <s v="Bottom Loading"/>
    <s v="8LIECH-SSF-DCOS"/>
    <m/>
    <x v="0"/>
    <x v="0"/>
    <n v="0.94450000000000001"/>
    <m/>
    <d v="2010-10-22T00:00:00"/>
  </r>
  <r>
    <s v="Electrotemp Technologies, Inc."/>
    <x v="14"/>
    <s v="Bottom Loading"/>
    <s v="8LIECH-SSF-COSUS"/>
    <m/>
    <x v="0"/>
    <x v="0"/>
    <n v="0.94450000000000001"/>
    <d v="2010-02-20T00:00:00"/>
    <d v="2011-02-01T00:00:00"/>
  </r>
  <r>
    <s v="Electrotemp Technologies, Inc."/>
    <x v="12"/>
    <s v="Top Loading"/>
    <s v="7LIECH-SSF"/>
    <m/>
    <x v="0"/>
    <x v="0"/>
    <n v="0.98429999999999995"/>
    <d v="2010-02-27T00:00:00"/>
    <d v="2011-02-01T00:00:00"/>
  </r>
  <r>
    <s v="Electrotemp Technologies, Inc."/>
    <x v="12"/>
    <s v="Bottom Loading"/>
    <s v="8LDIECH-*"/>
    <m/>
    <x v="0"/>
    <x v="1"/>
    <n v="1.05"/>
    <d v="2008-04-15T00:00:00"/>
    <d v="2012-03-12T00:00:00"/>
  </r>
  <r>
    <s v="Electrotemp Technologies, Inc."/>
    <x v="12"/>
    <s v="Bottom Loading"/>
    <s v="8LDIECH-SC-*"/>
    <m/>
    <x v="0"/>
    <x v="1"/>
    <n v="1.05"/>
    <d v="2012-04-26T00:00:00"/>
    <d v="2012-03-12T00:00:00"/>
  </r>
  <r>
    <s v="Electrotemp Technologies, Inc."/>
    <x v="12"/>
    <s v="Bottom Loading"/>
    <s v="8LIECH-*"/>
    <m/>
    <x v="0"/>
    <x v="1"/>
    <n v="1.05"/>
    <d v="2010-03-04T00:00:00"/>
    <d v="2012-03-12T00:00:00"/>
  </r>
  <r>
    <s v="Electrotemp Technologies, Inc."/>
    <x v="12"/>
    <s v="Bottom Loading"/>
    <s v="8LIECH-SC-*"/>
    <m/>
    <x v="0"/>
    <x v="1"/>
    <n v="1.05"/>
    <d v="2012-04-26T00:00:00"/>
    <d v="2012-03-12T00:00:00"/>
  </r>
  <r>
    <s v="Electrotemp Technologies, Inc."/>
    <x v="12"/>
    <s v="Bottom Loading"/>
    <s v="8LIECH-SCD-*"/>
    <m/>
    <x v="0"/>
    <x v="1"/>
    <n v="1.05"/>
    <d v="2012-04-28T00:00:00"/>
    <d v="2012-03-12T00:00:00"/>
  </r>
  <r>
    <s v="Electrotemp Technologies, Inc."/>
    <x v="11"/>
    <s v="Bottom Loading"/>
    <s v="8LDIECH-*"/>
    <m/>
    <x v="0"/>
    <x v="1"/>
    <n v="1.05"/>
    <d v="2012-06-26T00:00:00"/>
    <d v="2012-03-12T00:00:00"/>
  </r>
  <r>
    <s v="Electrotemp Technologies, Inc."/>
    <x v="11"/>
    <s v="Bottom Loading"/>
    <s v="8LDIECH-SC-*"/>
    <m/>
    <x v="0"/>
    <x v="1"/>
    <n v="1.05"/>
    <d v="2012-04-26T00:00:00"/>
    <d v="2012-03-12T00:00:00"/>
  </r>
  <r>
    <s v="Electrotemp Technologies, Inc."/>
    <x v="11"/>
    <s v="Bottom Loading"/>
    <s v="8LIECH-*"/>
    <m/>
    <x v="0"/>
    <x v="1"/>
    <n v="1.05"/>
    <d v="2008-06-17T00:00:00"/>
    <d v="2012-03-12T00:00:00"/>
  </r>
  <r>
    <s v="Electrotemp Technologies, Inc."/>
    <x v="11"/>
    <s v="Bottom Loading"/>
    <s v="8LIECH-SC-*"/>
    <m/>
    <x v="0"/>
    <x v="1"/>
    <n v="1.05"/>
    <d v="2012-04-17T00:00:00"/>
    <d v="2012-03-12T00:00:00"/>
  </r>
  <r>
    <s v="Electrotemp Technologies, Inc."/>
    <x v="11"/>
    <s v="Bottom Loading"/>
    <s v="8LIECH-SCD-*"/>
    <m/>
    <x v="0"/>
    <x v="1"/>
    <n v="1.05"/>
    <d v="2012-04-26T00:00:00"/>
    <d v="2012-03-12T00:00:00"/>
  </r>
  <r>
    <s v="Electrotemp Technologies, Inc."/>
    <x v="13"/>
    <s v="Bottom Loading"/>
    <s v="8LDIECH-*"/>
    <m/>
    <x v="0"/>
    <x v="1"/>
    <n v="1.05"/>
    <d v="2012-02-05T00:00:00"/>
    <d v="2012-03-12T00:00:00"/>
  </r>
  <r>
    <s v="Electrotemp Technologies, Inc."/>
    <x v="13"/>
    <s v="Bottom Loading"/>
    <s v="8LDIECH-SC-*"/>
    <m/>
    <x v="0"/>
    <x v="1"/>
    <n v="1.05"/>
    <d v="2012-02-05T00:00:00"/>
    <d v="2012-03-12T00:00:00"/>
  </r>
  <r>
    <s v="Electrotemp Technologies, Inc."/>
    <x v="13"/>
    <s v="Bottom Loading"/>
    <s v="8LIECH-*"/>
    <m/>
    <x v="0"/>
    <x v="1"/>
    <n v="1.05"/>
    <d v="2012-02-05T00:00:00"/>
    <d v="2012-03-12T00:00:00"/>
  </r>
  <r>
    <s v="Electrotemp Technologies, Inc."/>
    <x v="13"/>
    <s v="Bottom Loading"/>
    <s v="8LIECH-SC-*"/>
    <m/>
    <x v="0"/>
    <x v="1"/>
    <n v="1.05"/>
    <d v="2012-02-05T00:00:00"/>
    <d v="2012-03-12T00:00:00"/>
  </r>
  <r>
    <s v="Electrotemp Technologies, Inc."/>
    <x v="13"/>
    <s v="Bottom Loading"/>
    <s v="8LIECH-SCD-*"/>
    <m/>
    <x v="0"/>
    <x v="1"/>
    <n v="1.05"/>
    <d v="2012-02-05T00:00:00"/>
    <d v="2012-03-12T00:00:00"/>
  </r>
  <r>
    <s v="Electrotemp Technologies, Inc."/>
    <x v="15"/>
    <s v="Top Loading"/>
    <s v="SWD-T620-SS"/>
    <m/>
    <x v="0"/>
    <x v="1"/>
    <n v="1.05"/>
    <d v="2012-05-31T00:00:00"/>
    <d v="2012-03-12T00:00:00"/>
  </r>
  <r>
    <s v="Electrotemp Technologies, Inc."/>
    <x v="14"/>
    <s v="Bottom Loading"/>
    <s v="8LDIECH-*"/>
    <m/>
    <x v="0"/>
    <x v="1"/>
    <n v="1.05"/>
    <d v="2012-04-28T00:00:00"/>
    <d v="2012-03-12T00:00:00"/>
  </r>
  <r>
    <s v="Electrotemp Technologies, Inc."/>
    <x v="14"/>
    <s v="Bottom Loading"/>
    <s v="8LDIECH-SC-*"/>
    <m/>
    <x v="0"/>
    <x v="1"/>
    <n v="1.05"/>
    <d v="2012-04-28T00:00:00"/>
    <d v="2012-03-12T00:00:00"/>
  </r>
  <r>
    <s v="Electrotemp Technologies, Inc."/>
    <x v="14"/>
    <s v="Bottom Loading"/>
    <s v="8LIECH-*"/>
    <m/>
    <x v="0"/>
    <x v="1"/>
    <n v="1.05"/>
    <d v="2011-02-15T00:00:00"/>
    <d v="2012-03-12T00:00:00"/>
  </r>
  <r>
    <s v="Electrotemp Technologies, Inc."/>
    <x v="14"/>
    <s v="Bottom Loading"/>
    <s v="8LIECH-SC-*"/>
    <m/>
    <x v="0"/>
    <x v="1"/>
    <n v="1.05"/>
    <d v="2012-04-28T00:00:00"/>
    <d v="2012-03-12T00:00:00"/>
  </r>
  <r>
    <s v="Electrotemp Technologies, Inc."/>
    <x v="14"/>
    <s v="Bottom Loading"/>
    <s v="8LIECH-SCD-*"/>
    <m/>
    <x v="0"/>
    <x v="1"/>
    <n v="1.05"/>
    <d v="2012-04-28T00:00:00"/>
    <d v="2012-03-12T00:00:00"/>
  </r>
  <r>
    <s v="Electrotemp Technologies, Inc."/>
    <x v="11"/>
    <s v="Colorado Springs"/>
    <s v="CS-CH-311"/>
    <m/>
    <x v="0"/>
    <x v="0"/>
    <n v="1.0900000000000001"/>
    <m/>
    <d v="2005-10-25T00:00:00"/>
  </r>
  <r>
    <s v="Electrotemp Technologies, Inc."/>
    <x v="11"/>
    <s v="Mont Blanc"/>
    <s v="CH-1000"/>
    <m/>
    <x v="0"/>
    <x v="0"/>
    <n v="1.1000000000000001"/>
    <d v="2003-01-01T00:00:00"/>
    <d v="2002-10-01T00:00:00"/>
  </r>
  <r>
    <s v="Electrotemp Technologies, Inc."/>
    <x v="11"/>
    <s v="Mont Blanc"/>
    <s v="CHK-1000"/>
    <m/>
    <x v="0"/>
    <x v="0"/>
    <n v="1.1000000000000001"/>
    <d v="2003-01-01T00:00:00"/>
    <d v="2002-10-01T00:00:00"/>
  </r>
  <r>
    <s v="Electrotemp Technologies, Inc."/>
    <x v="15"/>
    <s v="Top Loading"/>
    <s v="SWD-50DH-WH"/>
    <m/>
    <x v="0"/>
    <x v="1"/>
    <n v="1.1000000000000001"/>
    <d v="2011-10-04T00:00:00"/>
    <d v="2012-03-12T00:00:00"/>
  </r>
  <r>
    <s v="Electrotemp Technologies, Inc."/>
    <x v="12"/>
    <s v="Bottom Loading"/>
    <s v="8LCHK-*"/>
    <m/>
    <x v="0"/>
    <x v="1"/>
    <n v="1.1299999999999999"/>
    <d v="2010-04-20T00:00:00"/>
    <d v="2012-03-12T00:00:00"/>
  </r>
  <r>
    <s v="Electrotemp Technologies, Inc."/>
    <x v="12"/>
    <s v="Bottom Loading"/>
    <s v="8LDIECHK-*"/>
    <m/>
    <x v="0"/>
    <x v="1"/>
    <n v="1.1299999999999999"/>
    <d v="2010-04-15T00:00:00"/>
    <d v="2012-03-12T00:00:00"/>
  </r>
  <r>
    <s v="Electrotemp Technologies, Inc."/>
    <x v="12"/>
    <s v="Bottom Loading"/>
    <s v="8LDIECHK-SC-*"/>
    <m/>
    <x v="0"/>
    <x v="1"/>
    <n v="1.1299999999999999"/>
    <d v="2012-04-19T00:00:00"/>
    <d v="2012-03-12T00:00:00"/>
  </r>
  <r>
    <s v="Electrotemp Technologies, Inc."/>
    <x v="12"/>
    <s v="Bottom Loading"/>
    <s v="8LIECHK-*"/>
    <m/>
    <x v="0"/>
    <x v="1"/>
    <n v="1.1299999999999999"/>
    <d v="2010-02-04T00:00:00"/>
    <d v="2012-03-12T00:00:00"/>
  </r>
  <r>
    <s v="Electrotemp Technologies, Inc."/>
    <x v="12"/>
    <s v="Bottom Loading"/>
    <s v="8LIECHK-SC-*"/>
    <m/>
    <x v="0"/>
    <x v="1"/>
    <n v="1.1299999999999999"/>
    <d v="2012-04-29T00:00:00"/>
    <d v="2012-03-12T00:00:00"/>
  </r>
  <r>
    <s v="Electrotemp Technologies, Inc."/>
    <x v="12"/>
    <s v="Bottom Loading"/>
    <s v="8LIECHK-SCD-*"/>
    <m/>
    <x v="0"/>
    <x v="1"/>
    <n v="1.1299999999999999"/>
    <d v="2012-05-25T00:00:00"/>
    <d v="2012-03-12T00:00:00"/>
  </r>
  <r>
    <s v="Electrotemp Technologies, Inc."/>
    <x v="11"/>
    <s v="Bottom Loading"/>
    <s v="8LCHK-*"/>
    <m/>
    <x v="0"/>
    <x v="1"/>
    <n v="1.1299999999999999"/>
    <d v="2008-12-06T00:00:00"/>
    <d v="2012-03-12T00:00:00"/>
  </r>
  <r>
    <s v="Electrotemp Technologies, Inc."/>
    <x v="11"/>
    <s v="Bottom Loading"/>
    <s v="8LDIECHK-*"/>
    <m/>
    <x v="0"/>
    <x v="1"/>
    <n v="1.1299999999999999"/>
    <d v="2008-06-28T00:00:00"/>
    <d v="2012-03-12T00:00:00"/>
  </r>
  <r>
    <s v="Electrotemp Technologies, Inc."/>
    <x v="11"/>
    <s v="Bottom Loading"/>
    <s v="8LDIECHK-SC-*"/>
    <m/>
    <x v="0"/>
    <x v="1"/>
    <n v="1.1299999999999999"/>
    <d v="2012-04-27T00:00:00"/>
    <d v="2012-03-12T00:00:00"/>
  </r>
  <r>
    <s v="Electrotemp Technologies, Inc."/>
    <x v="11"/>
    <s v="Bottom Loading"/>
    <s v="8LIECHK-*"/>
    <m/>
    <x v="0"/>
    <x v="1"/>
    <n v="1.1299999999999999"/>
    <d v="2008-06-26T00:00:00"/>
    <d v="2012-03-12T00:00:00"/>
  </r>
  <r>
    <s v="Electrotemp Technologies, Inc."/>
    <x v="11"/>
    <s v="Bottom Loading"/>
    <s v="8LIECHK-SC-*"/>
    <m/>
    <x v="0"/>
    <x v="1"/>
    <n v="1.1299999999999999"/>
    <d v="2012-04-28T00:00:00"/>
    <d v="2012-03-12T00:00:00"/>
  </r>
  <r>
    <s v="Electrotemp Technologies, Inc."/>
    <x v="11"/>
    <s v="Bottom Loading"/>
    <s v="8LIECHK-SCD-*"/>
    <m/>
    <x v="0"/>
    <x v="1"/>
    <n v="1.1299999999999999"/>
    <d v="2012-04-28T00:00:00"/>
    <d v="2012-03-12T00:00:00"/>
  </r>
  <r>
    <s v="Electrotemp Technologies, Inc."/>
    <x v="11"/>
    <s v="Aspen"/>
    <s v="CH-102"/>
    <m/>
    <x v="0"/>
    <x v="0"/>
    <n v="1.1299999999999999"/>
    <d v="2003-01-01T00:00:00"/>
    <d v="2002-10-01T00:00:00"/>
  </r>
  <r>
    <s v="Electrotemp Technologies, Inc."/>
    <x v="11"/>
    <s v="Aspen"/>
    <s v="CHK-102"/>
    <m/>
    <x v="0"/>
    <x v="0"/>
    <n v="1.1299999999999999"/>
    <d v="2003-01-01T00:00:00"/>
    <d v="2002-10-01T00:00:00"/>
  </r>
  <r>
    <s v="Electrotemp Technologies, Inc."/>
    <x v="13"/>
    <s v="Bottom Loading"/>
    <s v="8LCHK-*"/>
    <m/>
    <x v="0"/>
    <x v="1"/>
    <n v="1.1299999999999999"/>
    <d v="2012-02-05T00:00:00"/>
    <d v="2012-03-12T00:00:00"/>
  </r>
  <r>
    <s v="Electrotemp Technologies, Inc."/>
    <x v="13"/>
    <s v="Bottom Loading"/>
    <s v="8LDIECHK-*"/>
    <m/>
    <x v="0"/>
    <x v="1"/>
    <n v="1.1299999999999999"/>
    <d v="2012-02-05T00:00:00"/>
    <d v="2012-03-12T00:00:00"/>
  </r>
  <r>
    <s v="Electrotemp Technologies, Inc."/>
    <x v="13"/>
    <s v="Bottom Loading"/>
    <s v="8LDIECHK-SC-*"/>
    <m/>
    <x v="0"/>
    <x v="1"/>
    <n v="1.1299999999999999"/>
    <d v="2012-02-05T00:00:00"/>
    <d v="2012-03-12T00:00:00"/>
  </r>
  <r>
    <s v="Electrotemp Technologies, Inc."/>
    <x v="13"/>
    <s v="Bottom Loading"/>
    <s v="8LIECHK-*"/>
    <m/>
    <x v="0"/>
    <x v="1"/>
    <n v="1.1299999999999999"/>
    <d v="2012-02-05T00:00:00"/>
    <d v="2012-03-12T00:00:00"/>
  </r>
  <r>
    <s v="Electrotemp Technologies, Inc."/>
    <x v="13"/>
    <s v="Bottom Loading"/>
    <s v="8LIECHK-SC-*"/>
    <m/>
    <x v="0"/>
    <x v="1"/>
    <n v="1.1299999999999999"/>
    <d v="2012-02-05T00:00:00"/>
    <d v="2012-03-12T00:00:00"/>
  </r>
  <r>
    <s v="Electrotemp Technologies, Inc."/>
    <x v="13"/>
    <s v="Bottom Loading"/>
    <s v="8LIECHK-SCD-*"/>
    <m/>
    <x v="0"/>
    <x v="1"/>
    <n v="1.1299999999999999"/>
    <d v="2012-02-05T00:00:00"/>
    <d v="2012-03-12T00:00:00"/>
  </r>
  <r>
    <s v="Electrotemp Technologies, Inc."/>
    <x v="15"/>
    <s v="Bottom Loading"/>
    <s v="SWD-65EH-GB"/>
    <m/>
    <x v="0"/>
    <x v="1"/>
    <n v="1.1299999999999999"/>
    <d v="2011-08-04T00:00:00"/>
    <d v="2012-03-12T00:00:00"/>
  </r>
  <r>
    <s v="Electrotemp Technologies, Inc."/>
    <x v="15"/>
    <s v="Bottom Loading"/>
    <s v="SWD-70EH-BK"/>
    <m/>
    <x v="0"/>
    <x v="1"/>
    <n v="1.1299999999999999"/>
    <d v="2011-02-04T00:00:00"/>
    <d v="2012-03-12T00:00:00"/>
  </r>
  <r>
    <s v="Electrotemp Technologies, Inc."/>
    <x v="15"/>
    <s v="Bottom Loading"/>
    <s v="SWD-70EHL-SL"/>
    <m/>
    <x v="0"/>
    <x v="1"/>
    <n v="1.1299999999999999"/>
    <d v="2012-04-26T00:00:00"/>
    <d v="2012-03-12T00:00:00"/>
  </r>
  <r>
    <s v="Electrotemp Technologies, Inc."/>
    <x v="15"/>
    <s v="Bottom Loading"/>
    <s v="SWD-70EH-WH"/>
    <m/>
    <x v="0"/>
    <x v="1"/>
    <n v="1.1299999999999999"/>
    <d v="2011-07-04T00:00:00"/>
    <d v="2012-03-12T00:00:00"/>
  </r>
  <r>
    <s v="Electrotemp Technologies, Inc."/>
    <x v="15"/>
    <s v="Bottom Loading"/>
    <s v="SWD-H810-SL"/>
    <m/>
    <x v="0"/>
    <x v="1"/>
    <n v="1.1299999999999999"/>
    <d v="2012-04-27T00:00:00"/>
    <d v="2012-03-12T00:00:00"/>
  </r>
  <r>
    <s v="Electrotemp Technologies, Inc."/>
    <x v="15"/>
    <s v="Bottom Loading"/>
    <s v="SWD-H820D-SS"/>
    <m/>
    <x v="0"/>
    <x v="1"/>
    <n v="1.1299999999999999"/>
    <d v="2012-04-28T00:00:00"/>
    <d v="2012-03-12T00:00:00"/>
  </r>
  <r>
    <s v="Electrotemp Technologies, Inc."/>
    <x v="15"/>
    <s v="Top Loading"/>
    <s v="SWD-T600-W"/>
    <m/>
    <x v="0"/>
    <x v="1"/>
    <n v="1.1299999999999999"/>
    <d v="2012-03-05T00:00:00"/>
    <d v="2012-03-12T00:00:00"/>
  </r>
  <r>
    <s v="Electrotemp Technologies, Inc."/>
    <x v="15"/>
    <s v="Top Loading"/>
    <s v="SWD-T610-SL"/>
    <m/>
    <x v="0"/>
    <x v="1"/>
    <n v="1.1299999999999999"/>
    <d v="2012-02-05T00:00:00"/>
    <d v="2012-03-12T00:00:00"/>
  </r>
  <r>
    <s v="Electrotemp Technologies, Inc."/>
    <x v="14"/>
    <s v="Bottom Loading"/>
    <s v="8LCHK-*"/>
    <m/>
    <x v="0"/>
    <x v="1"/>
    <n v="1.1299999999999999"/>
    <d v="2012-04-28T00:00:00"/>
    <d v="2012-03-12T00:00:00"/>
  </r>
  <r>
    <s v="Electrotemp Technologies, Inc."/>
    <x v="14"/>
    <s v="Bottom Loading"/>
    <s v="8LDIECHK-*"/>
    <m/>
    <x v="0"/>
    <x v="1"/>
    <n v="1.1299999999999999"/>
    <d v="2012-04-28T00:00:00"/>
    <d v="2012-03-12T00:00:00"/>
  </r>
  <r>
    <s v="Electrotemp Technologies, Inc."/>
    <x v="14"/>
    <s v="Bottom Loading"/>
    <s v="8LDIECHK-SC-*"/>
    <m/>
    <x v="0"/>
    <x v="1"/>
    <n v="1.1299999999999999"/>
    <d v="2012-04-28T00:00:00"/>
    <d v="2012-03-12T00:00:00"/>
  </r>
  <r>
    <s v="Electrotemp Technologies, Inc."/>
    <x v="14"/>
    <s v="Bottom Loading"/>
    <s v="8LIECHK-*"/>
    <m/>
    <x v="0"/>
    <x v="1"/>
    <n v="1.1299999999999999"/>
    <d v="2012-04-28T00:00:00"/>
    <d v="2012-03-12T00:00:00"/>
  </r>
  <r>
    <s v="Electrotemp Technologies, Inc."/>
    <x v="14"/>
    <s v="Bottom Loading"/>
    <s v="8LIECHK-SC-*"/>
    <m/>
    <x v="0"/>
    <x v="1"/>
    <n v="1.1299999999999999"/>
    <d v="2012-04-28T00:00:00"/>
    <d v="2012-03-12T00:00:00"/>
  </r>
  <r>
    <s v="Electrotemp Technologies, Inc."/>
    <x v="14"/>
    <s v="Bottom Loading"/>
    <s v="8LIECHK-SCD-*"/>
    <m/>
    <x v="0"/>
    <x v="1"/>
    <n v="1.1299999999999999"/>
    <d v="2012-04-28T00:00:00"/>
    <d v="2012-03-12T00:00:00"/>
  </r>
  <r>
    <s v="Electrotemp Technologies, Inc."/>
    <x v="15"/>
    <s v="Top Loading"/>
    <s v="SWD-T700-W"/>
    <m/>
    <x v="0"/>
    <x v="1"/>
    <n v="1.1499999999999999"/>
    <d v="2012-04-30T00:00:00"/>
    <d v="2012-03-12T00:00:00"/>
  </r>
  <r>
    <s v="Electrotemp Technologies, Inc."/>
    <x v="15"/>
    <s v="Top Loading"/>
    <s v="SWD-T710-SL"/>
    <m/>
    <x v="0"/>
    <x v="1"/>
    <n v="1.1499999999999999"/>
    <d v="2012-04-29T00:00:00"/>
    <d v="2012-03-12T00:00:00"/>
  </r>
  <r>
    <s v="Electrotemp Technologies, Inc."/>
    <x v="15"/>
    <s v="Bottom Loading"/>
    <s v="SWD-75EHL-BD"/>
    <m/>
    <x v="0"/>
    <x v="1"/>
    <n v="1.1599999999999999"/>
    <d v="2011-05-04T00:00:00"/>
    <d v="2012-03-12T00:00:00"/>
  </r>
  <r>
    <s v="FilterPro (Zhongshan) Environmental Protection LLC"/>
    <x v="16"/>
    <s v="PWS-2000HCcde1gh"/>
    <s v="PWS-2000HCcde1gh"/>
    <m/>
    <x v="0"/>
    <x v="2"/>
    <n v="0.93"/>
    <d v="2011-12-08T00:00:00"/>
    <d v="2012-06-25T00:00:00"/>
  </r>
  <r>
    <s v="Formosa Prosonic Equipment Sdn Bhd"/>
    <x v="17"/>
    <s v="F323"/>
    <s v="F323K (compressor: CD124C-L1ZA)"/>
    <m/>
    <x v="1"/>
    <x v="0"/>
    <n v="0.153"/>
    <m/>
    <d v="2009-04-20T00:00:00"/>
  </r>
  <r>
    <s v="Formosa Prosonic Equipment Sdn Bhd"/>
    <x v="17"/>
    <s v="F528"/>
    <s v="F528K (compressor: CD124C-L1ZA)"/>
    <m/>
    <x v="1"/>
    <x v="0"/>
    <n v="0.153"/>
    <d v="2009-04-20T00:00:00"/>
    <d v="2009-04-20T00:00:00"/>
  </r>
  <r>
    <s v="Formosa Prosonic Equipment Sdn Bhd"/>
    <x v="17"/>
    <s v="F323"/>
    <s v="F323K (compressor: CD124C-L1Z2)"/>
    <m/>
    <x v="1"/>
    <x v="0"/>
    <n v="0.155"/>
    <m/>
    <d v="2009-04-20T00:00:00"/>
  </r>
  <r>
    <s v="Formosa Prosonic Equipment Sdn Bhd"/>
    <x v="17"/>
    <s v="F528"/>
    <s v="F528K (compressor CD124C-L1Z2)"/>
    <m/>
    <x v="1"/>
    <x v="0"/>
    <n v="0.155"/>
    <m/>
    <d v="2009-04-20T00:00:00"/>
  </r>
  <r>
    <s v="Formosa Prosonic Equipment Sdn Bhd"/>
    <x v="17"/>
    <s v="F323"/>
    <s v="F323K (compressor: AES 25 DS)"/>
    <m/>
    <x v="1"/>
    <x v="0"/>
    <n v="0.156"/>
    <m/>
    <d v="2009-04-20T00:00:00"/>
  </r>
  <r>
    <s v="Formosa Prosonic Equipment Sdn Bhd"/>
    <x v="17"/>
    <s v="F528"/>
    <s v="F528K (compressor AES 25 DS)"/>
    <m/>
    <x v="1"/>
    <x v="0"/>
    <n v="0.156"/>
    <m/>
    <d v="2009-04-20T00:00:00"/>
  </r>
  <r>
    <s v="Formosa Prosonic Equipment Sdn Bhd"/>
    <x v="17"/>
    <s v="F323"/>
    <s v="F323H (compressor: AES 25 DS)"/>
    <m/>
    <x v="0"/>
    <x v="0"/>
    <n v="1.0129999999999999"/>
    <m/>
    <d v="2009-06-03T00:00:00"/>
  </r>
  <r>
    <s v="Formosa Prosonic Equipment Sdn Bhd"/>
    <x v="17"/>
    <s v="F528"/>
    <s v="F528H (compressor:AES 25 DS)"/>
    <m/>
    <x v="0"/>
    <x v="0"/>
    <n v="1.0129999999999999"/>
    <m/>
    <d v="2009-06-03T00:00:00"/>
  </r>
  <r>
    <s v="Formosa Prosonic Equipment Sdn Bhd"/>
    <x v="17"/>
    <s v="Exclusive"/>
    <s v="F828H"/>
    <m/>
    <x v="0"/>
    <x v="0"/>
    <n v="1.097"/>
    <m/>
    <d v="2010-10-12T00:00:00"/>
  </r>
  <r>
    <s v="Formosa Prosonic Equipment Sdn Bhd"/>
    <x v="17"/>
    <s v="F323"/>
    <s v="F323H (compressor: CD124C- L1ZA)"/>
    <m/>
    <x v="0"/>
    <x v="0"/>
    <n v="1.145"/>
    <m/>
    <d v="2009-06-03T00:00:00"/>
  </r>
  <r>
    <s v="Formosa Prosonic Equipment Sdn Bhd"/>
    <x v="17"/>
    <s v="F528"/>
    <s v="F528H (Compressor: CD124C-L1ZA)"/>
    <m/>
    <x v="0"/>
    <x v="0"/>
    <n v="1.145"/>
    <m/>
    <d v="2009-06-03T00:00:00"/>
  </r>
  <r>
    <s v="Formosa Prosonic Equipment Sdn Bhd"/>
    <x v="17"/>
    <s v="F323"/>
    <s v="F323H (compressor: CD124C-L1Z2)"/>
    <m/>
    <x v="0"/>
    <x v="0"/>
    <n v="1.1890000000000001"/>
    <m/>
    <d v="2009-06-03T00:00:00"/>
  </r>
  <r>
    <s v="Formosa Prosonic Equipment Sdn Bhd"/>
    <x v="17"/>
    <s v="F528"/>
    <s v="F528H (compressor: CD124C-L1Z2)"/>
    <m/>
    <x v="0"/>
    <x v="0"/>
    <n v="1.1890000000000001"/>
    <m/>
    <d v="2009-06-03T00:00:00"/>
  </r>
  <r>
    <s v="Foshan Shunde Midea Water Dispenser Manufacturing Co.,LTD"/>
    <x v="18"/>
    <m/>
    <s v="PXCP33SSS"/>
    <m/>
    <x v="0"/>
    <x v="0"/>
    <n v="1.1499999999999999"/>
    <d v="2010-10-01T00:00:00"/>
    <d v="2010-06-24T00:00:00"/>
  </r>
  <r>
    <s v="Foshan Shunde Midea Water Dispenser Manufacturing Co.,LTD"/>
    <x v="19"/>
    <s v="GXCF"/>
    <s v="GXCF05DC"/>
    <m/>
    <x v="0"/>
    <x v="0"/>
    <n v="1.1779999999999999"/>
    <d v="2010-12-01T00:00:00"/>
    <d v="2011-01-18T00:00:00"/>
  </r>
  <r>
    <s v="Foshan Shunde Midea Water Dispenser Manufacturing Co.,LTD"/>
    <x v="19"/>
    <s v="GXCF"/>
    <s v="GXCF05D"/>
    <m/>
    <x v="0"/>
    <x v="0"/>
    <n v="1.18"/>
    <d v="2010-12-01T00:00:00"/>
    <d v="2011-01-18T00:00:00"/>
  </r>
  <r>
    <s v="GE Appliances and Lighting"/>
    <x v="19"/>
    <s v="GXCF"/>
    <s v="GXCF03KWW"/>
    <m/>
    <x v="1"/>
    <x v="0"/>
    <n v="0.16"/>
    <d v="2007-05-01T00:00:00"/>
    <d v="2007-02-28T00:00:00"/>
  </r>
  <r>
    <s v="GE Appliances and Lighting"/>
    <x v="20"/>
    <s v="PXCF"/>
    <s v="PXCF22RBS"/>
    <m/>
    <x v="0"/>
    <x v="0"/>
    <n v="1.04"/>
    <d v="2008-06-01T00:00:00"/>
    <d v="2008-04-14T00:00:00"/>
  </r>
  <r>
    <s v="GE Appliances and Lighting"/>
    <x v="19"/>
    <s v="GXCF"/>
    <s v="GXCF05D"/>
    <m/>
    <x v="0"/>
    <x v="0"/>
    <n v="1.08"/>
    <d v="2007-11-01T00:00:00"/>
    <d v="2007-08-22T00:00:00"/>
  </r>
  <r>
    <s v="GE Appliances and Lighting"/>
    <x v="18"/>
    <s v="PXCR"/>
    <s v="PXCR33KSS"/>
    <m/>
    <x v="0"/>
    <x v="0"/>
    <n v="1.1599999999999999"/>
    <d v="2007-11-01T00:00:00"/>
    <d v="2007-08-22T00:00:00"/>
  </r>
  <r>
    <s v="Greenway Home Products Inc."/>
    <x v="21"/>
    <s v="Water Cooler"/>
    <s v="PWD1005BLS"/>
    <m/>
    <x v="0"/>
    <x v="1"/>
    <n v="0.15"/>
    <d v="2012-01-01T00:00:00"/>
    <d v="2012-04-09T00:00:00"/>
  </r>
  <r>
    <s v="Greenway Home Products Inc."/>
    <x v="22"/>
    <m/>
    <s v="VWD5906W"/>
    <m/>
    <x v="1"/>
    <x v="0"/>
    <n v="0.1515"/>
    <d v="2007-05-15T00:00:00"/>
    <d v="2007-05-02T00:00:00"/>
  </r>
  <r>
    <s v="Greenway Home Products Inc."/>
    <x v="22"/>
    <m/>
    <s v="VWD5206W"/>
    <m/>
    <x v="1"/>
    <x v="0"/>
    <n v="0.15720000000000001"/>
    <d v="2007-05-15T00:00:00"/>
    <d v="2007-05-02T00:00:00"/>
  </r>
  <r>
    <s v="Greenway Home Products Inc."/>
    <x v="23"/>
    <m/>
    <s v="WWD224W"/>
    <m/>
    <x v="1"/>
    <x v="0"/>
    <n v="0.159"/>
    <d v="2007-06-25T00:00:00"/>
    <d v="2007-06-25T00:00:00"/>
  </r>
  <r>
    <s v="Greenway Home Products Inc."/>
    <x v="21"/>
    <s v="Water Cooler"/>
    <s v="PWD6445BLS"/>
    <m/>
    <x v="0"/>
    <x v="1"/>
    <n v="0.17"/>
    <d v="2012-01-01T00:00:00"/>
    <d v="2012-04-09T00:00:00"/>
  </r>
  <r>
    <s v="Greenway Home Products Inc."/>
    <x v="24"/>
    <s v="Water Cooler"/>
    <s v="VWD1066BLS"/>
    <m/>
    <x v="0"/>
    <x v="1"/>
    <n v="0.19"/>
    <d v="2012-03-26T00:00:00"/>
    <d v="2012-04-09T00:00:00"/>
  </r>
  <r>
    <s v="Greenway Home Products Inc."/>
    <x v="24"/>
    <s v="Water Cooler"/>
    <s v="VWD5446BLS"/>
    <m/>
    <x v="0"/>
    <x v="1"/>
    <n v="0.19"/>
    <d v="2011-11-15T00:00:00"/>
    <d v="2011-12-23T00:00:00"/>
  </r>
  <r>
    <s v="Greenway Home Products Inc."/>
    <x v="22"/>
    <m/>
    <s v="GWD6960BLS"/>
    <m/>
    <x v="0"/>
    <x v="0"/>
    <n v="0.31109999999999999"/>
    <d v="2007-06-25T00:00:00"/>
    <d v="2007-06-25T00:00:00"/>
  </r>
  <r>
    <s v="Greenway Home Products Inc."/>
    <x v="25"/>
    <m/>
    <s v="PC-6B"/>
    <m/>
    <x v="0"/>
    <x v="0"/>
    <n v="0.31109999999999999"/>
    <d v="2007-06-25T00:00:00"/>
    <d v="2007-06-25T00:00:00"/>
  </r>
  <r>
    <s v="Greenway Home Products Inc."/>
    <x v="24"/>
    <m/>
    <s v="VWD6956BLS"/>
    <m/>
    <x v="0"/>
    <x v="0"/>
    <n v="0.31109999999999999"/>
    <d v="2007-06-25T00:00:00"/>
    <d v="2007-06-25T00:00:00"/>
  </r>
  <r>
    <s v="Greenway Home Products Inc."/>
    <x v="24"/>
    <m/>
    <s v="VWD5276BLK"/>
    <m/>
    <x v="0"/>
    <x v="0"/>
    <n v="0.31530000000000002"/>
    <d v="2007-06-25T00:00:00"/>
    <d v="2007-06-25T00:00:00"/>
  </r>
  <r>
    <s v="Greenway Home Products Inc."/>
    <x v="24"/>
    <m/>
    <s v="VWD5276W"/>
    <m/>
    <x v="0"/>
    <x v="0"/>
    <n v="0.31530000000000002"/>
    <d v="2007-06-25T00:00:00"/>
    <d v="2007-06-25T00:00:00"/>
  </r>
  <r>
    <s v="Greenway Home Products Inc."/>
    <x v="21"/>
    <m/>
    <s v="PWD5975BLS"/>
    <m/>
    <x v="0"/>
    <x v="0"/>
    <n v="0.32600000000000001"/>
    <d v="2007-06-25T00:00:00"/>
    <d v="2007-06-25T00:00:00"/>
  </r>
  <r>
    <s v="Greenway Home Products Inc."/>
    <x v="21"/>
    <m/>
    <s v="PWD5975W"/>
    <m/>
    <x v="0"/>
    <x v="0"/>
    <n v="0.32600000000000001"/>
    <d v="2007-06-25T00:00:00"/>
    <d v="2007-06-25T00:00:00"/>
  </r>
  <r>
    <s v="Greenway Home Products Inc."/>
    <x v="22"/>
    <m/>
    <s v="GWD5960BLS"/>
    <m/>
    <x v="0"/>
    <x v="0"/>
    <n v="0.33"/>
    <d v="2007-06-25T00:00:00"/>
    <d v="2007-06-25T00:00:00"/>
  </r>
  <r>
    <s v="Greenway Home Products Inc."/>
    <x v="22"/>
    <m/>
    <s v="GWD5960W"/>
    <m/>
    <x v="0"/>
    <x v="0"/>
    <n v="0.33"/>
    <d v="2007-06-25T00:00:00"/>
    <d v="2007-06-25T00:00:00"/>
  </r>
  <r>
    <s v="Greenway Home Products Inc."/>
    <x v="24"/>
    <m/>
    <s v="VWD5956BLS"/>
    <m/>
    <x v="0"/>
    <x v="0"/>
    <n v="0.38629999999999998"/>
    <d v="2007-06-25T00:00:00"/>
    <d v="2007-06-25T00:00:00"/>
  </r>
  <r>
    <s v="Greenway Home Products Inc."/>
    <x v="24"/>
    <m/>
    <s v="VWD5976BL"/>
    <m/>
    <x v="0"/>
    <x v="0"/>
    <n v="0.38629999999999998"/>
    <d v="2007-06-25T00:00:00"/>
    <d v="2007-06-25T00:00:00"/>
  </r>
  <r>
    <s v="Greenway Home Products Inc."/>
    <x v="22"/>
    <m/>
    <s v="GWD860W-3"/>
    <m/>
    <x v="0"/>
    <x v="0"/>
    <n v="0.40629999999999999"/>
    <d v="2007-06-25T00:00:00"/>
    <d v="2007-06-25T00:00:00"/>
  </r>
  <r>
    <s v="Greenway Home Products Inc."/>
    <x v="22"/>
    <m/>
    <s v="VWD866W-2"/>
    <m/>
    <x v="0"/>
    <x v="0"/>
    <n v="0.40629999999999999"/>
    <d v="2007-06-25T00:00:00"/>
    <d v="2007-06-25T00:00:00"/>
  </r>
  <r>
    <s v="Greenway Home Products Inc."/>
    <x v="24"/>
    <m/>
    <s v="VWD4656W"/>
    <m/>
    <x v="0"/>
    <x v="0"/>
    <n v="0.4385"/>
    <d v="2007-06-25T00:00:00"/>
    <d v="2007-06-25T00:00:00"/>
  </r>
  <r>
    <s v="Greenway Home Products Inc."/>
    <x v="24"/>
    <m/>
    <s v="VWD4656W-1"/>
    <m/>
    <x v="0"/>
    <x v="0"/>
    <n v="0.4385"/>
    <d v="2007-06-25T00:00:00"/>
    <d v="2007-06-25T00:00:00"/>
  </r>
  <r>
    <s v="Greenway Home Products Inc."/>
    <x v="22"/>
    <m/>
    <s v="GWD2630W"/>
    <m/>
    <x v="0"/>
    <x v="0"/>
    <n v="0.442"/>
    <d v="2007-06-25T00:00:00"/>
    <d v="2007-06-25T00:00:00"/>
  </r>
  <r>
    <s v="Greenway Home Products Inc."/>
    <x v="21"/>
    <m/>
    <s v="PWD2635W"/>
    <m/>
    <x v="0"/>
    <x v="0"/>
    <n v="0.442"/>
    <d v="2007-06-25T00:00:00"/>
    <d v="2007-06-25T00:00:00"/>
  </r>
  <r>
    <s v="Greenway Home Products Inc."/>
    <x v="24"/>
    <m/>
    <s v="VWD2636GRN"/>
    <m/>
    <x v="0"/>
    <x v="0"/>
    <n v="0.442"/>
    <d v="2007-06-25T00:00:00"/>
    <d v="2007-06-25T00:00:00"/>
  </r>
  <r>
    <s v="Greenway Home Products Inc."/>
    <x v="24"/>
    <m/>
    <s v="VWD2636RED"/>
    <m/>
    <x v="0"/>
    <x v="0"/>
    <n v="0.442"/>
    <d v="2007-06-25T00:00:00"/>
    <d v="2007-06-25T00:00:00"/>
  </r>
  <r>
    <s v="Greenway Home Products Inc."/>
    <x v="24"/>
    <m/>
    <s v="VWD2636W"/>
    <m/>
    <x v="0"/>
    <x v="0"/>
    <n v="0.442"/>
    <d v="2007-06-25T00:00:00"/>
    <d v="2007-06-25T00:00:00"/>
  </r>
  <r>
    <s v="Greenway Home Products Inc."/>
    <x v="22"/>
    <m/>
    <s v="GWD4650W"/>
    <m/>
    <x v="0"/>
    <x v="0"/>
    <n v="0.45150000000000001"/>
    <d v="2007-06-25T00:00:00"/>
    <d v="2007-06-25T00:00:00"/>
  </r>
  <r>
    <s v="Greenway Home Products Inc."/>
    <x v="24"/>
    <m/>
    <s v="VWD8956BLS"/>
    <m/>
    <x v="0"/>
    <x v="0"/>
    <n v="0.69669999999999999"/>
    <d v="2007-06-25T00:00:00"/>
    <d v="2007-06-25T00:00:00"/>
  </r>
  <r>
    <s v="Greenway Home Products Inc."/>
    <x v="21"/>
    <m/>
    <s v="PWD8975BLS"/>
    <m/>
    <x v="0"/>
    <x v="0"/>
    <n v="0.7016"/>
    <d v="2007-06-25T00:00:00"/>
    <d v="2007-06-25T00:00:00"/>
  </r>
  <r>
    <s v="Greenway Home Products Inc."/>
    <x v="21"/>
    <m/>
    <s v="PWD8975W"/>
    <m/>
    <x v="0"/>
    <x v="0"/>
    <n v="0.7016"/>
    <d v="2007-06-25T00:00:00"/>
    <d v="2007-06-25T00:00:00"/>
  </r>
  <r>
    <s v="Greenway Home Products Inc."/>
    <x v="24"/>
    <m/>
    <s v="VWD8956W"/>
    <m/>
    <x v="0"/>
    <x v="0"/>
    <n v="0.7016"/>
    <d v="2007-06-25T00:00:00"/>
    <d v="2007-06-25T00:00:00"/>
  </r>
  <r>
    <s v="Greenway Home Products Inc."/>
    <x v="24"/>
    <m/>
    <s v="VWD146W-2"/>
    <m/>
    <x v="0"/>
    <x v="0"/>
    <n v="0.78049999999999997"/>
    <d v="2007-06-25T00:00:00"/>
    <d v="2007-06-25T00:00:00"/>
  </r>
  <r>
    <s v="Greenway Home Products Inc."/>
    <x v="21"/>
    <s v="Water Cooler"/>
    <s v="PWD325W-2"/>
    <m/>
    <x v="0"/>
    <x v="1"/>
    <n v="0.79"/>
    <d v="2012-01-01T00:00:00"/>
    <d v="2012-04-09T00:00:00"/>
  </r>
  <r>
    <s v="Greenway Home Products Inc."/>
    <x v="26"/>
    <s v="Water Cooler"/>
    <s v="GAR1007W (043-1891)"/>
    <m/>
    <x v="0"/>
    <x v="1"/>
    <n v="0.81"/>
    <d v="2011-11-15T00:00:00"/>
    <d v="2011-12-23T00:00:00"/>
  </r>
  <r>
    <s v="Greenway Home Products Inc."/>
    <x v="26"/>
    <s v="Water Cooler"/>
    <s v="GAR1008BLS (043-1892)"/>
    <m/>
    <x v="0"/>
    <x v="1"/>
    <n v="0.81"/>
    <d v="2011-11-15T00:00:00"/>
    <d v="2011-12-23T00:00:00"/>
  </r>
  <r>
    <s v="Greenway Home Products Inc."/>
    <x v="22"/>
    <m/>
    <s v="GWD160W"/>
    <m/>
    <x v="0"/>
    <x v="0"/>
    <n v="0.83"/>
    <m/>
    <d v="2005-10-27T00:00:00"/>
  </r>
  <r>
    <s v="Greenway Home Products Inc."/>
    <x v="21"/>
    <m/>
    <s v="PWD165W-2"/>
    <m/>
    <x v="0"/>
    <x v="0"/>
    <n v="0.83"/>
    <m/>
    <d v="2005-10-27T00:00:00"/>
  </r>
  <r>
    <s v="Greenway Home Products Inc."/>
    <x v="22"/>
    <m/>
    <s v="GWD200W-2"/>
    <m/>
    <x v="0"/>
    <x v="0"/>
    <n v="1.05"/>
    <m/>
    <d v="2005-10-27T00:00:00"/>
  </r>
  <r>
    <s v="Greenway Home Products Inc."/>
    <x v="24"/>
    <m/>
    <s v="VWD206W-2"/>
    <m/>
    <x v="0"/>
    <x v="0"/>
    <n v="1.05"/>
    <m/>
    <d v="2005-10-27T00:00:00"/>
  </r>
  <r>
    <s v="Greenway Home Products Inc."/>
    <x v="21"/>
    <m/>
    <s v="PWD255W-2"/>
    <m/>
    <x v="0"/>
    <x v="0"/>
    <n v="1.06"/>
    <m/>
    <d v="2005-10-27T00:00:00"/>
  </r>
  <r>
    <s v="Greenway Home Products Inc."/>
    <x v="24"/>
    <s v="Water Cooler"/>
    <s v="VWD2266W"/>
    <m/>
    <x v="0"/>
    <x v="1"/>
    <n v="1.1100000000000001"/>
    <d v="2012-03-26T00:00:00"/>
    <d v="2012-04-09T00:00:00"/>
  </r>
  <r>
    <s v="Greenway Home Products Inc."/>
    <x v="21"/>
    <m/>
    <s v="PWD785BLS"/>
    <m/>
    <x v="0"/>
    <x v="0"/>
    <n v="1.1399999999999999"/>
    <m/>
    <d v="2005-10-27T00:00:00"/>
  </r>
  <r>
    <s v="Haier America"/>
    <x v="27"/>
    <s v="Bottom Feed"/>
    <s v="WDBF01B"/>
    <m/>
    <x v="0"/>
    <x v="0"/>
    <n v="0.54"/>
    <d v="2007-04-01T00:00:00"/>
    <d v="2007-02-13T00:00:00"/>
  </r>
  <r>
    <s v="Haier America"/>
    <x v="27"/>
    <m/>
    <s v="WDBF01S"/>
    <m/>
    <x v="0"/>
    <x v="0"/>
    <n v="0.54"/>
    <d v="2007-04-01T00:00:00"/>
    <d v="2007-02-13T00:00:00"/>
  </r>
  <r>
    <s v="Haier America"/>
    <x v="27"/>
    <s v="Bottom Feed"/>
    <s v="WDBF01W"/>
    <m/>
    <x v="0"/>
    <x v="0"/>
    <n v="0.54"/>
    <d v="2007-04-01T00:00:00"/>
    <d v="2007-02-13T00:00:00"/>
  </r>
  <r>
    <s v="Haier America"/>
    <x v="27"/>
    <m/>
    <s v="WDNS32**"/>
    <m/>
    <x v="0"/>
    <x v="0"/>
    <n v="0.88600000000000001"/>
    <d v="2010-06-28T00:00:00"/>
    <d v="2010-06-28T00:00:00"/>
  </r>
  <r>
    <s v="Haier America"/>
    <x v="27"/>
    <m/>
    <s v="WDNS115***"/>
    <m/>
    <x v="0"/>
    <x v="0"/>
    <n v="0.95599999999999996"/>
    <d v="2010-06-28T00:00:00"/>
    <d v="2010-06-28T00:00:00"/>
  </r>
  <r>
    <s v="Haier America"/>
    <x v="27"/>
    <m/>
    <s v="WDNT145S"/>
    <m/>
    <x v="0"/>
    <x v="0"/>
    <n v="1.135"/>
    <d v="2008-01-01T00:00:00"/>
    <d v="2007-12-07T00:00:00"/>
  </r>
  <r>
    <s v="Haier America"/>
    <x v="27"/>
    <m/>
    <s v="ZWDNT145S"/>
    <m/>
    <x v="0"/>
    <x v="0"/>
    <n v="1.135"/>
    <d v="2008-01-01T00:00:00"/>
    <d v="2007-12-07T00:00:00"/>
  </r>
  <r>
    <s v="HYUNDAI Wacor Tec. Co., Ltd"/>
    <x v="28"/>
    <s v="Juliet 3"/>
    <s v="Juliet 3"/>
    <m/>
    <x v="0"/>
    <x v="0"/>
    <n v="1.1200000000000001"/>
    <d v="2010-01-22T00:00:00"/>
    <d v="2010-01-27T00:00:00"/>
  </r>
  <r>
    <s v="HYUNDAI Wacor Tec. Co., Ltd"/>
    <x v="28"/>
    <s v="Juliet 1"/>
    <s v="Juliet 1"/>
    <m/>
    <x v="0"/>
    <x v="0"/>
    <n v="1.1499999999999999"/>
    <d v="2010-01-22T00:00:00"/>
    <d v="2010-01-27T00:00:00"/>
  </r>
  <r>
    <s v="HYUNDAI Wacor Tec. Co., Ltd"/>
    <x v="28"/>
    <s v="Poseidon"/>
    <s v="Poseidon"/>
    <m/>
    <x v="0"/>
    <x v="0"/>
    <n v="1.18"/>
    <d v="2010-01-22T00:00:00"/>
    <d v="2010-01-27T00:00:00"/>
  </r>
  <r>
    <s v="IGO Direct"/>
    <x v="17"/>
    <s v="F730HB010-EBWX"/>
    <s v="BSS"/>
    <m/>
    <x v="0"/>
    <x v="1"/>
    <n v="0.84"/>
    <d v="2011-03-08T00:00:00"/>
    <d v="2012-06-25T00:00:00"/>
  </r>
  <r>
    <s v="IGO Direct"/>
    <x v="17"/>
    <s v="F730HB010-EBWX"/>
    <s v="BSSES210EZ"/>
    <m/>
    <x v="0"/>
    <x v="1"/>
    <n v="1.04"/>
    <d v="2012-05-03T00:00:00"/>
    <d v="2012-06-25T00:00:00"/>
  </r>
  <r>
    <s v="IGO Direct"/>
    <x v="17"/>
    <s v="F528H"/>
    <s v="without mask"/>
    <s v="F323H,F323H,; F528H,with full mask,; F728H,F728H,"/>
    <x v="0"/>
    <x v="1"/>
    <n v="1.1000000000000001"/>
    <d v="2011-03-02T00:00:00"/>
    <d v="2012-06-25T00:00:00"/>
  </r>
  <r>
    <s v="IGO Direct"/>
    <x v="17"/>
    <s v="F528K"/>
    <s v="without mask"/>
    <s v="F323K,F323K,; F528K,with full mask,; F728K,F728K,"/>
    <x v="2"/>
    <x v="1"/>
    <n v="1.1100000000000001"/>
    <d v="2011-03-02T00:00:00"/>
    <d v="2012-06-25T00:00:00"/>
  </r>
  <r>
    <s v="Innovation Plus"/>
    <x v="29"/>
    <s v="LLVF1"/>
    <s v="LLVF1"/>
    <m/>
    <x v="2"/>
    <x v="1"/>
    <n v="0.15"/>
    <d v="2011-11-14T00:00:00"/>
    <d v="2012-06-25T00:00:00"/>
  </r>
  <r>
    <s v="Kemflo (Nanjing) Environmental Technical"/>
    <x v="30"/>
    <s v="09D250030211"/>
    <s v="WHKMD25"/>
    <m/>
    <x v="0"/>
    <x v="0"/>
    <n v="0.91"/>
    <d v="2009-12-01T00:00:00"/>
    <d v="2009-12-22T00:00:00"/>
  </r>
  <r>
    <s v="Kemflo (Nanjing) Environmental Technical"/>
    <x v="30"/>
    <s v="09D450020590"/>
    <s v="WHKMD45"/>
    <m/>
    <x v="0"/>
    <x v="0"/>
    <n v="0.93"/>
    <d v="2009-12-03T00:00:00"/>
    <d v="2009-12-22T00:00:00"/>
  </r>
  <r>
    <s v="Kemflo (Nanjing) Environmental Technical"/>
    <x v="30"/>
    <s v="09B10P0040599"/>
    <s v="WHKMB10P"/>
    <m/>
    <x v="0"/>
    <x v="0"/>
    <n v="1.04"/>
    <d v="2009-12-03T00:00:00"/>
    <d v="2009-12-22T00:00:00"/>
  </r>
  <r>
    <s v="Kool Tek LLC"/>
    <x v="31"/>
    <s v="CHCW/CHCB"/>
    <s v="MYLG1585T"/>
    <m/>
    <x v="1"/>
    <x v="0"/>
    <n v="0.154"/>
    <d v="2010-01-25T00:00:00"/>
    <d v="2010-01-25T00:00:00"/>
  </r>
  <r>
    <s v="Kool Tek LLC"/>
    <x v="31"/>
    <s v="CCCW/CCCB"/>
    <s v="MYLGd1585T"/>
    <m/>
    <x v="1"/>
    <x v="0"/>
    <n v="0.154"/>
    <d v="2010-01-25T00:00:00"/>
    <d v="2010-01-25T00:00:00"/>
  </r>
  <r>
    <s v="Kool Tek LLC"/>
    <x v="31"/>
    <s v="FCCW2/FCCB2"/>
    <s v="MYLGd1585T"/>
    <m/>
    <x v="1"/>
    <x v="0"/>
    <n v="0.154"/>
    <d v="2010-01-25T00:00:00"/>
    <d v="2010-01-25T00:00:00"/>
  </r>
  <r>
    <s v="Kool Tek LLC"/>
    <x v="31"/>
    <s v="BFHCW4"/>
    <s v="MYL937S"/>
    <m/>
    <x v="0"/>
    <x v="0"/>
    <n v="0.95050000000000001"/>
    <d v="2010-01-25T00:00:00"/>
    <d v="2010-01-25T00:00:00"/>
  </r>
  <r>
    <s v="Kool Tek LLC"/>
    <x v="31"/>
    <s v="FHCW2/FHCB2"/>
    <s v="MYLG1585T"/>
    <m/>
    <x v="0"/>
    <x v="0"/>
    <n v="0.95899999999999996"/>
    <d v="2010-01-25T00:00:00"/>
    <d v="2010-01-25T00:00:00"/>
  </r>
  <r>
    <s v="Natural Choice Corporation"/>
    <x v="32"/>
    <s v="900"/>
    <s v="901"/>
    <m/>
    <x v="1"/>
    <x v="0"/>
    <n v="0.04"/>
    <d v="2011-01-06T00:00:00"/>
    <d v="2011-01-14T00:00:00"/>
  </r>
  <r>
    <s v="Natural Choice Corporation"/>
    <x v="32"/>
    <s v="900"/>
    <s v="903"/>
    <m/>
    <x v="1"/>
    <x v="0"/>
    <n v="0.04"/>
    <d v="2011-01-06T00:00:00"/>
    <d v="2011-01-14T00:00:00"/>
  </r>
  <r>
    <s v="Natural Choice Corporation"/>
    <x v="32"/>
    <s v="900"/>
    <s v="902"/>
    <m/>
    <x v="0"/>
    <x v="0"/>
    <n v="0.87"/>
    <d v="2011-01-06T00:00:00"/>
    <d v="2011-01-14T00:00:00"/>
  </r>
  <r>
    <s v="Natural Choice Corporation"/>
    <x v="32"/>
    <s v="900"/>
    <s v="904"/>
    <m/>
    <x v="0"/>
    <x v="0"/>
    <n v="0.87"/>
    <d v="2011-01-06T00:00:00"/>
    <d v="2011-01-14T00:00:00"/>
  </r>
  <r>
    <s v="Natural Choice Corporation"/>
    <x v="32"/>
    <s v="900"/>
    <s v="905"/>
    <m/>
    <x v="0"/>
    <x v="0"/>
    <n v="0.87"/>
    <d v="2011-01-06T00:00:00"/>
    <d v="2011-01-14T00:00:00"/>
  </r>
  <r>
    <s v="Nestle Waters North America"/>
    <x v="33"/>
    <s v="Drink Water Cooler"/>
    <s v="SOVWB110ESBR"/>
    <m/>
    <x v="2"/>
    <x v="1"/>
    <n v="0.16"/>
    <d v="2012-04-15T00:00:00"/>
    <d v="2012-03-27T00:00:00"/>
  </r>
  <r>
    <s v="Nestle Waters North America"/>
    <x v="33"/>
    <s v="Drink Water Cooler"/>
    <s v="VW110ES"/>
    <m/>
    <x v="2"/>
    <x v="1"/>
    <n v="0.16"/>
    <d v="2011-04-01T00:00:00"/>
    <d v="2011-01-28T00:00:00"/>
  </r>
  <r>
    <s v="Nestle Waters North America"/>
    <x v="33"/>
    <s v="Drink Water Cooler"/>
    <s v="SORTOPPB210"/>
    <m/>
    <x v="0"/>
    <x v="1"/>
    <n v="1.1000000000000001"/>
    <d v="2011-04-01T00:00:00"/>
    <d v="2011-01-28T00:00:00"/>
  </r>
  <r>
    <s v="Nestle Waters North America"/>
    <x v="33"/>
    <s v="Drink Water Cooler"/>
    <s v="SORTOPPW210"/>
    <m/>
    <x v="0"/>
    <x v="1"/>
    <n v="1.1000000000000001"/>
    <d v="2011-04-01T00:00:00"/>
    <d v="2011-01-28T00:00:00"/>
  </r>
  <r>
    <s v="Nestle Waters North America"/>
    <x v="33"/>
    <s v="Drink Water Cooler"/>
    <s v="SORTP210ESNS"/>
    <m/>
    <x v="0"/>
    <x v="1"/>
    <n v="1.1000000000000001"/>
    <d v="2012-04-15T00:00:00"/>
    <d v="2012-03-27T00:00:00"/>
  </r>
  <r>
    <s v="Nestle Waters North America"/>
    <x v="33"/>
    <s v="Drink Water Cooler"/>
    <s v="SOVWB210ESBR"/>
    <m/>
    <x v="0"/>
    <x v="1"/>
    <n v="1.1200000000000001"/>
    <d v="2012-04-15T00:00:00"/>
    <d v="2012-03-27T00:00:00"/>
  </r>
  <r>
    <s v="Nestle Waters North America"/>
    <x v="33"/>
    <s v="Drink Water Cooler"/>
    <s v="VW210ES"/>
    <m/>
    <x v="0"/>
    <x v="1"/>
    <n v="1.1200000000000001"/>
    <d v="2011-04-01T00:00:00"/>
    <d v="2011-01-28T00:00:00"/>
  </r>
  <r>
    <s v="Ningbo Hicon International Industry Co., Ltd."/>
    <x v="34"/>
    <m/>
    <s v="YL2-27CH2"/>
    <m/>
    <x v="2"/>
    <x v="0"/>
    <n v="0.12"/>
    <m/>
    <d v="2007-08-02T00:00:00"/>
  </r>
  <r>
    <s v="Ningbo Hicon International Industry Co., Ltd."/>
    <x v="34"/>
    <m/>
    <s v="YLR2-5-67CH3"/>
    <m/>
    <x v="0"/>
    <x v="0"/>
    <n v="1.0900000000000001"/>
    <m/>
    <d v="2007-08-02T00:00:00"/>
  </r>
  <r>
    <s v="Ningbo Hicon International Industry Co., Ltd."/>
    <x v="34"/>
    <m/>
    <s v="YLR2-5-24H2"/>
    <m/>
    <x v="0"/>
    <x v="0"/>
    <n v="1.1299999999999999"/>
    <m/>
    <d v="2007-08-02T00:00:00"/>
  </r>
  <r>
    <s v="Ningbo Hicon International Industry Co., Ltd."/>
    <x v="34"/>
    <m/>
    <s v="YLR2-5-25H2"/>
    <m/>
    <x v="0"/>
    <x v="0"/>
    <n v="1.1299999999999999"/>
    <m/>
    <d v="2007-08-02T00:00:00"/>
  </r>
  <r>
    <s v="Oasis International"/>
    <x v="35"/>
    <m/>
    <s v="P1PVSK"/>
    <m/>
    <x v="1"/>
    <x v="0"/>
    <n v="0.121"/>
    <d v="2010-05-24T00:00:00"/>
    <d v="2010-06-03T00:00:00"/>
  </r>
  <r>
    <s v="Oasis International"/>
    <x v="35"/>
    <m/>
    <s v="BPA1SK"/>
    <m/>
    <x v="1"/>
    <x v="0"/>
    <n v="0.13600000000000001"/>
    <d v="2008-01-26T00:00:00"/>
    <d v="2008-02-04T00:00:00"/>
  </r>
  <r>
    <s v="Oasis International"/>
    <x v="35"/>
    <m/>
    <s v="BPD1SK"/>
    <m/>
    <x v="1"/>
    <x v="0"/>
    <n v="0.13600000000000001"/>
    <d v="2008-01-21T00:00:00"/>
    <d v="2008-02-04T00:00:00"/>
  </r>
  <r>
    <s v="Oasis International"/>
    <x v="35"/>
    <m/>
    <s v="BPO1SK"/>
    <m/>
    <x v="1"/>
    <x v="0"/>
    <n v="0.13600000000000001"/>
    <d v="2008-01-21T00:00:00"/>
    <d v="2008-02-04T00:00:00"/>
  </r>
  <r>
    <s v="Oasis International"/>
    <x v="35"/>
    <m/>
    <s v="BSA1SK"/>
    <m/>
    <x v="1"/>
    <x v="0"/>
    <n v="0.13600000000000001"/>
    <d v="2008-01-21T00:00:00"/>
    <d v="2008-02-04T00:00:00"/>
  </r>
  <r>
    <s v="Oasis International"/>
    <x v="35"/>
    <m/>
    <s v="POUD1SK"/>
    <m/>
    <x v="1"/>
    <x v="0"/>
    <n v="0.158"/>
    <d v="2010-02-01T00:00:00"/>
    <d v="2010-05-28T00:00:00"/>
  </r>
  <r>
    <s v="Oasis International"/>
    <x v="35"/>
    <m/>
    <s v="P1PVHSK"/>
    <m/>
    <x v="0"/>
    <x v="0"/>
    <n v="0.54600000000000004"/>
    <d v="2010-02-01T00:00:00"/>
    <d v="2010-08-04T00:00:00"/>
  </r>
  <r>
    <s v="Oasis International"/>
    <x v="35"/>
    <m/>
    <s v="POUSA1SHS"/>
    <m/>
    <x v="0"/>
    <x v="0"/>
    <n v="0.628"/>
    <d v="2010-02-16T00:00:00"/>
    <d v="2010-05-28T00:00:00"/>
  </r>
  <r>
    <s v="Oasis International"/>
    <x v="35"/>
    <m/>
    <s v="POC2LRHK"/>
    <m/>
    <x v="0"/>
    <x v="0"/>
    <n v="0.67800000000000005"/>
    <d v="2010-02-01T00:00:00"/>
    <d v="2010-05-28T00:00:00"/>
  </r>
  <r>
    <s v="Oasis International"/>
    <x v="35"/>
    <m/>
    <s v="POU2LRHK"/>
    <m/>
    <x v="0"/>
    <x v="0"/>
    <n v="0.67800000000000005"/>
    <d v="2010-02-01T00:00:00"/>
    <d v="2010-05-28T00:00:00"/>
  </r>
  <r>
    <s v="Oasis International"/>
    <x v="35"/>
    <m/>
    <s v="POVC2LRHK"/>
    <m/>
    <x v="0"/>
    <x v="0"/>
    <n v="0.67800000000000005"/>
    <d v="2010-02-01T00:00:00"/>
    <d v="2010-05-28T00:00:00"/>
  </r>
  <r>
    <s v="Oasis International"/>
    <x v="35"/>
    <m/>
    <s v="BSA1SHS"/>
    <m/>
    <x v="0"/>
    <x v="0"/>
    <n v="0.72499999999999998"/>
    <d v="2006-03-20T00:00:00"/>
    <d v="2006-03-27T00:00:00"/>
  </r>
  <r>
    <s v="Oasis International"/>
    <x v="35"/>
    <m/>
    <s v="OASI-528DU01"/>
    <m/>
    <x v="0"/>
    <x v="0"/>
    <n v="0.72499999999999998"/>
    <d v="2008-02-04T00:00:00"/>
    <d v="2008-02-04T00:00:00"/>
  </r>
  <r>
    <s v="Oasis International"/>
    <x v="35"/>
    <m/>
    <s v="OASI-528DZ01"/>
    <m/>
    <x v="0"/>
    <x v="0"/>
    <n v="0.72499999999999998"/>
    <d v="2006-03-20T00:00:00"/>
    <d v="2006-03-27T00:00:00"/>
  </r>
  <r>
    <s v="Oasis International"/>
    <x v="35"/>
    <m/>
    <s v="BPA1SHS"/>
    <m/>
    <x v="0"/>
    <x v="0"/>
    <n v="0.72499999999999998"/>
    <d v="2005-12-30T00:00:00"/>
    <d v="2005-12-30T00:00:00"/>
  </r>
  <r>
    <s v="Oasis International"/>
    <x v="35"/>
    <m/>
    <s v="BPD1SHS"/>
    <m/>
    <x v="0"/>
    <x v="0"/>
    <n v="0.72499999999999998"/>
    <d v="2005-12-30T00:00:00"/>
    <d v="2005-12-30T00:00:00"/>
  </r>
  <r>
    <s v="Oasis International"/>
    <x v="35"/>
    <m/>
    <s v="BPO1SHS"/>
    <m/>
    <x v="0"/>
    <x v="0"/>
    <n v="0.72499999999999998"/>
    <d v="2008-01-07T00:00:00"/>
    <d v="2008-01-08T00:00:00"/>
  </r>
  <r>
    <s v="Oasis International"/>
    <x v="35"/>
    <m/>
    <s v="BSE1SHS"/>
    <m/>
    <x v="0"/>
    <x v="0"/>
    <n v="0.72499999999999998"/>
    <d v="2007-04-01T00:00:00"/>
    <d v="2007-04-06T00:00:00"/>
  </r>
  <r>
    <s v="Oasis International"/>
    <x v="35"/>
    <m/>
    <s v="B1NRHS"/>
    <m/>
    <x v="0"/>
    <x v="0"/>
    <n v="0.72599999999999998"/>
    <d v="2008-01-21T00:00:00"/>
    <d v="2008-02-04T00:00:00"/>
  </r>
  <r>
    <s v="Oasis International"/>
    <x v="35"/>
    <m/>
    <s v="B1RRHS"/>
    <m/>
    <x v="0"/>
    <x v="0"/>
    <n v="0.72599999999999998"/>
    <d v="2005-12-30T00:00:00"/>
    <d v="2005-12-30T00:00:00"/>
  </r>
  <r>
    <s v="Oasis International"/>
    <x v="35"/>
    <m/>
    <s v="B1SRHS"/>
    <m/>
    <x v="0"/>
    <x v="0"/>
    <n v="0.72599999999999998"/>
    <d v="2005-12-30T00:00:00"/>
    <d v="2005-12-30T00:00:00"/>
  </r>
  <r>
    <s v="Oasis International"/>
    <x v="35"/>
    <m/>
    <s v="POUD1SHS"/>
    <m/>
    <x v="0"/>
    <x v="0"/>
    <n v="0.96799999999999997"/>
    <d v="2010-05-24T00:00:00"/>
    <d v="2010-05-28T00:00:00"/>
  </r>
  <r>
    <s v="Oasis International"/>
    <x v="35"/>
    <m/>
    <s v="BR1CTHS"/>
    <m/>
    <x v="0"/>
    <x v="0"/>
    <n v="0.995"/>
    <d v="2006-07-01T00:00:00"/>
    <d v="2006-06-23T00:00:00"/>
  </r>
  <r>
    <s v="Oasis International"/>
    <x v="35"/>
    <m/>
    <s v="B1CCTHS"/>
    <m/>
    <x v="0"/>
    <x v="0"/>
    <n v="1.0720000000000001"/>
    <d v="2009-06-01T00:00:00"/>
    <d v="2009-08-04T00:00:00"/>
  </r>
  <r>
    <s v="Oasis International"/>
    <x v="35"/>
    <m/>
    <s v="BLF1CTHS"/>
    <m/>
    <x v="0"/>
    <x v="0"/>
    <n v="1.0900000000000001"/>
    <d v="2006-07-01T00:00:00"/>
    <d v="2006-06-23T00:00:00"/>
  </r>
  <r>
    <s v="Oasis International"/>
    <x v="35"/>
    <m/>
    <s v="POUSE1SHS"/>
    <m/>
    <x v="0"/>
    <x v="0"/>
    <n v="1.1539999999999999"/>
    <d v="2010-05-01T00:00:00"/>
    <d v="2010-05-28T00:00:00"/>
  </r>
  <r>
    <s v="Oasis International"/>
    <x v="35"/>
    <m/>
    <s v="POU1CCTHS"/>
    <m/>
    <x v="0"/>
    <x v="0"/>
    <n v="1.1579999999999999"/>
    <d v="2010-02-01T00:00:00"/>
    <d v="2010-05-28T00:00:00"/>
  </r>
  <r>
    <s v="Oasis International"/>
    <x v="35"/>
    <m/>
    <s v="OASI-582DU01"/>
    <m/>
    <x v="0"/>
    <x v="0"/>
    <n v="1.2"/>
    <d v="2006-03-20T00:00:00"/>
    <d v="2006-03-27T00:00:00"/>
  </r>
  <r>
    <s v="Primo Water Corporation"/>
    <x v="36"/>
    <m/>
    <s v="900127"/>
    <m/>
    <x v="1"/>
    <x v="0"/>
    <n v="0.16"/>
    <d v="2010-09-20T00:00:00"/>
    <d v="2010-09-10T00:00:00"/>
  </r>
  <r>
    <s v="Primo Water Corporation"/>
    <x v="36"/>
    <s v="601088"/>
    <s v="601088"/>
    <s v="601089,601089,; 601090,601090,"/>
    <x v="0"/>
    <x v="1"/>
    <n v="0.82"/>
    <d v="2012-05-30T00:00:00"/>
    <d v="2012-06-25T00:00:00"/>
  </r>
  <r>
    <s v="Primo Water Corporation"/>
    <x v="36"/>
    <m/>
    <s v="900113"/>
    <m/>
    <x v="0"/>
    <x v="0"/>
    <n v="0.82599999999999996"/>
    <d v="2010-12-30T00:00:00"/>
    <d v="2011-01-14T00:00:00"/>
  </r>
  <r>
    <s v="Primo Water Corporation"/>
    <x v="36"/>
    <m/>
    <s v="900133"/>
    <m/>
    <x v="0"/>
    <x v="0"/>
    <n v="0.82599999999999996"/>
    <d v="2010-12-30T00:00:00"/>
    <d v="2011-01-14T00:00:00"/>
  </r>
  <r>
    <s v="Primo Water Corporation"/>
    <x v="36"/>
    <m/>
    <s v="900135"/>
    <m/>
    <x v="0"/>
    <x v="0"/>
    <n v="0.82599999999999996"/>
    <d v="2010-12-30T00:00:00"/>
    <d v="2011-01-14T00:00:00"/>
  </r>
  <r>
    <s v="Primo Water Corporation"/>
    <x v="36"/>
    <m/>
    <s v="900146"/>
    <m/>
    <x v="0"/>
    <x v="0"/>
    <n v="0.82599999999999996"/>
    <d v="2010-12-30T00:00:00"/>
    <d v="2011-01-14T00:00:00"/>
  </r>
  <r>
    <s v="Primo Water Corporation"/>
    <x v="36"/>
    <m/>
    <s v="900159"/>
    <m/>
    <x v="0"/>
    <x v="0"/>
    <n v="0.82599999999999996"/>
    <d v="2010-12-30T00:00:00"/>
    <d v="2011-01-14T00:00:00"/>
  </r>
  <r>
    <s v="Primo Water Corporation"/>
    <x v="36"/>
    <m/>
    <s v="900185"/>
    <m/>
    <x v="0"/>
    <x v="0"/>
    <n v="0.82599999999999996"/>
    <d v="2010-12-30T00:00:00"/>
    <d v="2011-01-14T00:00:00"/>
  </r>
  <r>
    <s v="Primo Water Corporation"/>
    <x v="36"/>
    <s v="601000"/>
    <s v="601000"/>
    <m/>
    <x v="0"/>
    <x v="1"/>
    <n v="0.83"/>
    <d v="2012-05-30T00:00:00"/>
    <d v="2012-06-25T00:00:00"/>
  </r>
  <r>
    <s v="Primo Water Corporation"/>
    <x v="36"/>
    <s v="Bottom Loading"/>
    <s v="900129A"/>
    <m/>
    <x v="0"/>
    <x v="0"/>
    <n v="0.85519999999999996"/>
    <d v="2010-03-01T00:00:00"/>
    <d v="2010-01-22T00:00:00"/>
  </r>
  <r>
    <s v="Primo Water Corporation"/>
    <x v="36"/>
    <s v="Bottom Loading"/>
    <s v="900149A"/>
    <m/>
    <x v="0"/>
    <x v="0"/>
    <n v="0.85519999999999996"/>
    <d v="2010-03-01T00:00:00"/>
    <d v="2010-01-22T00:00:00"/>
  </r>
  <r>
    <s v="Primo Water Corporation"/>
    <x v="36"/>
    <s v="Bottom Loading"/>
    <s v="900178A"/>
    <m/>
    <x v="0"/>
    <x v="0"/>
    <n v="0.85519999999999996"/>
    <d v="2010-03-01T00:00:00"/>
    <d v="2010-01-22T00:00:00"/>
  </r>
  <r>
    <s v="Primo Water Corporation"/>
    <x v="36"/>
    <s v="Top Loading"/>
    <s v="900138A"/>
    <m/>
    <x v="0"/>
    <x v="0"/>
    <n v="0.88829999999999998"/>
    <d v="2010-03-01T00:00:00"/>
    <d v="2010-01-22T00:00:00"/>
  </r>
  <r>
    <s v="Primo Water Corporation"/>
    <x v="36"/>
    <s v="Top Loading"/>
    <s v="900139A"/>
    <m/>
    <x v="0"/>
    <x v="0"/>
    <n v="0.88829999999999998"/>
    <d v="2010-03-01T00:00:00"/>
    <d v="2010-01-22T00:00:00"/>
  </r>
  <r>
    <s v="Primo Water Corporation"/>
    <x v="36"/>
    <s v="Top Loading"/>
    <s v="900143A"/>
    <m/>
    <x v="0"/>
    <x v="0"/>
    <n v="0.88829999999999998"/>
    <d v="2010-03-01T00:00:00"/>
    <d v="2010-01-22T00:00:00"/>
  </r>
  <r>
    <s v="Primo Water Corporation"/>
    <x v="36"/>
    <s v="Top Loading"/>
    <s v="900161A"/>
    <m/>
    <x v="0"/>
    <x v="0"/>
    <n v="0.88829999999999998"/>
    <d v="2010-03-01T00:00:00"/>
    <d v="2010-01-22T00:00:00"/>
  </r>
  <r>
    <s v="Primo Water Corporation"/>
    <x v="36"/>
    <s v="Top Loading"/>
    <s v="900162A"/>
    <m/>
    <x v="0"/>
    <x v="0"/>
    <n v="0.88829999999999998"/>
    <d v="2010-03-01T00:00:00"/>
    <d v="2010-01-22T00:00:00"/>
  </r>
  <r>
    <s v="Primo Water Corporation"/>
    <x v="36"/>
    <s v="601001"/>
    <s v="601001"/>
    <m/>
    <x v="0"/>
    <x v="1"/>
    <n v="0.93"/>
    <d v="2011-03-10T00:00:00"/>
    <d v="2012-06-25T00:00:00"/>
  </r>
  <r>
    <s v="Primo Water Corporation"/>
    <x v="36"/>
    <s v="Bottom Loading"/>
    <s v="900145"/>
    <m/>
    <x v="0"/>
    <x v="0"/>
    <n v="0.94450000000000001"/>
    <m/>
    <d v="2010-11-02T00:00:00"/>
  </r>
  <r>
    <s v="Primo Water Corporation"/>
    <x v="12"/>
    <s v="Bottom Loading"/>
    <s v="900149"/>
    <m/>
    <x v="0"/>
    <x v="0"/>
    <n v="0.97"/>
    <m/>
    <d v="2008-11-18T00:00:00"/>
  </r>
  <r>
    <s v="Primo Water Corporation"/>
    <x v="36"/>
    <m/>
    <s v="900172"/>
    <m/>
    <x v="0"/>
    <x v="0"/>
    <n v="0.97"/>
    <d v="2009-03-01T00:00:00"/>
    <d v="2009-03-12T00:00:00"/>
  </r>
  <r>
    <s v="Primo Water Corporation"/>
    <x v="36"/>
    <s v="Bottom Loading "/>
    <s v="900178"/>
    <m/>
    <x v="0"/>
    <x v="0"/>
    <n v="0.97"/>
    <m/>
    <d v="2008-11-18T00:00:00"/>
  </r>
  <r>
    <s v="Primo Water Corporation"/>
    <x v="36"/>
    <m/>
    <s v="900116"/>
    <m/>
    <x v="0"/>
    <x v="0"/>
    <n v="1.006"/>
    <d v="2010-12-30T00:00:00"/>
    <d v="2011-01-14T00:00:00"/>
  </r>
  <r>
    <s v="Primo Water Corporation"/>
    <x v="36"/>
    <m/>
    <s v="900127"/>
    <m/>
    <x v="0"/>
    <x v="0"/>
    <n v="1.006"/>
    <d v="2010-12-30T00:00:00"/>
    <d v="2011-01-14T00:00:00"/>
  </r>
  <r>
    <s v="Primo Water Corporation"/>
    <x v="12"/>
    <s v="Bottom Loading"/>
    <s v="900142"/>
    <m/>
    <x v="0"/>
    <x v="0"/>
    <n v="1.03"/>
    <d v="2008-02-01T00:00:00"/>
    <d v="2008-01-04T00:00:00"/>
  </r>
  <r>
    <s v="Primo Water Corporation"/>
    <x v="36"/>
    <s v="Bottom Loading"/>
    <s v="900129"/>
    <m/>
    <x v="0"/>
    <x v="0"/>
    <n v="1.03"/>
    <d v="2008-02-01T00:00:00"/>
    <d v="2008-01-04T00:00:00"/>
  </r>
  <r>
    <s v="Primo Water Corporation"/>
    <x v="36"/>
    <s v="Bottom Loading"/>
    <s v="900136"/>
    <m/>
    <x v="0"/>
    <x v="0"/>
    <n v="1.03"/>
    <d v="2008-02-01T00:00:00"/>
    <d v="2008-01-04T00:00:00"/>
  </r>
  <r>
    <s v="Primo Water Corporation"/>
    <x v="36"/>
    <s v="Bottom Loading"/>
    <s v="900152"/>
    <m/>
    <x v="0"/>
    <x v="0"/>
    <n v="1.03"/>
    <d v="2008-02-01T00:00:00"/>
    <d v="2008-01-04T00:00:00"/>
  </r>
  <r>
    <s v="Primo Water Corporation"/>
    <x v="36"/>
    <s v="Bottom Load Cooler"/>
    <s v="900157"/>
    <m/>
    <x v="0"/>
    <x v="0"/>
    <n v="1.03"/>
    <d v="2008-02-01T00:00:00"/>
    <d v="2008-03-03T00:00:00"/>
  </r>
  <r>
    <s v="Primo Water Corporation"/>
    <x v="12"/>
    <s v="Top Loading "/>
    <s v="900143"/>
    <m/>
    <x v="0"/>
    <x v="0"/>
    <n v="1.05"/>
    <m/>
    <d v="2008-11-18T00:00:00"/>
  </r>
  <r>
    <s v="Primo Water Corporation"/>
    <x v="36"/>
    <s v="Top Loading"/>
    <s v="900161"/>
    <m/>
    <x v="0"/>
    <x v="0"/>
    <n v="1.05"/>
    <m/>
    <d v="2008-11-18T00:00:00"/>
  </r>
  <r>
    <s v="Primo Water Corporation"/>
    <x v="36"/>
    <s v="Top Loading"/>
    <s v="900162"/>
    <m/>
    <x v="0"/>
    <x v="0"/>
    <n v="1.05"/>
    <m/>
    <d v="2008-11-18T00:00:00"/>
  </r>
  <r>
    <s v="Primo Water Corporation"/>
    <x v="12"/>
    <s v="Top Loading "/>
    <s v="900144"/>
    <m/>
    <x v="0"/>
    <x v="0"/>
    <n v="1.1499999999999999"/>
    <d v="2008-02-01T00:00:00"/>
    <d v="2008-01-04T00:00:00"/>
  </r>
  <r>
    <s v="Primo Water Corporation"/>
    <x v="36"/>
    <s v="Top Load Cooler"/>
    <s v="900158"/>
    <m/>
    <x v="0"/>
    <x v="0"/>
    <n v="1.1499999999999999"/>
    <d v="2008-02-01T00:00:00"/>
    <d v="2008-03-03T00:00:00"/>
  </r>
  <r>
    <s v="Primo Water Corporation"/>
    <x v="36"/>
    <s v="Top Loading"/>
    <s v="900138"/>
    <m/>
    <x v="0"/>
    <x v="0"/>
    <n v="1.1499999999999999"/>
    <d v="2008-02-01T00:00:00"/>
    <d v="2008-01-04T00:00:00"/>
  </r>
  <r>
    <s v="Primo Water Corporation"/>
    <x v="36"/>
    <s v="Top Loading"/>
    <s v="900139"/>
    <m/>
    <x v="0"/>
    <x v="0"/>
    <n v="1.1499999999999999"/>
    <d v="2008-02-01T00:00:00"/>
    <d v="2008-01-04T00:00:00"/>
  </r>
  <r>
    <s v="Primo Water Corporation"/>
    <x v="36"/>
    <m/>
    <s v="900105"/>
    <m/>
    <x v="0"/>
    <x v="0"/>
    <n v="1.2"/>
    <d v="2010-09-20T00:00:00"/>
    <d v="2010-09-10T00:00:00"/>
  </r>
  <r>
    <s v="Primo Water Corporation"/>
    <x v="36"/>
    <m/>
    <s v="900118"/>
    <m/>
    <x v="0"/>
    <x v="0"/>
    <n v="1.2"/>
    <d v="2010-09-20T00:00:00"/>
    <d v="2010-09-10T00:00:00"/>
  </r>
  <r>
    <s v="Primo Water Corporation"/>
    <x v="36"/>
    <m/>
    <s v="900119"/>
    <m/>
    <x v="0"/>
    <x v="0"/>
    <n v="1.2"/>
    <d v="2010-09-20T00:00:00"/>
    <d v="2010-09-10T00:00:00"/>
  </r>
  <r>
    <s v="Primo Water Corporation"/>
    <x v="36"/>
    <m/>
    <s v="900128"/>
    <m/>
    <x v="0"/>
    <x v="0"/>
    <n v="1.2"/>
    <d v="2010-09-20T00:00:00"/>
    <d v="2010-09-10T00:00:00"/>
  </r>
  <r>
    <s v="Primo Water Corporation"/>
    <x v="36"/>
    <m/>
    <s v="900130"/>
    <m/>
    <x v="0"/>
    <x v="0"/>
    <n v="1.2"/>
    <d v="2010-09-20T00:00:00"/>
    <d v="2010-09-10T00:00:00"/>
  </r>
  <r>
    <s v="Primo Water Corporation"/>
    <x v="36"/>
    <m/>
    <s v="900134"/>
    <m/>
    <x v="0"/>
    <x v="0"/>
    <n v="1.2"/>
    <d v="2010-09-20T00:00:00"/>
    <d v="2010-09-10T00:00:00"/>
  </r>
  <r>
    <s v="Primo Water Corporation"/>
    <x v="36"/>
    <m/>
    <s v="900137"/>
    <m/>
    <x v="0"/>
    <x v="0"/>
    <n v="1.2"/>
    <d v="2010-09-20T00:00:00"/>
    <d v="2010-09-10T00:00:00"/>
  </r>
  <r>
    <s v="Primo Water Corporation"/>
    <x v="36"/>
    <m/>
    <s v="900183"/>
    <m/>
    <x v="0"/>
    <x v="0"/>
    <n v="1.2"/>
    <d v="2010-09-20T00:00:00"/>
    <d v="2010-09-10T00:00:00"/>
  </r>
  <r>
    <s v="Primo Water Corporation"/>
    <x v="36"/>
    <m/>
    <s v="900184"/>
    <m/>
    <x v="0"/>
    <x v="0"/>
    <n v="1.2"/>
    <d v="2010-09-20T00:00:00"/>
    <d v="2010-09-10T00:00:00"/>
  </r>
  <r>
    <s v="Pure Health Solutions, Inc"/>
    <x v="37"/>
    <s v="Interpure Countertop IP1"/>
    <s v="IPC1U"/>
    <m/>
    <x v="0"/>
    <x v="0"/>
    <n v="0.54"/>
    <d v="2010-07-16T00:00:00"/>
    <d v="2010-07-22T00:00:00"/>
  </r>
  <r>
    <s v="Pure Health Solutions, Inc"/>
    <x v="37"/>
    <s v="Interpure Countertop IP1"/>
    <s v="IP1U"/>
    <m/>
    <x v="0"/>
    <x v="0"/>
    <n v="0.64"/>
    <d v="2010-07-16T00:00:00"/>
    <d v="2010-07-22T00:00:00"/>
  </r>
  <r>
    <s v="Pure Health Solutions, Inc"/>
    <x v="37"/>
    <s v="Interpure Countertop IP2"/>
    <s v="IPC2U"/>
    <m/>
    <x v="0"/>
    <x v="0"/>
    <n v="0.7"/>
    <d v="2010-07-16T00:00:00"/>
    <d v="2010-07-22T00:00:00"/>
  </r>
  <r>
    <s v="Pure Health Solutions, Inc"/>
    <x v="37"/>
    <s v="Interpure Countertop IP2"/>
    <s v="IP2U"/>
    <m/>
    <x v="0"/>
    <x v="0"/>
    <n v="0.85"/>
    <d v="2010-07-16T00:00:00"/>
    <d v="2010-07-22T00:00:00"/>
  </r>
  <r>
    <s v="Pure Health Solutions, Inc"/>
    <x v="38"/>
    <s v="PWI"/>
    <s v="PWIMB-ES"/>
    <m/>
    <x v="0"/>
    <x v="0"/>
    <n v="1.1499999999999999"/>
    <d v="2010-07-16T00:00:00"/>
    <d v="2010-07-22T00:00:00"/>
  </r>
  <r>
    <s v="Pure Health Solutions, Inc"/>
    <x v="38"/>
    <s v="PWI"/>
    <s v="PWIM-ES"/>
    <m/>
    <x v="0"/>
    <x v="0"/>
    <n v="1.1499999999999999"/>
    <d v="2010-07-16T00:00:00"/>
    <d v="2010-07-22T00:00:00"/>
  </r>
  <r>
    <s v="Pure Health Solutions, Inc"/>
    <x v="38"/>
    <s v="PWI"/>
    <s v="PWIRB-ES"/>
    <m/>
    <x v="0"/>
    <x v="0"/>
    <n v="1.1499999999999999"/>
    <d v="2010-07-16T00:00:00"/>
    <d v="2010-07-22T00:00:00"/>
  </r>
  <r>
    <s v="Pure Health Solutions, Inc"/>
    <x v="38"/>
    <s v="PWI"/>
    <s v="PWIR-ES"/>
    <m/>
    <x v="0"/>
    <x v="0"/>
    <n v="1.1499999999999999"/>
    <d v="2010-07-16T00:00:00"/>
    <d v="2010-07-22T00:00:00"/>
  </r>
  <r>
    <s v="QIDI Electric Group Co. Ltd."/>
    <x v="39"/>
    <s v="YLR2"/>
    <s v="YL2-V116"/>
    <m/>
    <x v="1"/>
    <x v="0"/>
    <n v="0.15"/>
    <d v="2007-01-31T00:00:00"/>
    <d v="2007-01-30T00:00:00"/>
  </r>
  <r>
    <s v="QIDI Electric Group Co. Ltd."/>
    <x v="39"/>
    <s v="YLR2"/>
    <s v="YL2-V116c"/>
    <m/>
    <x v="1"/>
    <x v="0"/>
    <n v="0.15"/>
    <d v="2007-01-31T00:00:00"/>
    <d v="2007-01-30T00:00:00"/>
  </r>
  <r>
    <s v="QIDI Electric Group Co. Ltd."/>
    <x v="39"/>
    <s v="YLR1"/>
    <s v="YLR1-5-D12a"/>
    <m/>
    <x v="0"/>
    <x v="0"/>
    <n v="0.73"/>
    <d v="2003-11-01T00:00:00"/>
    <d v="2003-11-01T00:00:00"/>
  </r>
  <r>
    <s v="QIDI Electric Group Co. Ltd."/>
    <x v="39"/>
    <s v="YLR2"/>
    <s v="YLR2-5-V202B"/>
    <m/>
    <x v="0"/>
    <x v="0"/>
    <n v="0.81"/>
    <d v="2003-11-01T00:00:00"/>
    <d v="2003-11-01T00:00:00"/>
  </r>
  <r>
    <s v="QIDI Electric Group Co. Ltd."/>
    <x v="39"/>
    <s v="YLR2"/>
    <s v="YLR2-5-V116A"/>
    <m/>
    <x v="0"/>
    <x v="0"/>
    <n v="0.99"/>
    <d v="2008-07-30T00:00:00"/>
    <d v="2008-07-02T00:00:00"/>
  </r>
  <r>
    <s v="QIDI Electric Group Co. Ltd."/>
    <x v="39"/>
    <m/>
    <s v="YLR2-5-V116"/>
    <m/>
    <x v="0"/>
    <x v="0"/>
    <n v="0.99"/>
    <d v="2007-01-30T00:00:00"/>
    <d v="2007-01-18T00:00:00"/>
  </r>
  <r>
    <s v="QIDI Electric Group Co. Ltd."/>
    <x v="39"/>
    <m/>
    <s v="YLR2-5-V116c"/>
    <m/>
    <x v="0"/>
    <x v="0"/>
    <n v="0.99"/>
    <d v="2007-01-30T00:00:00"/>
    <d v="2007-01-18T00:00:00"/>
  </r>
  <r>
    <s v="Quench USA Inc."/>
    <x v="40"/>
    <s v="210UV"/>
    <s v="720"/>
    <m/>
    <x v="0"/>
    <x v="0"/>
    <n v="1.03"/>
    <m/>
    <d v="2010-08-18T00:00:00"/>
  </r>
  <r>
    <s v="Vertex Water Products"/>
    <x v="41"/>
    <s v="PureWaterCooler"/>
    <s v="PWC-450"/>
    <m/>
    <x v="0"/>
    <x v="0"/>
    <n v="0.92500000000000004"/>
    <d v="2011-01-11T00:00:00"/>
    <d v="2011-01-14T00:00:00"/>
  </r>
  <r>
    <s v="Vertex Water Products"/>
    <x v="41"/>
    <s v="Pure Water Cooler"/>
    <s v="PWC-450"/>
    <m/>
    <x v="0"/>
    <x v="0"/>
    <n v="0.92500000000000004"/>
    <d v="2010-12-20T00:00:00"/>
    <d v="2010-12-20T00:00:00"/>
  </r>
  <r>
    <s v="Vertex Water Products"/>
    <x v="41"/>
    <s v="PureWaterCooler"/>
    <s v="PWC-600"/>
    <m/>
    <x v="0"/>
    <x v="0"/>
    <n v="0.92700000000000005"/>
    <m/>
    <d v="2010-08-09T00:00:00"/>
  </r>
  <r>
    <s v="Vertex Water Products"/>
    <x v="41"/>
    <s v="PureWaterCooler"/>
    <s v="PWC-2000F"/>
    <m/>
    <x v="0"/>
    <x v="0"/>
    <n v="0.99399999999999999"/>
    <d v="2010-07-09T00:00:00"/>
    <d v="2010-07-09T00:00:00"/>
  </r>
  <r>
    <s v="Vertex Water Products"/>
    <x v="41"/>
    <s v="PureWaterCooler"/>
    <s v="PWC-1500A"/>
    <m/>
    <x v="0"/>
    <x v="0"/>
    <n v="1.038"/>
    <d v="2011-01-11T00:00:00"/>
    <d v="2011-01-14T00:00:00"/>
  </r>
  <r>
    <s v="Vertex Water Products"/>
    <x v="41"/>
    <s v="PureWaterCooler"/>
    <s v="PWC-7000"/>
    <m/>
    <x v="0"/>
    <x v="0"/>
    <n v="1.04"/>
    <m/>
    <d v="2010-08-09T00:00:00"/>
  </r>
  <r>
    <s v="Vertex Water Products"/>
    <x v="41"/>
    <s v="PureWaterCooler"/>
    <s v="PWC-500A"/>
    <m/>
    <x v="0"/>
    <x v="0"/>
    <n v="1.0429999999999999"/>
    <d v="2011-01-11T00:00:00"/>
    <d v="2011-01-14T00:00:00"/>
  </r>
  <r>
    <s v="Vertex Water Products"/>
    <x v="41"/>
    <s v="PureWaterCooler"/>
    <s v="PWC-3500"/>
    <m/>
    <x v="0"/>
    <x v="0"/>
    <n v="1.05"/>
    <m/>
    <d v="2010-08-09T00:00:00"/>
  </r>
  <r>
    <s v="Vertex Water Products"/>
    <x v="41"/>
    <s v="PureWaterCooler"/>
    <s v="PWC-1800A"/>
    <m/>
    <x v="0"/>
    <x v="0"/>
    <n v="1.07"/>
    <d v="2011-01-11T00:00:00"/>
    <d v="2011-01-14T00:00:00"/>
  </r>
  <r>
    <s v="Vertex Water Products"/>
    <x v="41"/>
    <s v="PureWaterCooler"/>
    <s v="PWC-1000A"/>
    <m/>
    <x v="0"/>
    <x v="0"/>
    <n v="1.117"/>
    <d v="2011-01-11T00:00:00"/>
    <d v="2011-01-14T00:00:00"/>
  </r>
  <r>
    <s v="Water Solutions (Hong Kong) Limited"/>
    <x v="42"/>
    <s v="Reflections"/>
    <s v="RW110"/>
    <m/>
    <x v="1"/>
    <x v="0"/>
    <n v="0.12"/>
    <d v="2006-01-01T00:00:00"/>
    <d v="2005-12-30T00:00:00"/>
  </r>
  <r>
    <s v="Water Solutions (Hong Kong) Limited"/>
    <x v="42"/>
    <s v="Visions"/>
    <s v="VW110"/>
    <m/>
    <x v="1"/>
    <x v="0"/>
    <n v="0.12"/>
    <d v="2006-01-01T00:00:00"/>
    <d v="2005-12-30T00:00:00"/>
  </r>
  <r>
    <s v="Water Solutions (Hong Kong) Limited"/>
    <x v="42"/>
    <s v="Reflections"/>
    <s v="RC110"/>
    <m/>
    <x v="1"/>
    <x v="0"/>
    <n v="0.14000000000000001"/>
    <d v="2006-10-01T00:00:00"/>
    <d v="2006-10-27T00:00:00"/>
  </r>
  <r>
    <s v="Water Solutions (Hong Kong) Limited"/>
    <x v="42"/>
    <m/>
    <s v="DW110ES"/>
    <m/>
    <x v="1"/>
    <x v="0"/>
    <n v="0.151"/>
    <d v="2010-07-28T00:00:00"/>
    <d v="2010-08-13T00:00:00"/>
  </r>
  <r>
    <s v="Water Solutions (Hong Kong) Limited"/>
    <x v="42"/>
    <m/>
    <s v="DW110EZES"/>
    <m/>
    <x v="1"/>
    <x v="0"/>
    <n v="0.151"/>
    <d v="2010-07-28T00:00:00"/>
    <d v="2010-08-13T00:00:00"/>
  </r>
  <r>
    <s v="Water Solutions (Hong Kong) Limited"/>
    <x v="43"/>
    <m/>
    <s v="IB110ES"/>
    <m/>
    <x v="1"/>
    <x v="0"/>
    <n v="0.151"/>
    <d v="2010-07-28T00:00:00"/>
    <d v="2010-08-13T00:00:00"/>
  </r>
  <r>
    <s v="Water Solutions (Hong Kong) Limited"/>
    <x v="43"/>
    <m/>
    <s v="IB110EZES"/>
    <m/>
    <x v="1"/>
    <x v="0"/>
    <n v="0.151"/>
    <d v="2010-07-28T00:00:00"/>
    <d v="2010-08-13T00:00:00"/>
  </r>
  <r>
    <s v="Water Solutions (Hong Kong) Limited"/>
    <x v="43"/>
    <m/>
    <s v="IB110LXES"/>
    <m/>
    <x v="1"/>
    <x v="0"/>
    <n v="0.151"/>
    <d v="2010-07-28T00:00:00"/>
    <d v="2010-08-13T00:00:00"/>
  </r>
  <r>
    <s v="Water Solutions (Hong Kong) Limited"/>
    <x v="43"/>
    <m/>
    <s v="IB110LXEZES"/>
    <m/>
    <x v="1"/>
    <x v="0"/>
    <n v="0.151"/>
    <d v="2010-07-28T00:00:00"/>
    <d v="2010-08-13T00:00:00"/>
  </r>
  <r>
    <s v="Water Solutions (Hong Kong) Limited"/>
    <x v="43"/>
    <m/>
    <s v="IW110ES"/>
    <m/>
    <x v="1"/>
    <x v="0"/>
    <n v="0.151"/>
    <d v="2010-07-28T00:00:00"/>
    <d v="2010-08-13T00:00:00"/>
  </r>
  <r>
    <s v="Water Solutions (Hong Kong) Limited"/>
    <x v="43"/>
    <m/>
    <s v="IW110EZES"/>
    <m/>
    <x v="1"/>
    <x v="0"/>
    <n v="0.151"/>
    <d v="2010-07-28T00:00:00"/>
    <d v="2010-08-13T00:00:00"/>
  </r>
  <r>
    <s v="Water Solutions (Hong Kong) Limited"/>
    <x v="43"/>
    <m/>
    <s v="IW110LXES"/>
    <m/>
    <x v="1"/>
    <x v="0"/>
    <n v="0.151"/>
    <d v="2010-07-28T00:00:00"/>
    <d v="2010-08-13T00:00:00"/>
  </r>
  <r>
    <s v="Water Solutions (Hong Kong) Limited"/>
    <x v="43"/>
    <m/>
    <s v="IW110LXEZES"/>
    <m/>
    <x v="1"/>
    <x v="0"/>
    <n v="0.151"/>
    <d v="2010-07-28T00:00:00"/>
    <d v="2010-08-13T00:00:00"/>
  </r>
  <r>
    <s v="Water Solutions (Hong Kong) Limited"/>
    <x v="44"/>
    <m/>
    <s v="RB110ES"/>
    <m/>
    <x v="1"/>
    <x v="0"/>
    <n v="0.151"/>
    <d v="2010-07-28T00:00:00"/>
    <d v="2010-08-13T00:00:00"/>
  </r>
  <r>
    <s v="Water Solutions (Hong Kong) Limited"/>
    <x v="44"/>
    <m/>
    <s v="RB110EZES"/>
    <m/>
    <x v="1"/>
    <x v="0"/>
    <n v="0.151"/>
    <d v="2010-07-28T00:00:00"/>
    <d v="2010-08-13T00:00:00"/>
  </r>
  <r>
    <s v="Water Solutions (Hong Kong) Limited"/>
    <x v="44"/>
    <m/>
    <s v="RP110ES"/>
    <m/>
    <x v="1"/>
    <x v="0"/>
    <n v="0.151"/>
    <d v="2010-07-28T00:00:00"/>
    <d v="2010-08-13T00:00:00"/>
  </r>
  <r>
    <s v="Water Solutions (Hong Kong) Limited"/>
    <x v="44"/>
    <m/>
    <s v="RS110EZES"/>
    <m/>
    <x v="1"/>
    <x v="0"/>
    <n v="0.151"/>
    <d v="2010-07-28T00:00:00"/>
    <d v="2010-08-13T00:00:00"/>
  </r>
  <r>
    <s v="Water Solutions (Hong Kong) Limited"/>
    <x v="44"/>
    <m/>
    <s v="RW110ES"/>
    <m/>
    <x v="1"/>
    <x v="0"/>
    <n v="0.151"/>
    <d v="2010-07-28T00:00:00"/>
    <d v="2010-08-13T00:00:00"/>
  </r>
  <r>
    <s v="Water Solutions (Hong Kong) Limited"/>
    <x v="44"/>
    <m/>
    <s v="RW110EZES"/>
    <m/>
    <x v="1"/>
    <x v="0"/>
    <n v="0.151"/>
    <d v="2010-07-28T00:00:00"/>
    <d v="2010-08-13T00:00:00"/>
  </r>
  <r>
    <s v="Water Solutions (Hong Kong) Limited"/>
    <x v="45"/>
    <m/>
    <s v="VB110ES"/>
    <m/>
    <x v="1"/>
    <x v="0"/>
    <n v="0.151"/>
    <d v="2010-07-28T00:00:00"/>
    <d v="2010-08-13T00:00:00"/>
  </r>
  <r>
    <s v="Water Solutions (Hong Kong) Limited"/>
    <x v="45"/>
    <m/>
    <s v="VB110EZ"/>
    <m/>
    <x v="1"/>
    <x v="0"/>
    <n v="0.151"/>
    <d v="2010-07-28T00:00:00"/>
    <d v="2010-08-13T00:00:00"/>
  </r>
  <r>
    <s v="Water Solutions (Hong Kong) Limited"/>
    <x v="45"/>
    <m/>
    <s v="VB110EZES"/>
    <m/>
    <x v="1"/>
    <x v="0"/>
    <n v="0.151"/>
    <d v="2010-07-28T00:00:00"/>
    <d v="2010-08-13T00:00:00"/>
  </r>
  <r>
    <s v="Water Solutions (Hong Kong) Limited"/>
    <x v="45"/>
    <m/>
    <s v="VB110LXES"/>
    <m/>
    <x v="1"/>
    <x v="0"/>
    <n v="0.151"/>
    <d v="2010-07-28T00:00:00"/>
    <d v="2010-08-13T00:00:00"/>
  </r>
  <r>
    <s v="Water Solutions (Hong Kong) Limited"/>
    <x v="45"/>
    <m/>
    <s v="VB110LXEZES"/>
    <m/>
    <x v="1"/>
    <x v="0"/>
    <n v="0.151"/>
    <d v="2010-07-28T00:00:00"/>
    <d v="2010-08-13T00:00:00"/>
  </r>
  <r>
    <s v="Water Solutions (Hong Kong) Limited"/>
    <x v="45"/>
    <m/>
    <s v="VW110ES"/>
    <m/>
    <x v="1"/>
    <x v="0"/>
    <n v="0.151"/>
    <d v="2010-07-28T00:00:00"/>
    <d v="2010-08-13T00:00:00"/>
  </r>
  <r>
    <s v="Water Solutions (Hong Kong) Limited"/>
    <x v="45"/>
    <m/>
    <s v="VW110EZES"/>
    <m/>
    <x v="1"/>
    <x v="0"/>
    <n v="0.151"/>
    <d v="2010-07-28T00:00:00"/>
    <d v="2010-08-13T00:00:00"/>
  </r>
  <r>
    <s v="Water Solutions (Hong Kong) Limited"/>
    <x v="45"/>
    <m/>
    <s v="VW110LXES"/>
    <m/>
    <x v="1"/>
    <x v="0"/>
    <n v="0.151"/>
    <d v="2010-07-28T00:00:00"/>
    <d v="2010-08-13T00:00:00"/>
  </r>
  <r>
    <s v="Water Solutions (Hong Kong) Limited"/>
    <x v="45"/>
    <m/>
    <s v="VW110LXEZES"/>
    <m/>
    <x v="1"/>
    <x v="0"/>
    <n v="0.151"/>
    <d v="2010-07-28T00:00:00"/>
    <d v="2010-08-13T00:00:00"/>
  </r>
  <r>
    <s v="Water Solutions (Hong Kong) Limited"/>
    <x v="46"/>
    <s v="GNB210i-SIP"/>
    <s v="GNB210i-SIP"/>
    <s v="GNB210,GNB210,; GNB210i,GNB210i,; GNW210,GNW210,; GNW210i,GNW210i,; GNW210i-SIP,GNW210i-SIP,"/>
    <x v="0"/>
    <x v="1"/>
    <n v="0.69"/>
    <d v="2011-12-10T00:00:00"/>
    <d v="2012-06-25T00:00:00"/>
  </r>
  <r>
    <s v="Water Solutions (Hong Kong) Limited"/>
    <x v="46"/>
    <s v="GNB215i-SIP"/>
    <s v="GNB215i-SIP"/>
    <s v="GNB215,GNB215,; GNB215i,GNB215i,; GNW215,GNW215,; GNW215i,GNW215i,; GNW215i-SIP,GNW215i-SIP,"/>
    <x v="0"/>
    <x v="2"/>
    <n v="0.7"/>
    <d v="2011-12-10T00:00:00"/>
    <d v="2012-06-25T00:00:00"/>
  </r>
  <r>
    <s v="Water Solutions (Hong Kong) Limited"/>
    <x v="46"/>
    <s v="GCB215i-SIP"/>
    <s v="GCB215i-SIP"/>
    <s v="GCB215,GCB215,; GCB215i,GCB215i,; GCW215,GCW215,; GCW215i,GCW215i,; GCW215i-SIP,GCW215i-SIP,"/>
    <x v="0"/>
    <x v="1"/>
    <n v="0.74"/>
    <d v="2011-12-10T00:00:00"/>
    <d v="2012-06-25T00:00:00"/>
  </r>
  <r>
    <s v="Water Solutions (Hong Kong) Limited"/>
    <x v="42"/>
    <s v="HW2151G"/>
    <s v="HW2151G"/>
    <s v="HB2151G,HB2151G,; HB2151G-SIP,HB2151G-SIP,; HB2153G,HB2153G,; HB2153G-SIP,HB2153G-SIP,; HW2151G-SIP,HW2151G-SIP,; HW2153G,HW2153G,; HW2153G-SIP,HW2153G-SIP,"/>
    <x v="0"/>
    <x v="2"/>
    <n v="0.81"/>
    <d v="2011-01-25T00:00:00"/>
    <d v="2012-06-25T00:00:00"/>
  </r>
  <r>
    <s v="Water Solutions (Hong Kong) Limited"/>
    <x v="46"/>
    <s v="GCB210i-SIP"/>
    <s v="GCB210i-SIP"/>
    <s v="GCB210,GCB210,; GCB210i,GCB210i,; GCW210,GCW210,; GCW210i,GCW210i,; GCW210i-SIP,GCW210i-SIP,"/>
    <x v="0"/>
    <x v="1"/>
    <n v="0.83"/>
    <d v="2011-12-10T00:00:00"/>
    <d v="2012-06-25T00:00:00"/>
  </r>
  <r>
    <s v="Water Solutions (Hong Kong) Limited"/>
    <x v="42"/>
    <m/>
    <s v="DW215ES"/>
    <m/>
    <x v="0"/>
    <x v="0"/>
    <n v="1.1080000000000001"/>
    <d v="2010-01-01T00:00:00"/>
    <d v="2010-08-16T00:00:00"/>
  </r>
  <r>
    <s v="Water Solutions (Hong Kong) Limited"/>
    <x v="43"/>
    <m/>
    <s v="IB215ES"/>
    <m/>
    <x v="0"/>
    <x v="0"/>
    <n v="1.1080000000000001"/>
    <d v="2010-01-01T00:00:00"/>
    <d v="2010-08-16T00:00:00"/>
  </r>
  <r>
    <s v="Water Solutions (Hong Kong) Limited"/>
    <x v="43"/>
    <m/>
    <s v="IB215LXES"/>
    <m/>
    <x v="0"/>
    <x v="0"/>
    <n v="1.1080000000000001"/>
    <d v="2010-01-01T00:00:00"/>
    <d v="2010-08-16T00:00:00"/>
  </r>
  <r>
    <s v="Water Solutions (Hong Kong) Limited"/>
    <x v="43"/>
    <m/>
    <s v="IW215ES"/>
    <m/>
    <x v="0"/>
    <x v="0"/>
    <n v="1.1080000000000001"/>
    <d v="2010-01-01T00:00:00"/>
    <d v="2010-08-16T00:00:00"/>
  </r>
  <r>
    <s v="Water Solutions (Hong Kong) Limited"/>
    <x v="43"/>
    <m/>
    <s v="IW215LXES"/>
    <m/>
    <x v="0"/>
    <x v="0"/>
    <n v="1.1080000000000001"/>
    <d v="2010-01-01T00:00:00"/>
    <d v="2010-08-16T00:00:00"/>
  </r>
  <r>
    <s v="Water Solutions (Hong Kong) Limited"/>
    <x v="44"/>
    <m/>
    <s v="RB215ES"/>
    <m/>
    <x v="0"/>
    <x v="0"/>
    <n v="1.1080000000000001"/>
    <d v="2010-01-01T00:00:00"/>
    <d v="2010-08-16T00:00:00"/>
  </r>
  <r>
    <s v="Water Solutions (Hong Kong) Limited"/>
    <x v="44"/>
    <m/>
    <s v="RP215ES"/>
    <m/>
    <x v="0"/>
    <x v="0"/>
    <n v="1.1080000000000001"/>
    <d v="2010-01-01T00:00:00"/>
    <d v="2010-08-16T00:00:00"/>
  </r>
  <r>
    <s v="Water Solutions (Hong Kong) Limited"/>
    <x v="44"/>
    <m/>
    <s v="RS215ES"/>
    <m/>
    <x v="0"/>
    <x v="0"/>
    <n v="1.1080000000000001"/>
    <d v="2010-01-01T00:00:00"/>
    <d v="2010-08-16T00:00:00"/>
  </r>
  <r>
    <s v="Water Solutions (Hong Kong) Limited"/>
    <x v="44"/>
    <m/>
    <s v="RW215ES"/>
    <m/>
    <x v="0"/>
    <x v="0"/>
    <n v="1.1080000000000001"/>
    <d v="2010-01-01T00:00:00"/>
    <d v="2010-08-16T00:00:00"/>
  </r>
  <r>
    <s v="Water Solutions (Hong Kong) Limited"/>
    <x v="45"/>
    <m/>
    <s v="VB215ES"/>
    <m/>
    <x v="0"/>
    <x v="0"/>
    <n v="1.1080000000000001"/>
    <d v="2010-01-01T00:00:00"/>
    <d v="2010-08-16T00:00:00"/>
  </r>
  <r>
    <s v="Water Solutions (Hong Kong) Limited"/>
    <x v="45"/>
    <m/>
    <s v="VB215LXES"/>
    <m/>
    <x v="0"/>
    <x v="0"/>
    <n v="1.1080000000000001"/>
    <d v="2010-01-01T00:00:00"/>
    <d v="2010-08-16T00:00:00"/>
  </r>
  <r>
    <s v="Water Solutions (Hong Kong) Limited"/>
    <x v="45"/>
    <m/>
    <s v="VW215ES"/>
    <m/>
    <x v="0"/>
    <x v="0"/>
    <n v="1.1080000000000001"/>
    <d v="2010-01-01T00:00:00"/>
    <d v="2010-08-16T00:00:00"/>
  </r>
  <r>
    <s v="Water Solutions (Hong Kong) Limited"/>
    <x v="45"/>
    <m/>
    <s v="VW215LXES"/>
    <m/>
    <x v="0"/>
    <x v="0"/>
    <n v="1.1080000000000001"/>
    <d v="2010-01-01T00:00:00"/>
    <d v="2010-08-16T00:00:00"/>
  </r>
  <r>
    <s v="Water Solutions (Hong Kong) Limited"/>
    <x v="42"/>
    <s v="Reflections"/>
    <s v="RB210"/>
    <m/>
    <x v="0"/>
    <x v="0"/>
    <n v="1.1140000000000001"/>
    <d v="2009-07-01T00:00:00"/>
    <d v="2009-11-10T00:00:00"/>
  </r>
  <r>
    <s v="Water Solutions (Hong Kong) Limited"/>
    <x v="42"/>
    <s v="Reflections"/>
    <s v="RB210EZ"/>
    <m/>
    <x v="0"/>
    <x v="0"/>
    <n v="1.1140000000000001"/>
    <d v="2009-07-01T00:00:00"/>
    <d v="2009-11-10T00:00:00"/>
  </r>
  <r>
    <s v="Water Solutions (Hong Kong) Limited"/>
    <x v="42"/>
    <s v="Reflections"/>
    <s v="RP210"/>
    <m/>
    <x v="0"/>
    <x v="0"/>
    <n v="1.1140000000000001"/>
    <d v="2009-07-01T00:00:00"/>
    <d v="2009-11-10T00:00:00"/>
  </r>
  <r>
    <s v="Water Solutions (Hong Kong) Limited"/>
    <x v="42"/>
    <s v="Reflections"/>
    <s v="RP210EZ"/>
    <m/>
    <x v="0"/>
    <x v="0"/>
    <n v="1.1140000000000001"/>
    <d v="2009-07-01T00:00:00"/>
    <d v="2009-11-10T00:00:00"/>
  </r>
  <r>
    <s v="Water Solutions (Hong Kong) Limited"/>
    <x v="42"/>
    <s v="Reflections"/>
    <s v="RS210"/>
    <m/>
    <x v="0"/>
    <x v="0"/>
    <n v="1.1140000000000001"/>
    <d v="2009-07-01T00:00:00"/>
    <d v="2009-11-10T00:00:00"/>
  </r>
  <r>
    <s v="Water Solutions (Hong Kong) Limited"/>
    <x v="42"/>
    <s v="Reflections"/>
    <s v="RS210EZ"/>
    <m/>
    <x v="0"/>
    <x v="0"/>
    <n v="1.1140000000000001"/>
    <d v="2009-07-01T00:00:00"/>
    <d v="2009-11-10T00:00:00"/>
  </r>
  <r>
    <s v="Water Solutions (Hong Kong) Limited"/>
    <x v="42"/>
    <s v="Reflections"/>
    <s v="RW210"/>
    <m/>
    <x v="0"/>
    <x v="0"/>
    <n v="1.1140000000000001"/>
    <d v="2009-07-01T00:00:00"/>
    <d v="2009-11-10T00:00:00"/>
  </r>
  <r>
    <s v="Water Solutions (Hong Kong) Limited"/>
    <x v="42"/>
    <s v="Reflections"/>
    <s v="RW210EZ"/>
    <m/>
    <x v="0"/>
    <x v="0"/>
    <n v="1.1140000000000001"/>
    <d v="2009-07-01T00:00:00"/>
    <d v="2009-11-10T00:00:00"/>
  </r>
  <r>
    <s v="Water Solutions (Hong Kong) Limited"/>
    <x v="42"/>
    <s v="Visions"/>
    <s v="VB210"/>
    <m/>
    <x v="0"/>
    <x v="0"/>
    <n v="1.1140000000000001"/>
    <d v="2009-07-01T00:00:00"/>
    <d v="2009-11-10T00:00:00"/>
  </r>
  <r>
    <s v="Water Solutions (Hong Kong) Limited"/>
    <x v="42"/>
    <s v="Visions"/>
    <s v="VB210EZ"/>
    <m/>
    <x v="0"/>
    <x v="0"/>
    <n v="1.1140000000000001"/>
    <d v="2009-07-01T00:00:00"/>
    <d v="2009-11-10T00:00:00"/>
  </r>
  <r>
    <s v="Water Solutions (Hong Kong) Limited"/>
    <x v="42"/>
    <s v="Visions"/>
    <s v="VBLX210"/>
    <m/>
    <x v="0"/>
    <x v="0"/>
    <n v="1.1140000000000001"/>
    <d v="2009-07-01T00:00:00"/>
    <d v="2009-11-10T00:00:00"/>
  </r>
  <r>
    <s v="Water Solutions (Hong Kong) Limited"/>
    <x v="42"/>
    <s v="Visions"/>
    <s v="VBLX210EZ"/>
    <m/>
    <x v="0"/>
    <x v="0"/>
    <n v="1.1140000000000001"/>
    <d v="2009-07-01T00:00:00"/>
    <d v="2009-11-10T00:00:00"/>
  </r>
  <r>
    <s v="Water Solutions (Hong Kong) Limited"/>
    <x v="42"/>
    <s v="Visions"/>
    <s v="VW210"/>
    <m/>
    <x v="0"/>
    <x v="0"/>
    <n v="1.1140000000000001"/>
    <d v="2009-07-01T00:00:00"/>
    <d v="2009-11-10T00:00:00"/>
  </r>
  <r>
    <s v="Water Solutions (Hong Kong) Limited"/>
    <x v="42"/>
    <s v="Visions"/>
    <s v="VW210EZ"/>
    <m/>
    <x v="0"/>
    <x v="0"/>
    <n v="1.1140000000000001"/>
    <d v="2009-07-01T00:00:00"/>
    <d v="2009-11-10T00:00:00"/>
  </r>
  <r>
    <s v="Water Solutions (Hong Kong) Limited"/>
    <x v="42"/>
    <s v="Visions"/>
    <s v="VWLX210"/>
    <m/>
    <x v="0"/>
    <x v="0"/>
    <n v="1.1140000000000001"/>
    <d v="2009-07-01T00:00:00"/>
    <d v="2009-11-10T00:00:00"/>
  </r>
  <r>
    <s v="Water Solutions (Hong Kong) Limited"/>
    <x v="42"/>
    <s v="Visions"/>
    <s v="VWLX210EZ"/>
    <m/>
    <x v="0"/>
    <x v="0"/>
    <n v="1.1140000000000001"/>
    <d v="2009-07-01T00:00:00"/>
    <d v="2009-11-10T00:00:00"/>
  </r>
  <r>
    <s v="Water Solutions (Hong Kong) Limited"/>
    <x v="42"/>
    <m/>
    <s v="DW210ESS"/>
    <m/>
    <x v="0"/>
    <x v="0"/>
    <n v="1.1200000000000001"/>
    <d v="2010-01-01T00:00:00"/>
    <d v="2010-08-16T00:00:00"/>
  </r>
  <r>
    <s v="Water Solutions (Hong Kong) Limited"/>
    <x v="42"/>
    <m/>
    <s v="DW210EZESS"/>
    <m/>
    <x v="0"/>
    <x v="0"/>
    <n v="1.1200000000000001"/>
    <d v="2010-01-01T00:00:00"/>
    <d v="2010-08-16T00:00:00"/>
  </r>
  <r>
    <s v="Water Solutions (Hong Kong) Limited"/>
    <x v="42"/>
    <m/>
    <s v="DW215ESS"/>
    <m/>
    <x v="0"/>
    <x v="0"/>
    <n v="1.1200000000000001"/>
    <d v="2010-01-01T00:00:00"/>
    <d v="2010-08-16T00:00:00"/>
  </r>
  <r>
    <s v="Water Solutions (Hong Kong) Limited"/>
    <x v="43"/>
    <m/>
    <s v="IB210ESS"/>
    <m/>
    <x v="0"/>
    <x v="0"/>
    <n v="1.1200000000000001"/>
    <d v="2010-01-01T00:00:00"/>
    <d v="2010-08-16T00:00:00"/>
  </r>
  <r>
    <s v="Water Solutions (Hong Kong) Limited"/>
    <x v="43"/>
    <m/>
    <s v="IB210EZESS"/>
    <m/>
    <x v="0"/>
    <x v="0"/>
    <n v="1.1200000000000001"/>
    <d v="2010-01-01T00:00:00"/>
    <d v="2010-08-16T00:00:00"/>
  </r>
  <r>
    <s v="Water Solutions (Hong Kong) Limited"/>
    <x v="43"/>
    <m/>
    <s v="IB210LXESS"/>
    <m/>
    <x v="0"/>
    <x v="0"/>
    <n v="1.1200000000000001"/>
    <d v="2010-01-01T00:00:00"/>
    <d v="2010-08-16T00:00:00"/>
  </r>
  <r>
    <s v="Water Solutions (Hong Kong) Limited"/>
    <x v="43"/>
    <m/>
    <s v="IB210LXEZESS"/>
    <m/>
    <x v="0"/>
    <x v="0"/>
    <n v="1.1200000000000001"/>
    <d v="2010-01-01T00:00:00"/>
    <d v="2010-08-16T00:00:00"/>
  </r>
  <r>
    <s v="Water Solutions (Hong Kong) Limited"/>
    <x v="43"/>
    <m/>
    <s v="IB215ESS"/>
    <m/>
    <x v="0"/>
    <x v="0"/>
    <n v="1.1200000000000001"/>
    <d v="2010-01-01T00:00:00"/>
    <d v="2010-08-16T00:00:00"/>
  </r>
  <r>
    <s v="Water Solutions (Hong Kong) Limited"/>
    <x v="43"/>
    <m/>
    <s v="IB215LXESS"/>
    <m/>
    <x v="0"/>
    <x v="0"/>
    <n v="1.1200000000000001"/>
    <d v="2010-01-01T00:00:00"/>
    <d v="2010-08-16T00:00:00"/>
  </r>
  <r>
    <s v="Water Solutions (Hong Kong) Limited"/>
    <x v="43"/>
    <m/>
    <s v="IW210ESS"/>
    <m/>
    <x v="0"/>
    <x v="0"/>
    <n v="1.1200000000000001"/>
    <d v="2010-01-01T00:00:00"/>
    <d v="2010-08-16T00:00:00"/>
  </r>
  <r>
    <s v="Water Solutions (Hong Kong) Limited"/>
    <x v="43"/>
    <m/>
    <s v="IW210EZESS"/>
    <m/>
    <x v="0"/>
    <x v="0"/>
    <n v="1.1200000000000001"/>
    <d v="2010-01-01T00:00:00"/>
    <d v="2010-08-16T00:00:00"/>
  </r>
  <r>
    <s v="Water Solutions (Hong Kong) Limited"/>
    <x v="43"/>
    <m/>
    <s v="IW210LXESS"/>
    <m/>
    <x v="0"/>
    <x v="0"/>
    <n v="1.1200000000000001"/>
    <d v="2010-01-01T00:00:00"/>
    <d v="2010-08-16T00:00:00"/>
  </r>
  <r>
    <s v="Water Solutions (Hong Kong) Limited"/>
    <x v="43"/>
    <m/>
    <s v="IW210LXEZESS"/>
    <m/>
    <x v="0"/>
    <x v="0"/>
    <n v="1.1200000000000001"/>
    <d v="2010-01-01T00:00:00"/>
    <d v="2010-08-16T00:00:00"/>
  </r>
  <r>
    <s v="Water Solutions (Hong Kong) Limited"/>
    <x v="43"/>
    <m/>
    <s v="IW215ESS"/>
    <m/>
    <x v="0"/>
    <x v="0"/>
    <n v="1.1200000000000001"/>
    <d v="2010-01-01T00:00:00"/>
    <d v="2010-08-16T00:00:00"/>
  </r>
  <r>
    <s v="Water Solutions (Hong Kong) Limited"/>
    <x v="43"/>
    <m/>
    <s v="IW215LXESS"/>
    <m/>
    <x v="0"/>
    <x v="0"/>
    <n v="1.1200000000000001"/>
    <d v="2010-01-01T00:00:00"/>
    <d v="2010-08-16T00:00:00"/>
  </r>
  <r>
    <s v="Water Solutions (Hong Kong) Limited"/>
    <x v="44"/>
    <m/>
    <s v="RB210ESS"/>
    <m/>
    <x v="0"/>
    <x v="0"/>
    <n v="1.1200000000000001"/>
    <d v="2010-01-01T00:00:00"/>
    <d v="2010-08-16T00:00:00"/>
  </r>
  <r>
    <s v="Water Solutions (Hong Kong) Limited"/>
    <x v="44"/>
    <m/>
    <s v="RB210EZESS"/>
    <m/>
    <x v="0"/>
    <x v="0"/>
    <n v="1.1200000000000001"/>
    <d v="2010-01-01T00:00:00"/>
    <d v="2010-08-16T00:00:00"/>
  </r>
  <r>
    <s v="Water Solutions (Hong Kong) Limited"/>
    <x v="44"/>
    <m/>
    <s v="RB215ESS"/>
    <m/>
    <x v="0"/>
    <x v="0"/>
    <n v="1.1200000000000001"/>
    <d v="2010-01-01T00:00:00"/>
    <d v="2010-08-16T00:00:00"/>
  </r>
  <r>
    <s v="Water Solutions (Hong Kong) Limited"/>
    <x v="44"/>
    <m/>
    <s v="RP210ESS"/>
    <m/>
    <x v="0"/>
    <x v="0"/>
    <n v="1.1200000000000001"/>
    <d v="2010-01-01T00:00:00"/>
    <d v="2010-08-16T00:00:00"/>
  </r>
  <r>
    <s v="Water Solutions (Hong Kong) Limited"/>
    <x v="44"/>
    <m/>
    <s v="RP210EZESS"/>
    <m/>
    <x v="0"/>
    <x v="0"/>
    <n v="1.1200000000000001"/>
    <d v="2010-01-01T00:00:00"/>
    <d v="2010-08-16T00:00:00"/>
  </r>
  <r>
    <s v="Water Solutions (Hong Kong) Limited"/>
    <x v="44"/>
    <m/>
    <s v="RP215ESS"/>
    <m/>
    <x v="0"/>
    <x v="0"/>
    <n v="1.1200000000000001"/>
    <d v="2010-01-01T00:00:00"/>
    <d v="2010-08-16T00:00:00"/>
  </r>
  <r>
    <s v="Water Solutions (Hong Kong) Limited"/>
    <x v="44"/>
    <m/>
    <s v="RS210ESS"/>
    <m/>
    <x v="0"/>
    <x v="0"/>
    <n v="1.1200000000000001"/>
    <d v="2010-01-01T00:00:00"/>
    <d v="2010-08-16T00:00:00"/>
  </r>
  <r>
    <s v="Water Solutions (Hong Kong) Limited"/>
    <x v="44"/>
    <m/>
    <s v="RS210EZESS"/>
    <m/>
    <x v="0"/>
    <x v="0"/>
    <n v="1.1200000000000001"/>
    <d v="2010-01-01T00:00:00"/>
    <d v="2010-08-16T00:00:00"/>
  </r>
  <r>
    <s v="Water Solutions (Hong Kong) Limited"/>
    <x v="44"/>
    <m/>
    <s v="RS215ESS"/>
    <m/>
    <x v="0"/>
    <x v="0"/>
    <n v="1.1200000000000001"/>
    <d v="2010-01-01T00:00:00"/>
    <d v="2010-08-16T00:00:00"/>
  </r>
  <r>
    <s v="Water Solutions (Hong Kong) Limited"/>
    <x v="44"/>
    <m/>
    <s v="RW210ESS"/>
    <m/>
    <x v="0"/>
    <x v="0"/>
    <n v="1.1200000000000001"/>
    <d v="2010-01-01T00:00:00"/>
    <d v="2010-08-16T00:00:00"/>
  </r>
  <r>
    <s v="Water Solutions (Hong Kong) Limited"/>
    <x v="44"/>
    <m/>
    <s v="RW210EZESS"/>
    <m/>
    <x v="0"/>
    <x v="0"/>
    <n v="1.1200000000000001"/>
    <d v="2010-01-01T00:00:00"/>
    <d v="2010-08-16T00:00:00"/>
  </r>
  <r>
    <s v="Water Solutions (Hong Kong) Limited"/>
    <x v="44"/>
    <m/>
    <s v="RW215ESS"/>
    <m/>
    <x v="0"/>
    <x v="0"/>
    <n v="1.1200000000000001"/>
    <d v="2010-01-01T00:00:00"/>
    <d v="2010-08-16T00:00:00"/>
  </r>
  <r>
    <s v="Water Solutions (Hong Kong) Limited"/>
    <x v="45"/>
    <m/>
    <s v="VB210ESS"/>
    <m/>
    <x v="0"/>
    <x v="0"/>
    <n v="1.1200000000000001"/>
    <d v="2010-01-01T00:00:00"/>
    <d v="2010-08-16T00:00:00"/>
  </r>
  <r>
    <s v="Water Solutions (Hong Kong) Limited"/>
    <x v="45"/>
    <m/>
    <s v="VB210EZESS"/>
    <m/>
    <x v="0"/>
    <x v="0"/>
    <n v="1.1200000000000001"/>
    <d v="2010-01-01T00:00:00"/>
    <d v="2010-08-16T00:00:00"/>
  </r>
  <r>
    <s v="Water Solutions (Hong Kong) Limited"/>
    <x v="45"/>
    <m/>
    <s v="VB210LXESS"/>
    <m/>
    <x v="0"/>
    <x v="0"/>
    <n v="1.1200000000000001"/>
    <d v="2010-01-01T00:00:00"/>
    <d v="2010-08-16T00:00:00"/>
  </r>
  <r>
    <s v="Water Solutions (Hong Kong) Limited"/>
    <x v="45"/>
    <m/>
    <s v="VB210LXEZESS"/>
    <m/>
    <x v="0"/>
    <x v="0"/>
    <n v="1.1200000000000001"/>
    <d v="2010-01-01T00:00:00"/>
    <d v="2010-08-16T00:00:00"/>
  </r>
  <r>
    <s v="Water Solutions (Hong Kong) Limited"/>
    <x v="45"/>
    <m/>
    <s v="VB215ESS"/>
    <m/>
    <x v="0"/>
    <x v="0"/>
    <n v="1.1200000000000001"/>
    <d v="2010-01-01T00:00:00"/>
    <d v="2010-08-16T00:00:00"/>
  </r>
  <r>
    <s v="Water Solutions (Hong Kong) Limited"/>
    <x v="45"/>
    <m/>
    <s v="VB215LXESS"/>
    <m/>
    <x v="0"/>
    <x v="0"/>
    <n v="1.1200000000000001"/>
    <d v="2010-01-01T00:00:00"/>
    <d v="2010-08-16T00:00:00"/>
  </r>
  <r>
    <s v="Water Solutions (Hong Kong) Limited"/>
    <x v="45"/>
    <m/>
    <s v="VW210ESS"/>
    <m/>
    <x v="0"/>
    <x v="0"/>
    <n v="1.1200000000000001"/>
    <d v="2010-01-01T00:00:00"/>
    <d v="2010-08-16T00:00:00"/>
  </r>
  <r>
    <s v="Water Solutions (Hong Kong) Limited"/>
    <x v="45"/>
    <m/>
    <s v="VW210EZESS"/>
    <m/>
    <x v="0"/>
    <x v="0"/>
    <n v="1.1200000000000001"/>
    <d v="2010-01-01T00:00:00"/>
    <d v="2010-08-16T00:00:00"/>
  </r>
  <r>
    <s v="Water Solutions (Hong Kong) Limited"/>
    <x v="45"/>
    <m/>
    <s v="VW210LXESS"/>
    <m/>
    <x v="0"/>
    <x v="0"/>
    <n v="1.1200000000000001"/>
    <d v="2010-01-01T00:00:00"/>
    <d v="2010-08-16T00:00:00"/>
  </r>
  <r>
    <s v="Water Solutions (Hong Kong) Limited"/>
    <x v="45"/>
    <m/>
    <s v="VW210LXEZESS"/>
    <m/>
    <x v="0"/>
    <x v="0"/>
    <n v="1.1200000000000001"/>
    <d v="2010-01-01T00:00:00"/>
    <d v="2010-08-16T00:00:00"/>
  </r>
  <r>
    <s v="Water Solutions (Hong Kong) Limited"/>
    <x v="45"/>
    <m/>
    <s v="VW215ESS"/>
    <m/>
    <x v="0"/>
    <x v="0"/>
    <n v="1.1200000000000001"/>
    <d v="2010-01-01T00:00:00"/>
    <d v="2010-08-16T00:00:00"/>
  </r>
  <r>
    <s v="Water Solutions (Hong Kong) Limited"/>
    <x v="45"/>
    <m/>
    <s v="VW215LXESS"/>
    <m/>
    <x v="0"/>
    <x v="0"/>
    <n v="1.1200000000000001"/>
    <d v="2010-01-01T00:00:00"/>
    <d v="2010-08-16T00:00:00"/>
  </r>
  <r>
    <s v="Water Solutions (Hong Kong) Limited"/>
    <x v="42"/>
    <m/>
    <s v="DW210ES"/>
    <m/>
    <x v="0"/>
    <x v="0"/>
    <n v="1.1439999999999999"/>
    <d v="2010-01-01T00:00:00"/>
    <d v="2010-08-16T00:00:00"/>
  </r>
  <r>
    <s v="Water Solutions (Hong Kong) Limited"/>
    <x v="42"/>
    <m/>
    <s v="DW210EZES"/>
    <m/>
    <x v="0"/>
    <x v="0"/>
    <n v="1.1439999999999999"/>
    <d v="2010-01-01T00:00:00"/>
    <d v="2010-08-16T00:00:00"/>
  </r>
  <r>
    <s v="Water Solutions (Hong Kong) Limited"/>
    <x v="43"/>
    <m/>
    <s v="IB210ES"/>
    <m/>
    <x v="0"/>
    <x v="0"/>
    <n v="1.1439999999999999"/>
    <d v="2010-01-01T00:00:00"/>
    <d v="2010-08-16T00:00:00"/>
  </r>
  <r>
    <s v="Water Solutions (Hong Kong) Limited"/>
    <x v="43"/>
    <m/>
    <s v="IB210EZES"/>
    <m/>
    <x v="0"/>
    <x v="0"/>
    <n v="1.1439999999999999"/>
    <d v="2010-01-01T00:00:00"/>
    <d v="2010-08-16T00:00:00"/>
  </r>
  <r>
    <s v="Water Solutions (Hong Kong) Limited"/>
    <x v="43"/>
    <m/>
    <s v="IB210LXES"/>
    <m/>
    <x v="0"/>
    <x v="0"/>
    <n v="1.1439999999999999"/>
    <d v="2010-01-01T00:00:00"/>
    <d v="2010-08-16T00:00:00"/>
  </r>
  <r>
    <s v="Water Solutions (Hong Kong) Limited"/>
    <x v="43"/>
    <m/>
    <s v="IB210LXEZES"/>
    <m/>
    <x v="0"/>
    <x v="0"/>
    <n v="1.1439999999999999"/>
    <d v="2010-01-01T00:00:00"/>
    <d v="2010-08-16T00:00:00"/>
  </r>
  <r>
    <s v="Water Solutions (Hong Kong) Limited"/>
    <x v="43"/>
    <m/>
    <s v="IW210ES"/>
    <m/>
    <x v="0"/>
    <x v="0"/>
    <n v="1.1439999999999999"/>
    <d v="2010-01-01T00:00:00"/>
    <d v="2010-08-16T00:00:00"/>
  </r>
  <r>
    <s v="Water Solutions (Hong Kong) Limited"/>
    <x v="43"/>
    <m/>
    <s v="IW210EZES"/>
    <m/>
    <x v="0"/>
    <x v="0"/>
    <n v="1.1439999999999999"/>
    <d v="2010-01-01T00:00:00"/>
    <d v="2010-08-16T00:00:00"/>
  </r>
  <r>
    <s v="Water Solutions (Hong Kong) Limited"/>
    <x v="43"/>
    <m/>
    <s v="IW210LXES"/>
    <m/>
    <x v="0"/>
    <x v="0"/>
    <n v="1.1439999999999999"/>
    <d v="2010-01-01T00:00:00"/>
    <d v="2010-08-16T00:00:00"/>
  </r>
  <r>
    <s v="Water Solutions (Hong Kong) Limited"/>
    <x v="43"/>
    <m/>
    <s v="IW210LXEZES"/>
    <m/>
    <x v="0"/>
    <x v="0"/>
    <n v="1.1439999999999999"/>
    <d v="2010-01-01T00:00:00"/>
    <d v="2010-08-16T00:00:00"/>
  </r>
  <r>
    <s v="Water Solutions (Hong Kong) Limited"/>
    <x v="44"/>
    <m/>
    <s v="RB210ES"/>
    <m/>
    <x v="0"/>
    <x v="0"/>
    <n v="1.1439999999999999"/>
    <d v="2010-01-01T00:00:00"/>
    <d v="2010-08-16T00:00:00"/>
  </r>
  <r>
    <s v="Water Solutions (Hong Kong) Limited"/>
    <x v="44"/>
    <m/>
    <s v="RB210EZES"/>
    <m/>
    <x v="0"/>
    <x v="0"/>
    <n v="1.1439999999999999"/>
    <d v="2010-01-01T00:00:00"/>
    <d v="2010-08-16T00:00:00"/>
  </r>
  <r>
    <s v="Water Solutions (Hong Kong) Limited"/>
    <x v="44"/>
    <m/>
    <s v="RP210ES"/>
    <m/>
    <x v="0"/>
    <x v="0"/>
    <n v="1.1439999999999999"/>
    <d v="2010-01-01T00:00:00"/>
    <d v="2010-08-16T00:00:00"/>
  </r>
  <r>
    <s v="Water Solutions (Hong Kong) Limited"/>
    <x v="44"/>
    <m/>
    <s v="RP210EZES"/>
    <m/>
    <x v="0"/>
    <x v="0"/>
    <n v="1.1439999999999999"/>
    <d v="2010-01-01T00:00:00"/>
    <d v="2010-08-16T00:00:00"/>
  </r>
  <r>
    <s v="Water Solutions (Hong Kong) Limited"/>
    <x v="44"/>
    <m/>
    <s v="RS210ES"/>
    <m/>
    <x v="0"/>
    <x v="0"/>
    <n v="1.1439999999999999"/>
    <d v="2010-01-01T00:00:00"/>
    <d v="2010-08-16T00:00:00"/>
  </r>
  <r>
    <s v="Water Solutions (Hong Kong) Limited"/>
    <x v="44"/>
    <m/>
    <s v="RS210EZES"/>
    <m/>
    <x v="0"/>
    <x v="0"/>
    <n v="1.1439999999999999"/>
    <d v="2010-01-01T00:00:00"/>
    <d v="2010-08-16T00:00:00"/>
  </r>
  <r>
    <s v="Water Solutions (Hong Kong) Limited"/>
    <x v="44"/>
    <m/>
    <s v="RW210ES"/>
    <m/>
    <x v="0"/>
    <x v="0"/>
    <n v="1.1439999999999999"/>
    <d v="2010-01-01T00:00:00"/>
    <d v="2010-08-16T00:00:00"/>
  </r>
  <r>
    <s v="Water Solutions (Hong Kong) Limited"/>
    <x v="44"/>
    <m/>
    <s v="RW210EZES"/>
    <m/>
    <x v="0"/>
    <x v="0"/>
    <n v="1.1439999999999999"/>
    <d v="2010-01-01T00:00:00"/>
    <d v="2010-08-16T00:00:00"/>
  </r>
  <r>
    <s v="Water Solutions (Hong Kong) Limited"/>
    <x v="45"/>
    <m/>
    <s v="VB210ES"/>
    <m/>
    <x v="0"/>
    <x v="0"/>
    <n v="1.1439999999999999"/>
    <d v="2010-01-01T00:00:00"/>
    <d v="2010-08-16T00:00:00"/>
  </r>
  <r>
    <s v="Water Solutions (Hong Kong) Limited"/>
    <x v="45"/>
    <m/>
    <s v="VB210EZES"/>
    <m/>
    <x v="0"/>
    <x v="0"/>
    <n v="1.1439999999999999"/>
    <d v="2010-01-01T00:00:00"/>
    <d v="2010-08-16T00:00:00"/>
  </r>
  <r>
    <s v="Water Solutions (Hong Kong) Limited"/>
    <x v="45"/>
    <m/>
    <s v="VB210LXES"/>
    <m/>
    <x v="0"/>
    <x v="0"/>
    <n v="1.1439999999999999"/>
    <d v="2010-01-01T00:00:00"/>
    <d v="2010-08-16T00:00:00"/>
  </r>
  <r>
    <s v="Water Solutions (Hong Kong) Limited"/>
    <x v="45"/>
    <m/>
    <s v="VB210LXEZES"/>
    <m/>
    <x v="0"/>
    <x v="0"/>
    <n v="1.1439999999999999"/>
    <d v="2010-01-01T00:00:00"/>
    <d v="2010-08-16T00:00:00"/>
  </r>
  <r>
    <s v="Water Solutions (Hong Kong) Limited"/>
    <x v="45"/>
    <m/>
    <s v="VW210ES"/>
    <m/>
    <x v="0"/>
    <x v="0"/>
    <n v="1.1439999999999999"/>
    <d v="2010-01-01T00:00:00"/>
    <d v="2010-08-16T00:00:00"/>
  </r>
  <r>
    <s v="Water Solutions (Hong Kong) Limited"/>
    <x v="45"/>
    <m/>
    <s v="VW210EZES"/>
    <m/>
    <x v="0"/>
    <x v="0"/>
    <n v="1.1439999999999999"/>
    <d v="2010-01-01T00:00:00"/>
    <d v="2010-08-16T00:00:00"/>
  </r>
  <r>
    <s v="Water Solutions (Hong Kong) Limited"/>
    <x v="45"/>
    <m/>
    <s v="VW210LXES"/>
    <m/>
    <x v="0"/>
    <x v="0"/>
    <n v="1.1439999999999999"/>
    <d v="2010-01-01T00:00:00"/>
    <d v="2010-08-16T00:00:00"/>
  </r>
  <r>
    <s v="Water Solutions (Hong Kong) Limited"/>
    <x v="45"/>
    <m/>
    <s v="VW210LXEZES"/>
    <m/>
    <x v="0"/>
    <x v="0"/>
    <n v="1.1439999999999999"/>
    <d v="2010-01-01T00:00:00"/>
    <d v="2010-08-16T00:00:00"/>
  </r>
  <r>
    <s v="Water Solutions (Hong Kong) Limited"/>
    <x v="42"/>
    <s v="Reflections"/>
    <s v="RW210"/>
    <m/>
    <x v="0"/>
    <x v="0"/>
    <n v="1.19"/>
    <d v="2006-01-01T00:00:00"/>
    <d v="2005-12-30T00:00:00"/>
  </r>
  <r>
    <s v="Water Solutions (Hong Kong) Limited"/>
    <x v="42"/>
    <s v="Visions"/>
    <s v="VW210"/>
    <m/>
    <x v="0"/>
    <x v="0"/>
    <n v="1.19"/>
    <d v="2006-01-01T00:00:00"/>
    <d v="2005-12-30T00:00:00"/>
  </r>
  <r>
    <s v="Waterlogic International, LTD"/>
    <x v="47"/>
    <s v="F-2FW-FS-C-TT-CS-WLT"/>
    <s v="F-2FW-FS-C-TT-CS-WLT"/>
    <m/>
    <x v="2"/>
    <x v="2"/>
    <n v="0.06"/>
    <d v="2010-01-01T00:00:00"/>
    <d v="2012-06-26T00:00:00"/>
  </r>
  <r>
    <s v="Waterlogic International, LTD"/>
    <x v="48"/>
    <s v="12-WL2200-CUL"/>
    <s v="12-WL2200-CUL"/>
    <m/>
    <x v="0"/>
    <x v="2"/>
    <n v="0.3"/>
    <d v="2010-12-16T00:00:00"/>
    <d v="2012-06-25T00:00:00"/>
  </r>
  <r>
    <s v="Waterlogic International, LTD"/>
    <x v="47"/>
    <s v="F-1000-FS-HCA-ROP-CS-WLS"/>
    <s v="F-1000-FS-HCA-ROP-CS-WLS"/>
    <m/>
    <x v="0"/>
    <x v="2"/>
    <n v="0.33"/>
    <d v="2007-01-01T00:00:00"/>
    <d v="2012-06-26T00:00:00"/>
  </r>
  <r>
    <s v="Waterlogic International, LTD"/>
    <x v="47"/>
    <s v="F-2000-FS-HC-DC-CS-WLF"/>
    <s v="F-2000-FS-HC-DC-CS-WLF"/>
    <m/>
    <x v="1"/>
    <x v="2"/>
    <n v="0.72"/>
    <d v="2003-01-01T00:00:00"/>
    <d v="2012-06-26T00:00:00"/>
  </r>
  <r>
    <s v="Waterlogic International, LTD"/>
    <x v="48"/>
    <s v="12-WL2100-CUL"/>
    <s v="12-WL2100-CUL"/>
    <m/>
    <x v="0"/>
    <x v="2"/>
    <n v="0.73"/>
    <d v="2010-12-15T00:00:00"/>
    <d v="2012-06-26T00:00:00"/>
  </r>
  <r>
    <s v="Waterlogic International, LTD"/>
    <x v="49"/>
    <s v="12-CHCFW3"/>
    <s v="12-CHCFW3"/>
    <m/>
    <x v="0"/>
    <x v="2"/>
    <n v="0.82"/>
    <d v="2010-12-17T00:00:00"/>
    <d v="2012-06-26T00:00:00"/>
  </r>
  <r>
    <s v="Waterlogic International, LTD"/>
    <x v="49"/>
    <s v="12-CHCU3"/>
    <s v="12-CHCU3"/>
    <s v="12-CHCMU3,12-CHCMU3,; 12-RC-1,12-RC-1,; 12-RC-2,12-RC-2,; 12-RCP-1,12-RCP-1,; 12CHCMU3-ARA,12CHCMU3-ARA,; IIHCRC,IIHCRC,; IIMHCRC,IIMHCRC,; XFTS1,XFTS1,; XHH,XHH,"/>
    <x v="0"/>
    <x v="2"/>
    <n v="0.84"/>
    <d v="2010-12-14T00:00:00"/>
    <d v="2012-06-26T00:00:00"/>
  </r>
  <r>
    <s v="Waterlogic International, LTD"/>
    <x v="49"/>
    <s v="19-GU-BLU"/>
    <s v="19-GU-BLU"/>
    <m/>
    <x v="0"/>
    <x v="2"/>
    <n v="0.89"/>
    <d v="2010-12-13T00:00:00"/>
    <d v="2012-10-02T00:00:00"/>
  </r>
  <r>
    <s v="Waterlogic International, LTD"/>
    <x v="47"/>
    <s v="F-2FW-FS-HC-TT-CS-WLT"/>
    <s v="F-2FW-FS-HC-TT-CS-WLT"/>
    <m/>
    <x v="0"/>
    <x v="2"/>
    <n v="1"/>
    <d v="2010-01-01T00:00:00"/>
    <d v="2012-06-26T00:00:00"/>
  </r>
  <r>
    <s v="Young One Corporation"/>
    <x v="50"/>
    <m/>
    <s v="YP-F30"/>
    <m/>
    <x v="0"/>
    <x v="0"/>
    <n v="1.0189999999999999"/>
    <d v="2010-06-22T00:00:00"/>
    <d v="2010-07-01T00:00:00"/>
  </r>
  <r>
    <s v="Young One Corporation"/>
    <x v="50"/>
    <m/>
    <s v="YP-F3S"/>
    <m/>
    <x v="0"/>
    <x v="0"/>
    <n v="1.028"/>
    <d v="2010-07-12T00:00:00"/>
    <d v="2010-08-13T00:00:00"/>
  </r>
  <r>
    <s v="Young One Corporation"/>
    <x v="50"/>
    <m/>
    <s v="YP-F3U"/>
    <m/>
    <x v="0"/>
    <x v="0"/>
    <n v="1.0289999999999999"/>
    <d v="2010-07-14T00:00:00"/>
    <d v="2010-08-13T00:00:00"/>
  </r>
  <r>
    <s v="Young One Corporation"/>
    <x v="50"/>
    <m/>
    <s v="YP-E30"/>
    <m/>
    <x v="0"/>
    <x v="0"/>
    <n v="1.0469999999999999"/>
    <d v="2010-06-22T00:00:00"/>
    <d v="2010-07-01T00:00:00"/>
  </r>
  <r>
    <s v="Young One Corporation"/>
    <x v="50"/>
    <m/>
    <s v="YP-E3S"/>
    <m/>
    <x v="0"/>
    <x v="0"/>
    <n v="1.056"/>
    <d v="2010-07-06T00:00:00"/>
    <d v="2010-08-13T00:00:00"/>
  </r>
  <r>
    <s v="Young One Corporation"/>
    <x v="50"/>
    <m/>
    <s v="YP-E3U"/>
    <m/>
    <x v="0"/>
    <x v="0"/>
    <n v="1.0569999999999999"/>
    <d v="2010-07-08T00:00:00"/>
    <d v="2010-08-13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3" minRefreshableVersion="3" showCalcMbrs="0" useAutoFormatting="1" colGrandTotals="0" itemPrintTitles="1" createdVersion="3" indent="0" outline="1" outlineData="1" multipleFieldFilters="0">
  <location ref="A3:G22" firstHeaderRow="1" firstDataRow="3" firstDataCol="1" rowPageCount="1" colPageCount="1"/>
  <pivotFields count="10">
    <pivotField showAll="0"/>
    <pivotField axis="axisRow" showAll="0">
      <items count="52">
        <item x="1"/>
        <item x="50"/>
        <item x="2"/>
        <item x="4"/>
        <item x="12"/>
        <item x="5"/>
        <item x="6"/>
        <item x="9"/>
        <item x="10"/>
        <item x="7"/>
        <item x="8"/>
        <item x="48"/>
        <item x="11"/>
        <item x="3"/>
        <item x="16"/>
        <item x="26"/>
        <item x="19"/>
        <item x="18"/>
        <item x="38"/>
        <item x="13"/>
        <item x="22"/>
        <item x="27"/>
        <item x="34"/>
        <item x="28"/>
        <item x="17"/>
        <item x="49"/>
        <item x="37"/>
        <item x="32"/>
        <item x="31"/>
        <item x="29"/>
        <item x="42"/>
        <item x="43"/>
        <item x="44"/>
        <item x="45"/>
        <item x="33"/>
        <item x="35"/>
        <item x="0"/>
        <item x="21"/>
        <item x="25"/>
        <item x="36"/>
        <item x="20"/>
        <item x="39"/>
        <item x="40"/>
        <item x="15"/>
        <item x="41"/>
        <item x="24"/>
        <item x="14"/>
        <item x="46"/>
        <item x="47"/>
        <item x="23"/>
        <item x="30"/>
        <item t="default"/>
      </items>
    </pivotField>
    <pivotField showAll="0"/>
    <pivotField showAll="0"/>
    <pivotField showAll="0"/>
    <pivotField axis="axisCol" showAll="0">
      <items count="4">
        <item x="2"/>
        <item x="1"/>
        <item x="0"/>
        <item t="default"/>
      </items>
    </pivotField>
    <pivotField axis="axisPage" showAll="0">
      <items count="4">
        <item x="1"/>
        <item x="2"/>
        <item x="0"/>
        <item t="default"/>
      </items>
    </pivotField>
    <pivotField dataField="1" numFmtId="2" showAll="0"/>
    <pivotField showAll="0"/>
    <pivotField numFmtId="173" showAll="0"/>
  </pivotFields>
  <rowFields count="1">
    <field x="1"/>
  </rowFields>
  <rowItems count="17">
    <i>
      <x v="4"/>
    </i>
    <i>
      <x v="5"/>
    </i>
    <i>
      <x v="6"/>
    </i>
    <i>
      <x v="7"/>
    </i>
    <i>
      <x v="12"/>
    </i>
    <i>
      <x v="15"/>
    </i>
    <i>
      <x v="19"/>
    </i>
    <i>
      <x v="24"/>
    </i>
    <i>
      <x v="29"/>
    </i>
    <i>
      <x v="34"/>
    </i>
    <i>
      <x v="37"/>
    </i>
    <i>
      <x v="39"/>
    </i>
    <i>
      <x v="43"/>
    </i>
    <i>
      <x v="45"/>
    </i>
    <i>
      <x v="46"/>
    </i>
    <i>
      <x v="47"/>
    </i>
    <i t="grand">
      <x/>
    </i>
  </rowItems>
  <colFields count="2">
    <field x="-2"/>
    <field x="5"/>
  </colFields>
  <colItems count="6">
    <i>
      <x/>
      <x/>
    </i>
    <i r="1">
      <x v="1"/>
    </i>
    <i r="1">
      <x v="2"/>
    </i>
    <i i="1">
      <x v="1"/>
      <x/>
    </i>
    <i r="1" i="1">
      <x v="1"/>
    </i>
    <i r="1" i="1">
      <x v="2"/>
    </i>
  </colItems>
  <pageFields count="1">
    <pageField fld="6" item="0" hier="-1"/>
  </pageFields>
  <dataFields count="2">
    <dataField name="Count of Standby Energy Consumption (kWh/day)" fld="7" subtotal="count" baseField="0" baseItem="0"/>
    <dataField name="Average of Standby Energy Consumption (kWh/day)2" fld="7" subtotal="average" baseField="0" baseItem="0"/>
  </dataFields>
  <formats count="7">
    <format dxfId="6">
      <pivotArea dataOnly="0" labelOnly="1" outline="0" fieldPosition="0">
        <references count="1">
          <reference field="4294967294" count="2">
            <x v="0"/>
            <x v="1"/>
          </reference>
        </references>
      </pivotArea>
    </format>
    <format dxfId="5">
      <pivotArea dataOnly="0" labelOnly="1" fieldPosition="0">
        <references count="2">
          <reference field="4294967294" count="1" selected="0">
            <x v="0"/>
          </reference>
          <reference field="5" count="0"/>
        </references>
      </pivotArea>
    </format>
    <format dxfId="4">
      <pivotArea dataOnly="0" labelOnly="1" fieldPosition="0">
        <references count="2">
          <reference field="4294967294" count="1" selected="0">
            <x v="1"/>
          </reference>
          <reference field="5" count="0"/>
        </references>
      </pivotArea>
    </format>
    <format dxfId="3">
      <pivotArea collapsedLevelsAreSubtotals="1" fieldPosition="0">
        <references count="3">
          <reference field="4294967294" count="1" selected="0">
            <x v="1"/>
          </reference>
          <reference field="1" count="16">
            <x v="4"/>
            <x v="5"/>
            <x v="6"/>
            <x v="7"/>
            <x v="12"/>
            <x v="15"/>
            <x v="19"/>
            <x v="24"/>
            <x v="29"/>
            <x v="34"/>
            <x v="37"/>
            <x v="39"/>
            <x v="43"/>
            <x v="45"/>
            <x v="46"/>
            <x v="47"/>
          </reference>
          <reference field="5" count="1" selected="0">
            <x v="2"/>
          </reference>
        </references>
      </pivotArea>
    </format>
    <format dxfId="2">
      <pivotArea outline="0" collapsedLevelsAreSubtotals="1" fieldPosition="0">
        <references count="2">
          <reference field="4294967294" count="1" selected="0">
            <x v="1"/>
          </reference>
          <reference field="5" count="1" selected="0">
            <x v="2"/>
          </reference>
        </references>
      </pivotArea>
    </format>
    <format dxfId="1">
      <pivotArea collapsedLevelsAreSubtotals="1" fieldPosition="0">
        <references count="3">
          <reference field="4294967294" count="1" selected="0">
            <x v="1"/>
          </reference>
          <reference field="1" count="1">
            <x v="4"/>
          </reference>
          <reference field="5" count="1" selected="0">
            <x v="1"/>
          </reference>
        </references>
      </pivotArea>
    </format>
    <format dxfId="0">
      <pivotArea collapsedLevelsAreSubtotals="1" fieldPosition="0">
        <references count="3">
          <reference field="4294967294" count="1" selected="0">
            <x v="1"/>
          </reference>
          <reference field="1" count="1">
            <x v="4"/>
          </reference>
          <reference field="5" count="1" selected="0">
            <x v="0"/>
          </reference>
        </references>
      </pivotArea>
    </format>
  </formats>
  <pivotTableStyleInfo name="PivotStyleLight16" showRowHeaders="1" showColHeaders="1" showRowStripes="0" showColStripes="0" showLastColumn="1"/>
</pivotTableDefinition>
</file>

<file path=xl/tables/table1.xml><?xml version="1.0" encoding="utf-8"?>
<table xmlns="http://schemas.openxmlformats.org/spreadsheetml/2006/main" id="1" name="Table1349" displayName="Table1349" ref="B8:K515" totalsRowShown="0" headerRowDxfId="21" dataDxfId="19" headerRowBorderDxfId="20" tableBorderDxfId="18" totalsRowBorderDxfId="17">
  <autoFilter ref="B8:K515"/>
  <sortState ref="B9:K515">
    <sortCondition ref="B8:B515"/>
  </sortState>
  <tableColumns count="10">
    <tableColumn id="1" name="ENERGY STAR Partner" dataDxfId="16"/>
    <tableColumn id="2" name="Brand" dataDxfId="15"/>
    <tableColumn id="3" name="Model Name" dataDxfId="14"/>
    <tableColumn id="4" name="Model Number" dataDxfId="13"/>
    <tableColumn id="5" name="Additional Model Information" dataDxfId="12"/>
    <tableColumn id="6" name="Product Type" dataDxfId="11"/>
    <tableColumn id="7" name="Water Source" dataDxfId="10"/>
    <tableColumn id="8" name="Standby Energy Consumption (kWh/day)" dataDxfId="9"/>
    <tableColumn id="9" name="Date Available On Market" dataDxfId="8"/>
    <tableColumn id="10" name="Date Qualified"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3" Type="http://schemas.openxmlformats.org/officeDocument/2006/relationships/hyperlink" Target="http://watercoolerseurope.eu/news/us-water-cooler-market-up-to-5-5-million-units" TargetMode="External"/><Relationship Id="rId7" Type="http://schemas.openxmlformats.org/officeDocument/2006/relationships/comments" Target="../comments5.xml"/><Relationship Id="rId2" Type="http://schemas.openxmlformats.org/officeDocument/2006/relationships/hyperlink" Target="http://www.researchandmarkets.com/research/9v73d2/usa_pou_and" TargetMode="External"/><Relationship Id="rId1" Type="http://schemas.openxmlformats.org/officeDocument/2006/relationships/hyperlink" Target="http://www.zenithinternational.com/reports_data/136/US+Point+of+Use+Coolers+Report+2010" TargetMode="External"/><Relationship Id="rId6" Type="http://schemas.openxmlformats.org/officeDocument/2006/relationships/vmlDrawing" Target="../drawings/vmlDrawing5.vm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hyperlink" Target="Water%20Cooler%20Controller"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BD5"/>
  <sheetViews>
    <sheetView workbookViewId="0">
      <selection activeCell="C18" sqref="C18"/>
    </sheetView>
  </sheetViews>
  <sheetFormatPr defaultRowHeight="12.75"/>
  <cols>
    <col min="1" max="2" width="21.85546875" customWidth="1"/>
    <col min="3" max="3" width="40.28515625" bestFit="1" customWidth="1"/>
    <col min="4" max="4" width="12.28515625" bestFit="1" customWidth="1"/>
    <col min="5" max="5" width="30.5703125" bestFit="1" customWidth="1"/>
    <col min="6" max="8" width="11.85546875" customWidth="1"/>
    <col min="10" max="10" width="17.28515625" customWidth="1"/>
  </cols>
  <sheetData>
    <row r="1" spans="1:56" ht="15.75" thickBot="1">
      <c r="A1" s="250" t="s">
        <v>1405</v>
      </c>
      <c r="B1" s="250" t="s">
        <v>1406</v>
      </c>
      <c r="C1" s="250" t="s">
        <v>1407</v>
      </c>
      <c r="D1" s="250" t="s">
        <v>1408</v>
      </c>
      <c r="E1" s="250" t="s">
        <v>1409</v>
      </c>
      <c r="F1" s="250" t="s">
        <v>1410</v>
      </c>
      <c r="G1" s="250" t="s">
        <v>1411</v>
      </c>
      <c r="H1" s="250" t="s">
        <v>1412</v>
      </c>
      <c r="I1" s="250" t="s">
        <v>1100</v>
      </c>
      <c r="J1" s="250" t="s">
        <v>1101</v>
      </c>
      <c r="K1" s="255">
        <v>2016</v>
      </c>
      <c r="L1" s="350">
        <v>2017</v>
      </c>
      <c r="M1" s="350">
        <v>2018</v>
      </c>
      <c r="N1" s="350">
        <v>2019</v>
      </c>
      <c r="O1" s="350">
        <v>2020</v>
      </c>
      <c r="P1" s="350">
        <v>2021</v>
      </c>
      <c r="Q1" s="350">
        <v>2022</v>
      </c>
      <c r="R1" s="350">
        <v>2023</v>
      </c>
      <c r="S1" s="350">
        <v>2024</v>
      </c>
      <c r="T1" s="350">
        <v>2025</v>
      </c>
      <c r="U1" s="350">
        <v>2026</v>
      </c>
      <c r="V1" s="350">
        <v>2027</v>
      </c>
      <c r="W1" s="350">
        <v>2028</v>
      </c>
      <c r="X1" s="350">
        <v>2029</v>
      </c>
      <c r="Y1" s="350">
        <v>2030</v>
      </c>
      <c r="Z1" s="350">
        <v>2031</v>
      </c>
      <c r="AA1" s="350">
        <v>2032</v>
      </c>
      <c r="AB1" s="350">
        <v>2033</v>
      </c>
      <c r="AC1" s="350">
        <v>2034</v>
      </c>
      <c r="AD1" s="350">
        <v>2035</v>
      </c>
      <c r="AE1" s="351" t="s">
        <v>1413</v>
      </c>
      <c r="AF1" s="126" t="s">
        <v>771</v>
      </c>
      <c r="AG1" s="127"/>
      <c r="AH1" s="127"/>
      <c r="AI1" s="127"/>
      <c r="AJ1" s="127"/>
      <c r="AK1" s="127"/>
      <c r="AL1" s="127"/>
      <c r="AM1" s="127"/>
      <c r="AN1" s="127"/>
      <c r="AO1" s="127"/>
      <c r="AP1" s="127"/>
      <c r="AQ1" s="128"/>
      <c r="AR1" s="125"/>
      <c r="AS1" s="126" t="s">
        <v>772</v>
      </c>
      <c r="AT1" s="127"/>
      <c r="AU1" s="127"/>
      <c r="AV1" s="127"/>
      <c r="AW1" s="127"/>
      <c r="AX1" s="127"/>
      <c r="AY1" s="127"/>
      <c r="AZ1" s="127"/>
      <c r="BA1" s="127"/>
      <c r="BB1" s="127"/>
      <c r="BC1" s="127"/>
      <c r="BD1" s="128"/>
    </row>
    <row r="2" spans="1:56" ht="15">
      <c r="A2" s="250"/>
      <c r="B2" s="250"/>
      <c r="C2" s="250"/>
      <c r="D2" s="250"/>
      <c r="E2" s="250"/>
      <c r="F2" s="250" t="s">
        <v>784</v>
      </c>
      <c r="G2" s="250" t="s">
        <v>773</v>
      </c>
      <c r="H2" s="250" t="s">
        <v>1099</v>
      </c>
      <c r="I2" s="250">
        <f>'SC-NR'!D60</f>
        <v>1</v>
      </c>
      <c r="J2" s="250"/>
      <c r="K2" s="256" t="str">
        <f t="shared" ref="K2:AD2" si="0">CONCATENATE("aMW_",K$1)</f>
        <v>aMW_2016</v>
      </c>
      <c r="L2" s="352" t="str">
        <f t="shared" si="0"/>
        <v>aMW_2017</v>
      </c>
      <c r="M2" s="352" t="str">
        <f t="shared" si="0"/>
        <v>aMW_2018</v>
      </c>
      <c r="N2" s="352" t="str">
        <f t="shared" si="0"/>
        <v>aMW_2019</v>
      </c>
      <c r="O2" s="352" t="str">
        <f t="shared" si="0"/>
        <v>aMW_2020</v>
      </c>
      <c r="P2" s="352" t="str">
        <f t="shared" si="0"/>
        <v>aMW_2021</v>
      </c>
      <c r="Q2" s="352" t="str">
        <f t="shared" si="0"/>
        <v>aMW_2022</v>
      </c>
      <c r="R2" s="352" t="str">
        <f t="shared" si="0"/>
        <v>aMW_2023</v>
      </c>
      <c r="S2" s="352" t="str">
        <f t="shared" si="0"/>
        <v>aMW_2024</v>
      </c>
      <c r="T2" s="352" t="str">
        <f t="shared" si="0"/>
        <v>aMW_2025</v>
      </c>
      <c r="U2" s="352" t="str">
        <f t="shared" si="0"/>
        <v>aMW_2026</v>
      </c>
      <c r="V2" s="352" t="str">
        <f t="shared" si="0"/>
        <v>aMW_2027</v>
      </c>
      <c r="W2" s="352" t="str">
        <f t="shared" si="0"/>
        <v>aMW_2028</v>
      </c>
      <c r="X2" s="352" t="str">
        <f t="shared" si="0"/>
        <v>aMW_2029</v>
      </c>
      <c r="Y2" s="352" t="str">
        <f t="shared" si="0"/>
        <v>aMW_2030</v>
      </c>
      <c r="Z2" s="352" t="str">
        <f t="shared" si="0"/>
        <v>aMW_2031</v>
      </c>
      <c r="AA2" s="352" t="str">
        <f t="shared" si="0"/>
        <v>aMW_2032</v>
      </c>
      <c r="AB2" s="352" t="str">
        <f t="shared" si="0"/>
        <v>aMW_2033</v>
      </c>
      <c r="AC2" s="352" t="str">
        <f t="shared" si="0"/>
        <v>aMW_2034</v>
      </c>
      <c r="AD2" s="352" t="str">
        <f t="shared" si="0"/>
        <v>aMW_2035</v>
      </c>
      <c r="AE2" s="353" t="s">
        <v>1413</v>
      </c>
      <c r="AF2" s="131" t="s">
        <v>785</v>
      </c>
      <c r="AG2" s="131" t="s">
        <v>786</v>
      </c>
      <c r="AH2" s="131" t="s">
        <v>787</v>
      </c>
      <c r="AI2" s="131" t="s">
        <v>788</v>
      </c>
      <c r="AJ2" s="131" t="s">
        <v>789</v>
      </c>
      <c r="AK2" s="131" t="s">
        <v>790</v>
      </c>
      <c r="AL2" s="131" t="s">
        <v>791</v>
      </c>
      <c r="AM2" s="131" t="s">
        <v>792</v>
      </c>
      <c r="AN2" s="131" t="s">
        <v>793</v>
      </c>
      <c r="AO2" s="131" t="s">
        <v>794</v>
      </c>
      <c r="AP2" s="131" t="s">
        <v>795</v>
      </c>
      <c r="AQ2" s="131" t="s">
        <v>796</v>
      </c>
      <c r="AR2" s="131"/>
      <c r="AS2" s="131" t="s">
        <v>785</v>
      </c>
      <c r="AT2" s="131" t="s">
        <v>786</v>
      </c>
      <c r="AU2" s="131" t="s">
        <v>787</v>
      </c>
      <c r="AV2" s="131" t="s">
        <v>788</v>
      </c>
      <c r="AW2" s="131" t="s">
        <v>789</v>
      </c>
      <c r="AX2" s="131" t="s">
        <v>790</v>
      </c>
      <c r="AY2" s="131" t="s">
        <v>791</v>
      </c>
      <c r="AZ2" s="131" t="s">
        <v>792</v>
      </c>
      <c r="BA2" s="131" t="s">
        <v>793</v>
      </c>
      <c r="BB2" s="131" t="s">
        <v>794</v>
      </c>
      <c r="BC2" s="131" t="s">
        <v>795</v>
      </c>
      <c r="BD2" s="131" t="s">
        <v>796</v>
      </c>
    </row>
    <row r="3" spans="1:56" ht="15">
      <c r="A3" s="252" t="str">
        <f>VLOOKUP(CONCATENATE(C3,"-",B3),ACHIEV,2,FALSE)</f>
        <v>LO5Med</v>
      </c>
      <c r="B3" s="252" t="s">
        <v>1081</v>
      </c>
      <c r="C3" s="252" t="str">
        <f>[1]MLIST!$B$85</f>
        <v>Water Cooler Controls</v>
      </c>
      <c r="D3" s="252" t="s">
        <v>1414</v>
      </c>
      <c r="E3" s="252" t="s">
        <v>1415</v>
      </c>
      <c r="F3" s="354">
        <f>VLOOKUP(CONCATENATE(J3),MeasOut,14,FALSE)</f>
        <v>1.3949886066046142E-2</v>
      </c>
      <c r="G3" s="355">
        <f>VLOOKUP(J3,MeasOut,3,FALSE)</f>
        <v>111.06931305508533</v>
      </c>
      <c r="H3" s="355">
        <f>VLOOKUP(J3,MeasOut,11,FALSE)</f>
        <v>65.473488327480865</v>
      </c>
      <c r="I3" s="24" t="str">
        <f>C3</f>
        <v>Water Cooler Controls</v>
      </c>
      <c r="J3" s="345" t="s">
        <v>768</v>
      </c>
      <c r="K3" s="45">
        <f>VLOOKUP(forRPM!$J3,'SC-NR'!$C$62:$Y$64,COLUMN()-8,FALSE)</f>
        <v>1.482952837319952E-2</v>
      </c>
      <c r="L3" s="45">
        <f>VLOOKUP(forRPM!$J3,'SC-NR'!$C$62:$Y$64,COLUMN()-8,FALSE)</f>
        <v>3.5350471867046415E-2</v>
      </c>
      <c r="M3" s="45">
        <f>VLOOKUP(forRPM!$J3,'SC-NR'!$C$62:$Y$64,COLUMN()-8,FALSE)</f>
        <v>6.3335237980077272E-2</v>
      </c>
      <c r="N3" s="45">
        <f>VLOOKUP(forRPM!$J3,'SC-NR'!$C$62:$Y$64,COLUMN()-8,FALSE)</f>
        <v>9.9455001022792214E-2</v>
      </c>
      <c r="O3" s="45">
        <f>VLOOKUP(forRPM!$J3,'SC-NR'!$C$62:$Y$64,COLUMN()-8,FALSE)</f>
        <v>0.14508904099810441</v>
      </c>
      <c r="P3" s="45">
        <f>VLOOKUP(forRPM!$J3,'SC-NR'!$C$62:$Y$64,COLUMN()-8,FALSE)</f>
        <v>0.2036225830694012</v>
      </c>
      <c r="Q3" s="45">
        <f>VLOOKUP(forRPM!$J3,'SC-NR'!$C$62:$Y$64,COLUMN()-8,FALSE)</f>
        <v>0.27466176951692045</v>
      </c>
      <c r="R3" s="45">
        <f>VLOOKUP(forRPM!$J3,'SC-NR'!$C$62:$Y$64,COLUMN()-8,FALSE)</f>
        <v>0.35595933621083531</v>
      </c>
      <c r="S3" s="45">
        <f>VLOOKUP(forRPM!$J3,'SC-NR'!$C$62:$Y$64,COLUMN()-8,FALSE)</f>
        <v>0.44346581568467958</v>
      </c>
      <c r="T3" s="45">
        <f>VLOOKUP(forRPM!$J3,'SC-NR'!$C$62:$Y$64,COLUMN()-8,FALSE)</f>
        <v>0.53207530782704637</v>
      </c>
      <c r="U3" s="45">
        <f>VLOOKUP(forRPM!$J3,'SC-NR'!$C$62:$Y$64,COLUMN()-8,FALSE)</f>
        <v>0.57662299396341232</v>
      </c>
      <c r="V3" s="45">
        <f>VLOOKUP(forRPM!$J3,'SC-NR'!$C$62:$Y$64,COLUMN()-8,FALSE)</f>
        <v>0.60719509749295641</v>
      </c>
      <c r="W3" s="45">
        <f>VLOOKUP(forRPM!$J3,'SC-NR'!$C$62:$Y$64,COLUMN()-8,FALSE)</f>
        <v>0.62548967741015493</v>
      </c>
      <c r="X3" s="45">
        <f>VLOOKUP(forRPM!$J3,'SC-NR'!$C$62:$Y$64,COLUMN()-8,FALSE)</f>
        <v>0.63485688072088242</v>
      </c>
      <c r="Y3" s="45">
        <f>VLOOKUP(forRPM!$J3,'SC-NR'!$C$62:$Y$64,COLUMN()-8,FALSE)</f>
        <v>0.63887573012389542</v>
      </c>
      <c r="Z3" s="45">
        <f>VLOOKUP(forRPM!$J3,'SC-NR'!$C$62:$Y$64,COLUMN()-8,FALSE)</f>
        <v>0.64028763472161232</v>
      </c>
      <c r="AA3" s="45">
        <f>VLOOKUP(forRPM!$J3,'SC-NR'!$C$62:$Y$64,COLUMN()-8,FALSE)</f>
        <v>0.64068372242007288</v>
      </c>
      <c r="AB3" s="45">
        <f>VLOOKUP(forRPM!$J3,'SC-NR'!$C$62:$Y$64,COLUMN()-8,FALSE)</f>
        <v>0.64077005155370492</v>
      </c>
      <c r="AC3" s="45">
        <f>VLOOKUP(forRPM!$J3,'SC-NR'!$C$62:$Y$64,COLUMN()-8,FALSE)</f>
        <v>0.64078424164922299</v>
      </c>
      <c r="AD3" s="45">
        <f>VLOOKUP(forRPM!$J3,'SC-NR'!$C$62:$Y$64,COLUMN()-8,FALSE)</f>
        <v>0.64078594494380747</v>
      </c>
      <c r="AE3" s="45">
        <f>VLOOKUP(forRPM!$J3,'SC-NR'!$C$62:$Y$64,COLUMN()-8,FALSE)</f>
        <v>3.2335758970495161</v>
      </c>
      <c r="AF3" s="356">
        <f t="shared" ref="AF3:AO5" si="1">VLOOKUP($J3,MeasOut,COLUMN()-17,FALSE)</f>
        <v>5.3641399878552374</v>
      </c>
      <c r="AG3" s="356">
        <f t="shared" si="1"/>
        <v>5.0401693710903936</v>
      </c>
      <c r="AH3" s="356">
        <f t="shared" si="1"/>
        <v>5.7167179277601674</v>
      </c>
      <c r="AI3" s="356">
        <f t="shared" si="1"/>
        <v>5.2087805863980474</v>
      </c>
      <c r="AJ3" s="356">
        <f t="shared" si="1"/>
        <v>5.3424663338480851</v>
      </c>
      <c r="AK3" s="356">
        <f t="shared" si="1"/>
        <v>5.3254396754000659</v>
      </c>
      <c r="AL3" s="356">
        <f t="shared" si="1"/>
        <v>5.0990937629965147</v>
      </c>
      <c r="AM3" s="356">
        <f t="shared" si="1"/>
        <v>5.8167770663145859</v>
      </c>
      <c r="AN3" s="356">
        <f t="shared" si="1"/>
        <v>5.010064331621825</v>
      </c>
      <c r="AO3" s="356">
        <f t="shared" si="1"/>
        <v>5.6919413373768943</v>
      </c>
      <c r="AP3" s="356">
        <f t="shared" ref="AP3:BD5" si="2">VLOOKUP($J3,MeasOut,COLUMN()-17,FALSE)</f>
        <v>4.9189608367330706</v>
      </c>
      <c r="AQ3" s="356">
        <f t="shared" si="2"/>
        <v>5.0083606146428075</v>
      </c>
      <c r="AR3" s="356">
        <f t="shared" si="2"/>
        <v>0</v>
      </c>
      <c r="AS3" s="356">
        <f t="shared" si="2"/>
        <v>4.3185293174031427</v>
      </c>
      <c r="AT3" s="356">
        <f t="shared" si="2"/>
        <v>3.8845367448518475</v>
      </c>
      <c r="AU3" s="356">
        <f t="shared" si="2"/>
        <v>3.8636029515698511</v>
      </c>
      <c r="AV3" s="356">
        <f t="shared" si="2"/>
        <v>3.8823510334606928</v>
      </c>
      <c r="AW3" s="356">
        <f t="shared" si="2"/>
        <v>3.9325040032764611</v>
      </c>
      <c r="AX3" s="356">
        <f t="shared" si="2"/>
        <v>3.6455570650523441</v>
      </c>
      <c r="AY3" s="356">
        <f t="shared" si="2"/>
        <v>4.0987618813389446</v>
      </c>
      <c r="AZ3" s="356">
        <f t="shared" si="2"/>
        <v>3.9061103476828927</v>
      </c>
      <c r="BA3" s="356">
        <f t="shared" si="2"/>
        <v>4.0851882183342516</v>
      </c>
      <c r="BB3" s="356">
        <f t="shared" si="2"/>
        <v>3.8323190863909438</v>
      </c>
      <c r="BC3" s="356">
        <f t="shared" si="2"/>
        <v>4.0305557774311866</v>
      </c>
      <c r="BD3" s="356">
        <f t="shared" si="2"/>
        <v>4.0463847962550705</v>
      </c>
    </row>
    <row r="4" spans="1:56" ht="15">
      <c r="A4" s="252" t="str">
        <f>VLOOKUP(CONCATENATE(C4,"-",B4),ACHIEV,2,FALSE)</f>
        <v>LO5Med</v>
      </c>
      <c r="B4" s="252" t="s">
        <v>1081</v>
      </c>
      <c r="C4" s="252" t="str">
        <f>[1]MLIST!$B$85</f>
        <v>Water Cooler Controls</v>
      </c>
      <c r="D4" s="252" t="s">
        <v>1414</v>
      </c>
      <c r="E4" s="252" t="s">
        <v>1415</v>
      </c>
      <c r="F4" s="354">
        <f>VLOOKUP(CONCATENATE(J4),MeasOut,14,FALSE)</f>
        <v>4.672385258856155E-2</v>
      </c>
      <c r="G4" s="355">
        <f>VLOOKUP(J4,MeasOut,3,FALSE)</f>
        <v>204.15174358244232</v>
      </c>
      <c r="H4" s="355">
        <f>VLOOKUP(J4,MeasOut,11,FALSE)</f>
        <v>15.61262104946398</v>
      </c>
      <c r="I4" s="24" t="str">
        <f t="shared" ref="I4:I5" si="3">C4</f>
        <v>Water Cooler Controls</v>
      </c>
      <c r="J4" s="345" t="s">
        <v>1187</v>
      </c>
      <c r="K4" s="45">
        <f>VLOOKUP(forRPM!$J4,'SC-NR'!$C$62:$Y$64,COLUMN()-8,FALSE)</f>
        <v>4.3612032747767038E-2</v>
      </c>
      <c r="L4" s="45">
        <f>VLOOKUP(forRPM!$J4,'SC-NR'!$C$62:$Y$64,COLUMN()-8,FALSE)</f>
        <v>0.10396189938857896</v>
      </c>
      <c r="M4" s="45">
        <f>VLOOKUP(forRPM!$J4,'SC-NR'!$C$62:$Y$64,COLUMN()-8,FALSE)</f>
        <v>0.18626205792671471</v>
      </c>
      <c r="N4" s="45">
        <f>VLOOKUP(forRPM!$J4,'SC-NR'!$C$62:$Y$64,COLUMN()-8,FALSE)</f>
        <v>0.29248635913290355</v>
      </c>
      <c r="O4" s="45">
        <f>VLOOKUP(forRPM!$J4,'SC-NR'!$C$62:$Y$64,COLUMN()-8,FALSE)</f>
        <v>0.42669111573278146</v>
      </c>
      <c r="P4" s="45">
        <f>VLOOKUP(forRPM!$J4,'SC-NR'!$C$62:$Y$64,COLUMN()-8,FALSE)</f>
        <v>0.59883190736238245</v>
      </c>
      <c r="Q4" s="45">
        <f>VLOOKUP(forRPM!$J4,'SC-NR'!$C$62:$Y$64,COLUMN()-8,FALSE)</f>
        <v>0.80775044123316009</v>
      </c>
      <c r="R4" s="45">
        <f>VLOOKUP(forRPM!$J4,'SC-NR'!$C$62:$Y$64,COLUMN()-8,FALSE)</f>
        <v>1.0468377575483871</v>
      </c>
      <c r="S4" s="45">
        <f>VLOOKUP(forRPM!$J4,'SC-NR'!$C$62:$Y$64,COLUMN()-8,FALSE)</f>
        <v>1.3041848121824458</v>
      </c>
      <c r="T4" s="45">
        <f>VLOOKUP(forRPM!$J4,'SC-NR'!$C$62:$Y$64,COLUMN()-8,FALSE)</f>
        <v>1.5647757073089468</v>
      </c>
      <c r="U4" s="45">
        <f>VLOOKUP(forRPM!$J4,'SC-NR'!$C$62:$Y$64,COLUMN()-8,FALSE)</f>
        <v>1.6957856152253421</v>
      </c>
      <c r="V4" s="45">
        <f>VLOOKUP(forRPM!$J4,'SC-NR'!$C$62:$Y$64,COLUMN()-8,FALSE)</f>
        <v>1.785694852171017</v>
      </c>
      <c r="W4" s="45">
        <f>VLOOKUP(forRPM!$J4,'SC-NR'!$C$62:$Y$64,COLUMN()-8,FALSE)</f>
        <v>1.8394972252726074</v>
      </c>
      <c r="X4" s="45">
        <f>VLOOKUP(forRPM!$J4,'SC-NR'!$C$62:$Y$64,COLUMN()-8,FALSE)</f>
        <v>1.8670451531137064</v>
      </c>
      <c r="Y4" s="45">
        <f>VLOOKUP(forRPM!$J4,'SC-NR'!$C$62:$Y$64,COLUMN()-8,FALSE)</f>
        <v>1.8788641528392342</v>
      </c>
      <c r="Z4" s="45">
        <f>VLOOKUP(forRPM!$J4,'SC-NR'!$C$62:$Y$64,COLUMN()-8,FALSE)</f>
        <v>1.8830164109557932</v>
      </c>
      <c r="AA4" s="45">
        <f>VLOOKUP(forRPM!$J4,'SC-NR'!$C$62:$Y$64,COLUMN()-8,FALSE)</f>
        <v>1.884181261869559</v>
      </c>
      <c r="AB4" s="45">
        <f>VLOOKUP(forRPM!$J4,'SC-NR'!$C$62:$Y$64,COLUMN()-8,FALSE)</f>
        <v>1.8844351464779094</v>
      </c>
      <c r="AC4" s="45">
        <f>VLOOKUP(forRPM!$J4,'SC-NR'!$C$62:$Y$64,COLUMN()-8,FALSE)</f>
        <v>1.8844768780080605</v>
      </c>
      <c r="AD4" s="45">
        <f>VLOOKUP(forRPM!$J4,'SC-NR'!$C$62:$Y$64,COLUMN()-8,FALSE)</f>
        <v>1.8844818872124891</v>
      </c>
      <c r="AE4" s="45">
        <f>VLOOKUP(forRPM!$J4,'SC-NR'!$C$62:$Y$64,COLUMN()-8,FALSE)</f>
        <v>9.5095956098897521</v>
      </c>
      <c r="AF4" s="356">
        <f t="shared" si="1"/>
        <v>5.9410655662223366</v>
      </c>
      <c r="AG4" s="356">
        <f t="shared" si="1"/>
        <v>5.4277335603951871</v>
      </c>
      <c r="AH4" s="356">
        <f t="shared" si="1"/>
        <v>6.3202307640580511</v>
      </c>
      <c r="AI4" s="356">
        <f t="shared" si="1"/>
        <v>5.8226248569070442</v>
      </c>
      <c r="AJ4" s="356">
        <f t="shared" si="1"/>
        <v>6.0550446392025243</v>
      </c>
      <c r="AK4" s="356">
        <f t="shared" si="1"/>
        <v>6.0590573397013872</v>
      </c>
      <c r="AL4" s="356">
        <f t="shared" si="1"/>
        <v>5.8542397430863362</v>
      </c>
      <c r="AM4" s="356">
        <f t="shared" si="1"/>
        <v>6.3032347864388019</v>
      </c>
      <c r="AN4" s="356">
        <f t="shared" si="1"/>
        <v>5.5898639865490942</v>
      </c>
      <c r="AO4" s="356">
        <f t="shared" si="1"/>
        <v>6.2807957221873751</v>
      </c>
      <c r="AP4" s="356">
        <f t="shared" si="2"/>
        <v>5.6321685213311552</v>
      </c>
      <c r="AQ4" s="356">
        <f t="shared" si="2"/>
        <v>5.9210218972097479</v>
      </c>
      <c r="AR4" s="356">
        <f t="shared" si="2"/>
        <v>0</v>
      </c>
      <c r="AS4" s="356">
        <f t="shared" si="2"/>
        <v>11.597228011647088</v>
      </c>
      <c r="AT4" s="356">
        <f t="shared" si="2"/>
        <v>10.339954907658086</v>
      </c>
      <c r="AU4" s="356">
        <f t="shared" si="2"/>
        <v>11.042572046694271</v>
      </c>
      <c r="AV4" s="356">
        <f t="shared" si="2"/>
        <v>10.878736546970776</v>
      </c>
      <c r="AW4" s="356">
        <f t="shared" si="2"/>
        <v>11.200471626474576</v>
      </c>
      <c r="AX4" s="356">
        <f t="shared" si="2"/>
        <v>10.640820321835042</v>
      </c>
      <c r="AY4" s="356">
        <f t="shared" si="2"/>
        <v>11.444763423024515</v>
      </c>
      <c r="AZ4" s="356">
        <f t="shared" si="2"/>
        <v>10.993952291215304</v>
      </c>
      <c r="BA4" s="356">
        <f t="shared" si="2"/>
        <v>11.074710112290312</v>
      </c>
      <c r="BB4" s="356">
        <f t="shared" si="2"/>
        <v>10.978166123777889</v>
      </c>
      <c r="BC4" s="356">
        <f t="shared" si="2"/>
        <v>11.199955484639181</v>
      </c>
      <c r="BD4" s="356">
        <f t="shared" si="2"/>
        <v>11.553331302926255</v>
      </c>
    </row>
    <row r="5" spans="1:56" ht="15">
      <c r="A5" s="252" t="str">
        <f>VLOOKUP(CONCATENATE(C5,"-",B5),ACHIEV,2,FALSE)</f>
        <v>LO5Med</v>
      </c>
      <c r="B5" s="252" t="s">
        <v>1081</v>
      </c>
      <c r="C5" s="252" t="str">
        <f>[1]MLIST!$B$85</f>
        <v>Water Cooler Controls</v>
      </c>
      <c r="D5" s="252" t="s">
        <v>1414</v>
      </c>
      <c r="E5" s="252" t="s">
        <v>1415</v>
      </c>
      <c r="F5" s="354">
        <f>VLOOKUP(CONCATENATE(J5),MeasOut,14,FALSE)</f>
        <v>8.5928924300802852E-3</v>
      </c>
      <c r="G5" s="355">
        <f>VLOOKUP(J5,MeasOut,3,FALSE)</f>
        <v>37.545148245046867</v>
      </c>
      <c r="H5" s="355">
        <f>VLOOKUP(J5,MeasOut,11,FALSE)</f>
        <v>142.55575516560936</v>
      </c>
      <c r="I5" s="24" t="str">
        <f t="shared" si="3"/>
        <v>Water Cooler Controls</v>
      </c>
      <c r="J5" s="345" t="s">
        <v>1382</v>
      </c>
      <c r="K5" s="45">
        <f>VLOOKUP(forRPM!$J5,'SC-NR'!$C$62:$Y$64,COLUMN()-8,FALSE)</f>
        <v>2.0051509309318171E-3</v>
      </c>
      <c r="L5" s="45">
        <f>VLOOKUP(forRPM!$J5,'SC-NR'!$C$62:$Y$64,COLUMN()-8,FALSE)</f>
        <v>4.7798574431530553E-3</v>
      </c>
      <c r="M5" s="45">
        <f>VLOOKUP(forRPM!$J5,'SC-NR'!$C$62:$Y$64,COLUMN()-8,FALSE)</f>
        <v>8.5637727782397546E-3</v>
      </c>
      <c r="N5" s="45">
        <f>VLOOKUP(forRPM!$J5,'SC-NR'!$C$62:$Y$64,COLUMN()-8,FALSE)</f>
        <v>1.3447648695765679E-2</v>
      </c>
      <c r="O5" s="45">
        <f>VLOOKUP(forRPM!$J5,'SC-NR'!$C$62:$Y$64,COLUMN()-8,FALSE)</f>
        <v>1.961798233254167E-2</v>
      </c>
      <c r="P5" s="45">
        <f>VLOOKUP(forRPM!$J5,'SC-NR'!$C$62:$Y$64,COLUMN()-8,FALSE)</f>
        <v>2.7532501487925628E-2</v>
      </c>
      <c r="Q5" s="45">
        <f>VLOOKUP(forRPM!$J5,'SC-NR'!$C$62:$Y$64,COLUMN()-8,FALSE)</f>
        <v>3.7137951321064823E-2</v>
      </c>
      <c r="R5" s="45">
        <f>VLOOKUP(forRPM!$J5,'SC-NR'!$C$62:$Y$64,COLUMN()-8,FALSE)</f>
        <v>4.8130471611420089E-2</v>
      </c>
      <c r="S5" s="45">
        <f>VLOOKUP(forRPM!$J5,'SC-NR'!$C$62:$Y$64,COLUMN()-8,FALSE)</f>
        <v>5.9962520100342316E-2</v>
      </c>
      <c r="T5" s="45">
        <f>VLOOKUP(forRPM!$J5,'SC-NR'!$C$62:$Y$64,COLUMN()-8,FALSE)</f>
        <v>7.194371068087109E-2</v>
      </c>
      <c r="U5" s="45">
        <f>VLOOKUP(forRPM!$J5,'SC-NR'!$C$62:$Y$64,COLUMN()-8,FALSE)</f>
        <v>7.7967154723004195E-2</v>
      </c>
      <c r="V5" s="45">
        <f>VLOOKUP(forRPM!$J5,'SC-NR'!$C$62:$Y$64,COLUMN()-8,FALSE)</f>
        <v>8.2100912743495E-2</v>
      </c>
      <c r="W5" s="45">
        <f>VLOOKUP(forRPM!$J5,'SC-NR'!$C$62:$Y$64,COLUMN()-8,FALSE)</f>
        <v>8.4574585070004912E-2</v>
      </c>
      <c r="X5" s="45">
        <f>VLOOKUP(forRPM!$J5,'SC-NR'!$C$62:$Y$64,COLUMN()-8,FALSE)</f>
        <v>8.5841156464998E-2</v>
      </c>
      <c r="Y5" s="45">
        <f>VLOOKUP(forRPM!$J5,'SC-NR'!$C$62:$Y$64,COLUMN()-8,FALSE)</f>
        <v>8.6384558751229149E-2</v>
      </c>
      <c r="Z5" s="45">
        <f>VLOOKUP(forRPM!$J5,'SC-NR'!$C$62:$Y$64,COLUMN()-8,FALSE)</f>
        <v>8.6575467170381254E-2</v>
      </c>
      <c r="AA5" s="45">
        <f>VLOOKUP(forRPM!$J5,'SC-NR'!$C$62:$Y$64,COLUMN()-8,FALSE)</f>
        <v>8.6629023534232574E-2</v>
      </c>
      <c r="AB5" s="45">
        <f>VLOOKUP(forRPM!$J5,'SC-NR'!$C$62:$Y$64,COLUMN()-8,FALSE)</f>
        <v>8.6640696389788913E-2</v>
      </c>
      <c r="AC5" s="45">
        <f>VLOOKUP(forRPM!$J5,'SC-NR'!$C$62:$Y$64,COLUMN()-8,FALSE)</f>
        <v>8.6642615080830349E-2</v>
      </c>
      <c r="AD5" s="45">
        <f>VLOOKUP(forRPM!$J5,'SC-NR'!$C$62:$Y$64,COLUMN()-8,FALSE)</f>
        <v>8.6642845389079931E-2</v>
      </c>
      <c r="AE5" s="45">
        <f>VLOOKUP(forRPM!$J5,'SC-NR'!$C$62:$Y$64,COLUMN()-8,FALSE)</f>
        <v>0.43722278666159775</v>
      </c>
      <c r="AF5" s="356">
        <f t="shared" si="1"/>
        <v>1.0926097593052573</v>
      </c>
      <c r="AG5" s="356">
        <f t="shared" si="1"/>
        <v>0.99820387317612636</v>
      </c>
      <c r="AH5" s="356">
        <f t="shared" si="1"/>
        <v>1.1623412899417105</v>
      </c>
      <c r="AI5" s="356">
        <f t="shared" si="1"/>
        <v>1.0708275598909507</v>
      </c>
      <c r="AJ5" s="356">
        <f t="shared" si="1"/>
        <v>1.113571427899315</v>
      </c>
      <c r="AK5" s="356">
        <f t="shared" si="1"/>
        <v>1.1143093958071517</v>
      </c>
      <c r="AL5" s="356">
        <f t="shared" si="1"/>
        <v>1.07664179183197</v>
      </c>
      <c r="AM5" s="356">
        <f t="shared" si="1"/>
        <v>1.1592155929082852</v>
      </c>
      <c r="AN5" s="356">
        <f t="shared" si="1"/>
        <v>1.0280209630435115</v>
      </c>
      <c r="AO5" s="356">
        <f t="shared" si="1"/>
        <v>1.1550888684482528</v>
      </c>
      <c r="AP5" s="356">
        <f t="shared" si="2"/>
        <v>1.0358011073712468</v>
      </c>
      <c r="AQ5" s="356">
        <f t="shared" si="2"/>
        <v>1.088923567302942</v>
      </c>
      <c r="AR5" s="356">
        <f t="shared" si="2"/>
        <v>0</v>
      </c>
      <c r="AS5" s="356">
        <f t="shared" si="2"/>
        <v>2.1328235423718782</v>
      </c>
      <c r="AT5" s="356">
        <f t="shared" si="2"/>
        <v>1.9016009025578089</v>
      </c>
      <c r="AU5" s="356">
        <f t="shared" si="2"/>
        <v>2.0308178476679117</v>
      </c>
      <c r="AV5" s="356">
        <f t="shared" si="2"/>
        <v>2.000687181052097</v>
      </c>
      <c r="AW5" s="356">
        <f t="shared" si="2"/>
        <v>2.059856850845899</v>
      </c>
      <c r="AX5" s="356">
        <f t="shared" si="2"/>
        <v>1.9569324729811572</v>
      </c>
      <c r="AY5" s="356">
        <f t="shared" si="2"/>
        <v>2.1047840777976119</v>
      </c>
      <c r="AZ5" s="356">
        <f t="shared" si="2"/>
        <v>2.0218762834418951</v>
      </c>
      <c r="BA5" s="356">
        <f t="shared" si="2"/>
        <v>2.0367282965131608</v>
      </c>
      <c r="BB5" s="356">
        <f t="shared" si="2"/>
        <v>2.0189730802350141</v>
      </c>
      <c r="BC5" s="356">
        <f t="shared" si="2"/>
        <v>2.0597619282095048</v>
      </c>
      <c r="BD5" s="356">
        <f t="shared" si="2"/>
        <v>2.1247505844462076</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dimension ref="B4:N87"/>
  <sheetViews>
    <sheetView topLeftCell="A4" workbookViewId="0">
      <selection activeCell="H24" sqref="H24"/>
    </sheetView>
  </sheetViews>
  <sheetFormatPr defaultColWidth="8.85546875" defaultRowHeight="12.75"/>
  <cols>
    <col min="2" max="2" width="17.7109375" customWidth="1"/>
    <col min="3" max="3" width="15.28515625" customWidth="1"/>
    <col min="4" max="10" width="12.5703125" customWidth="1"/>
  </cols>
  <sheetData>
    <row r="4" spans="2:12">
      <c r="B4" t="s">
        <v>1001</v>
      </c>
    </row>
    <row r="5" spans="2:12">
      <c r="B5" t="s">
        <v>1002</v>
      </c>
      <c r="D5">
        <f>1.2/5</f>
        <v>0.24</v>
      </c>
      <c r="E5" t="s">
        <v>1003</v>
      </c>
    </row>
    <row r="8" spans="2:12">
      <c r="B8" t="s">
        <v>1004</v>
      </c>
    </row>
    <row r="10" spans="2:12" s="115" customFormat="1">
      <c r="B10" s="373" t="s">
        <v>1074</v>
      </c>
      <c r="C10" s="373"/>
      <c r="D10" s="373"/>
      <c r="E10" s="373"/>
      <c r="F10" s="373"/>
      <c r="G10" s="373"/>
      <c r="H10" s="373"/>
      <c r="I10" s="373"/>
      <c r="J10" s="373"/>
    </row>
    <row r="11" spans="2:12" s="115" customFormat="1" ht="38.25">
      <c r="B11" s="163" t="s">
        <v>1005</v>
      </c>
      <c r="C11" s="163" t="s">
        <v>1006</v>
      </c>
      <c r="D11" s="163" t="s">
        <v>1007</v>
      </c>
      <c r="E11" s="163" t="s">
        <v>1008</v>
      </c>
      <c r="F11" s="164" t="s">
        <v>1009</v>
      </c>
      <c r="G11" s="163" t="s">
        <v>1010</v>
      </c>
      <c r="H11" s="163" t="s">
        <v>1011</v>
      </c>
      <c r="I11" s="163" t="s">
        <v>1012</v>
      </c>
      <c r="J11" s="163" t="s">
        <v>1013</v>
      </c>
    </row>
    <row r="12" spans="2:12">
      <c r="B12" s="165" t="s">
        <v>1014</v>
      </c>
      <c r="C12" s="165" t="s">
        <v>1015</v>
      </c>
      <c r="D12" s="166">
        <v>210000</v>
      </c>
      <c r="E12" s="167">
        <f>D12*0.11</f>
        <v>23100</v>
      </c>
      <c r="F12" s="168">
        <f>D12*0.04</f>
        <v>8400</v>
      </c>
      <c r="G12" s="169">
        <v>184800</v>
      </c>
      <c r="H12" s="169">
        <f>D12*8</f>
        <v>1680000</v>
      </c>
      <c r="I12" s="170">
        <f>F12*8</f>
        <v>67200</v>
      </c>
      <c r="J12" s="171">
        <f>D12/D15</f>
        <v>0.21063189568706117</v>
      </c>
      <c r="L12" s="230">
        <f>H12/SUM(H12:H13)</f>
        <v>0.3</v>
      </c>
    </row>
    <row r="13" spans="2:12">
      <c r="B13" s="165" t="s">
        <v>96</v>
      </c>
      <c r="C13" s="165" t="s">
        <v>1015</v>
      </c>
      <c r="D13" s="166">
        <v>490000</v>
      </c>
      <c r="E13" s="167">
        <f>D13*0.11</f>
        <v>53900</v>
      </c>
      <c r="F13" s="168">
        <f>D13*0.04</f>
        <v>19600</v>
      </c>
      <c r="G13" s="169">
        <v>431200</v>
      </c>
      <c r="H13" s="169">
        <f>D13*8</f>
        <v>3920000</v>
      </c>
      <c r="I13" s="170">
        <f>F13*8</f>
        <v>156800</v>
      </c>
      <c r="J13" s="171">
        <f>D13/D15</f>
        <v>0.49147442326980945</v>
      </c>
    </row>
    <row r="14" spans="2:12">
      <c r="B14" s="165" t="s">
        <v>1016</v>
      </c>
      <c r="C14" s="165" t="s">
        <v>1017</v>
      </c>
      <c r="D14" s="165">
        <v>297000</v>
      </c>
      <c r="E14" s="167">
        <f>D14*0.11</f>
        <v>32670</v>
      </c>
      <c r="F14" s="168">
        <f>D14*0.04</f>
        <v>11880</v>
      </c>
      <c r="G14" s="169">
        <v>457380</v>
      </c>
      <c r="H14" s="169">
        <f>D14*14</f>
        <v>4158000</v>
      </c>
      <c r="I14" s="165"/>
      <c r="J14" s="171">
        <f>D14/D15</f>
        <v>0.29789368104312941</v>
      </c>
    </row>
    <row r="15" spans="2:12">
      <c r="B15" s="165"/>
      <c r="C15" s="165"/>
      <c r="D15" s="172">
        <f>SUM(D12:D14)</f>
        <v>997000</v>
      </c>
      <c r="E15" s="167">
        <f>SUM(E12:E14)</f>
        <v>109670</v>
      </c>
      <c r="F15" s="168">
        <f>SUM(F12:F14)</f>
        <v>39880</v>
      </c>
      <c r="G15" s="173">
        <f>SUM(G12:G14)</f>
        <v>1073380</v>
      </c>
      <c r="H15" s="173">
        <f>SUM(H12:H14)</f>
        <v>9758000</v>
      </c>
      <c r="I15" s="165"/>
    </row>
    <row r="16" spans="2:12">
      <c r="E16" s="71"/>
      <c r="F16" s="71"/>
    </row>
    <row r="17" spans="2:9" s="115" customFormat="1" ht="25.5">
      <c r="F17" s="174" t="s">
        <v>1018</v>
      </c>
      <c r="G17" s="175">
        <f>SUM(G12:G13)</f>
        <v>616000</v>
      </c>
      <c r="H17" s="175">
        <f>SUM(H12:H13)</f>
        <v>5600000</v>
      </c>
      <c r="I17" s="176">
        <f>SUM(I12:I13)</f>
        <v>224000</v>
      </c>
    </row>
    <row r="19" spans="2:9">
      <c r="B19" s="177" t="s">
        <v>1019</v>
      </c>
      <c r="C19" s="177"/>
      <c r="D19" s="177"/>
    </row>
    <row r="20" spans="2:9">
      <c r="B20" s="178" t="s">
        <v>1020</v>
      </c>
      <c r="C20" s="179" t="s">
        <v>1021</v>
      </c>
      <c r="D20" s="179" t="s">
        <v>1022</v>
      </c>
      <c r="E20" s="179" t="s">
        <v>1023</v>
      </c>
      <c r="F20" s="180" t="s">
        <v>1024</v>
      </c>
    </row>
    <row r="21" spans="2:9">
      <c r="B21" s="181" t="s">
        <v>1025</v>
      </c>
      <c r="C21" s="182">
        <v>0.18</v>
      </c>
      <c r="D21" s="182">
        <v>0.23</v>
      </c>
      <c r="E21" s="182">
        <v>0.18</v>
      </c>
      <c r="F21" s="182">
        <v>1.93</v>
      </c>
    </row>
    <row r="22" spans="2:9">
      <c r="B22" s="181" t="s">
        <v>1026</v>
      </c>
      <c r="C22" s="182">
        <v>0.18</v>
      </c>
      <c r="D22" s="182">
        <v>0.23</v>
      </c>
      <c r="E22" s="182">
        <v>0.18</v>
      </c>
      <c r="F22" s="182">
        <v>1.93</v>
      </c>
    </row>
    <row r="23" spans="2:9">
      <c r="B23" s="181" t="s">
        <v>1017</v>
      </c>
      <c r="C23" s="182">
        <v>0.18</v>
      </c>
      <c r="D23" s="183" t="s">
        <v>1027</v>
      </c>
      <c r="E23" s="182">
        <v>0.15</v>
      </c>
      <c r="F23" s="183" t="s">
        <v>1028</v>
      </c>
    </row>
    <row r="24" spans="2:9">
      <c r="B24" s="165"/>
      <c r="C24" s="182"/>
      <c r="D24" s="182"/>
      <c r="E24" s="182"/>
      <c r="F24" s="182"/>
    </row>
    <row r="25" spans="2:9">
      <c r="H25" s="184"/>
    </row>
    <row r="26" spans="2:9">
      <c r="H26" s="184"/>
    </row>
    <row r="27" spans="2:9">
      <c r="H27" s="184"/>
    </row>
    <row r="28" spans="2:9">
      <c r="H28" s="184"/>
    </row>
    <row r="29" spans="2:9">
      <c r="H29" s="184"/>
    </row>
    <row r="33" spans="2:11">
      <c r="B33" s="177" t="s">
        <v>1029</v>
      </c>
      <c r="C33" s="177"/>
      <c r="D33" s="177"/>
      <c r="E33" s="177"/>
      <c r="F33" s="177"/>
      <c r="G33" s="177"/>
      <c r="H33" s="177"/>
      <c r="I33" s="177"/>
      <c r="J33" s="177"/>
      <c r="K33" s="177"/>
    </row>
    <row r="34" spans="2:11">
      <c r="B34" s="185" t="s">
        <v>1030</v>
      </c>
      <c r="C34" s="186"/>
      <c r="D34" s="187"/>
      <c r="E34" s="188" t="s">
        <v>1031</v>
      </c>
    </row>
    <row r="35" spans="2:11">
      <c r="B35" s="189" t="s">
        <v>1032</v>
      </c>
      <c r="C35" s="190"/>
      <c r="D35" s="190"/>
      <c r="E35" s="191" t="s">
        <v>1033</v>
      </c>
    </row>
    <row r="36" spans="2:11">
      <c r="B36" s="192" t="s">
        <v>1034</v>
      </c>
      <c r="C36" s="193"/>
      <c r="D36" s="193"/>
      <c r="E36" s="194" t="s">
        <v>1035</v>
      </c>
    </row>
    <row r="37" spans="2:11">
      <c r="B37" s="195" t="s">
        <v>1036</v>
      </c>
      <c r="C37" s="196"/>
      <c r="D37" s="196"/>
      <c r="E37" s="197" t="s">
        <v>1037</v>
      </c>
    </row>
    <row r="39" spans="2:11">
      <c r="B39" s="198" t="s">
        <v>1038</v>
      </c>
    </row>
    <row r="40" spans="2:11">
      <c r="B40" s="198" t="s">
        <v>1039</v>
      </c>
    </row>
    <row r="43" spans="2:11">
      <c r="B43" s="198" t="s">
        <v>1040</v>
      </c>
    </row>
    <row r="49" spans="2:14" ht="15">
      <c r="B49" s="199" t="s">
        <v>1041</v>
      </c>
      <c r="C49" s="199"/>
      <c r="D49" s="199"/>
      <c r="E49" s="199"/>
      <c r="F49" s="199"/>
      <c r="G49" s="199"/>
      <c r="H49" s="199"/>
      <c r="I49" s="199"/>
    </row>
    <row r="50" spans="2:14">
      <c r="B50" s="198" t="s">
        <v>1042</v>
      </c>
    </row>
    <row r="51" spans="2:14">
      <c r="B51" s="198" t="s">
        <v>1043</v>
      </c>
      <c r="G51" s="200" t="s">
        <v>1044</v>
      </c>
      <c r="H51" s="200"/>
      <c r="I51" s="177"/>
      <c r="J51">
        <v>8</v>
      </c>
    </row>
    <row r="53" spans="2:14" s="58" customFormat="1">
      <c r="D53" s="201" t="s">
        <v>1045</v>
      </c>
      <c r="E53" s="202"/>
      <c r="F53" s="178" t="s">
        <v>1046</v>
      </c>
      <c r="G53" s="203"/>
      <c r="H53" s="204"/>
    </row>
    <row r="54" spans="2:14" s="209" customFormat="1" ht="38.25">
      <c r="B54" s="205" t="s">
        <v>1047</v>
      </c>
      <c r="C54" s="206" t="s">
        <v>1048</v>
      </c>
      <c r="D54" s="205" t="s">
        <v>1049</v>
      </c>
      <c r="E54" s="205" t="s">
        <v>1050</v>
      </c>
      <c r="F54" s="207" t="s">
        <v>1051</v>
      </c>
      <c r="G54" s="208" t="s">
        <v>1052</v>
      </c>
      <c r="H54" s="208"/>
      <c r="I54" s="205" t="s">
        <v>1053</v>
      </c>
    </row>
    <row r="55" spans="2:14">
      <c r="B55" s="210" t="s">
        <v>1054</v>
      </c>
      <c r="C55" s="211" t="s">
        <v>1055</v>
      </c>
      <c r="D55" s="212">
        <v>236</v>
      </c>
      <c r="E55" s="213">
        <v>12</v>
      </c>
      <c r="F55" s="212">
        <v>11.3</v>
      </c>
      <c r="G55" s="212">
        <f>F55*10^9</f>
        <v>11300000000</v>
      </c>
      <c r="H55" s="212"/>
      <c r="I55" s="214">
        <f>(G55/$J$51)/D55</f>
        <v>5985169.4915254237</v>
      </c>
    </row>
    <row r="56" spans="2:14">
      <c r="B56" s="215" t="s">
        <v>1056</v>
      </c>
      <c r="C56" s="216" t="s">
        <v>1055</v>
      </c>
      <c r="D56" s="204">
        <v>236</v>
      </c>
      <c r="E56" s="217">
        <v>12</v>
      </c>
      <c r="F56" s="204">
        <v>6.4</v>
      </c>
      <c r="G56" s="204">
        <f>F56*10^9</f>
        <v>6400000000</v>
      </c>
      <c r="H56" s="204"/>
      <c r="I56" s="218">
        <f>(G56/$J$51)/D56</f>
        <v>3389830.5084745763</v>
      </c>
    </row>
    <row r="57" spans="2:14">
      <c r="B57" s="215" t="s">
        <v>1057</v>
      </c>
      <c r="C57" s="216" t="s">
        <v>1055</v>
      </c>
      <c r="D57" s="204">
        <v>236</v>
      </c>
      <c r="E57" s="217">
        <v>12</v>
      </c>
      <c r="F57" s="204">
        <v>2.6</v>
      </c>
      <c r="G57" s="204">
        <f>F57*10^9</f>
        <v>2600000000</v>
      </c>
      <c r="H57" s="204"/>
      <c r="I57" s="218">
        <f>(G57/$J$51)/D57</f>
        <v>1377118.6440677966</v>
      </c>
    </row>
    <row r="58" spans="2:14">
      <c r="B58" s="219" t="s">
        <v>1058</v>
      </c>
      <c r="C58" s="220" t="s">
        <v>1055</v>
      </c>
      <c r="D58" s="221">
        <v>236</v>
      </c>
      <c r="E58" s="222">
        <v>12</v>
      </c>
      <c r="F58" s="221">
        <v>1.6</v>
      </c>
      <c r="G58" s="221">
        <f>F58*10^9</f>
        <v>1600000000</v>
      </c>
      <c r="H58" s="221"/>
      <c r="I58" s="223">
        <f>(G58/$J$51)/D58</f>
        <v>847457.62711864407</v>
      </c>
    </row>
    <row r="59" spans="2:14">
      <c r="I59" s="224">
        <f>SUM(I55:I58)</f>
        <v>11599576.271186439</v>
      </c>
    </row>
    <row r="60" spans="2:14">
      <c r="F60" s="225" t="s">
        <v>1059</v>
      </c>
      <c r="G60" s="226"/>
      <c r="H60" s="226"/>
      <c r="I60" s="226"/>
      <c r="J60" s="226"/>
      <c r="K60" s="226"/>
      <c r="L60" s="226"/>
      <c r="M60" s="226"/>
      <c r="N60" s="226"/>
    </row>
    <row r="67" spans="2:9">
      <c r="B67" s="177" t="s">
        <v>72</v>
      </c>
      <c r="C67" s="198" t="s">
        <v>73</v>
      </c>
    </row>
    <row r="69" spans="2:9" s="115" customFormat="1" ht="63.75">
      <c r="B69" s="205" t="s">
        <v>74</v>
      </c>
      <c r="C69" s="205" t="s">
        <v>75</v>
      </c>
      <c r="D69" s="205" t="s">
        <v>76</v>
      </c>
      <c r="E69" s="227" t="s">
        <v>77</v>
      </c>
      <c r="F69" s="227" t="s">
        <v>78</v>
      </c>
    </row>
    <row r="70" spans="2:9">
      <c r="B70" s="181" t="s">
        <v>79</v>
      </c>
      <c r="C70" s="228">
        <v>1573000</v>
      </c>
      <c r="D70" s="229">
        <v>0.86</v>
      </c>
      <c r="E70" s="70">
        <f>C70*0.04</f>
        <v>62920</v>
      </c>
      <c r="F70" s="70">
        <f>E70/(D70)</f>
        <v>73162.790697674413</v>
      </c>
      <c r="G70" s="71"/>
      <c r="H70" s="71"/>
      <c r="I70" s="71">
        <f>(G70/8760)/1000</f>
        <v>0</v>
      </c>
    </row>
    <row r="87" spans="2:2">
      <c r="B87" t="s">
        <v>1060</v>
      </c>
    </row>
  </sheetData>
  <mergeCells count="1">
    <mergeCell ref="B10:J10"/>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sheetPr codeName="Sheet13"/>
  <dimension ref="B1:M169"/>
  <sheetViews>
    <sheetView workbookViewId="0">
      <selection activeCell="H39" sqref="H39"/>
    </sheetView>
  </sheetViews>
  <sheetFormatPr defaultColWidth="8.85546875" defaultRowHeight="12.75"/>
  <cols>
    <col min="1" max="1" width="8.85546875" style="61"/>
    <col min="2" max="2" width="33.28515625" style="61" customWidth="1"/>
    <col min="3" max="3" width="12.85546875" style="61" customWidth="1"/>
    <col min="4" max="4" width="19.42578125" style="61" customWidth="1"/>
    <col min="5" max="5" width="16.42578125" style="61" customWidth="1"/>
    <col min="6" max="7" width="15.28515625" style="61" customWidth="1"/>
    <col min="8" max="8" width="6.7109375" style="61" customWidth="1"/>
    <col min="9" max="9" width="8.85546875" style="61"/>
    <col min="10" max="10" width="29.85546875" style="61" customWidth="1"/>
    <col min="11" max="11" width="13.42578125" style="61" customWidth="1"/>
    <col min="12" max="12" width="10.5703125" style="61" customWidth="1"/>
    <col min="13" max="15" width="8.85546875" style="61"/>
    <col min="16" max="16" width="23.140625" style="61" customWidth="1"/>
    <col min="17" max="18" width="9.42578125" style="61" customWidth="1"/>
    <col min="19" max="19" width="20.7109375" style="61" customWidth="1"/>
    <col min="20" max="257" width="8.85546875" style="61"/>
    <col min="258" max="258" width="33.28515625" style="61" customWidth="1"/>
    <col min="259" max="259" width="12.85546875" style="61" customWidth="1"/>
    <col min="260" max="260" width="19.42578125" style="61" customWidth="1"/>
    <col min="261" max="261" width="16.42578125" style="61" customWidth="1"/>
    <col min="262" max="263" width="15.28515625" style="61" customWidth="1"/>
    <col min="264" max="264" width="6.7109375" style="61" customWidth="1"/>
    <col min="265" max="265" width="8.85546875" style="61"/>
    <col min="266" max="266" width="10.7109375" style="61" customWidth="1"/>
    <col min="267" max="267" width="13.42578125" style="61" customWidth="1"/>
    <col min="268" max="268" width="10.5703125" style="61" customWidth="1"/>
    <col min="269" max="513" width="8.85546875" style="61"/>
    <col min="514" max="514" width="33.28515625" style="61" customWidth="1"/>
    <col min="515" max="515" width="12.85546875" style="61" customWidth="1"/>
    <col min="516" max="516" width="19.42578125" style="61" customWidth="1"/>
    <col min="517" max="517" width="16.42578125" style="61" customWidth="1"/>
    <col min="518" max="519" width="15.28515625" style="61" customWidth="1"/>
    <col min="520" max="520" width="6.7109375" style="61" customWidth="1"/>
    <col min="521" max="521" width="8.85546875" style="61"/>
    <col min="522" max="522" width="10.7109375" style="61" customWidth="1"/>
    <col min="523" max="523" width="13.42578125" style="61" customWidth="1"/>
    <col min="524" max="524" width="10.5703125" style="61" customWidth="1"/>
    <col min="525" max="769" width="8.85546875" style="61"/>
    <col min="770" max="770" width="33.28515625" style="61" customWidth="1"/>
    <col min="771" max="771" width="12.85546875" style="61" customWidth="1"/>
    <col min="772" max="772" width="19.42578125" style="61" customWidth="1"/>
    <col min="773" max="773" width="16.42578125" style="61" customWidth="1"/>
    <col min="774" max="775" width="15.28515625" style="61" customWidth="1"/>
    <col min="776" max="776" width="6.7109375" style="61" customWidth="1"/>
    <col min="777" max="777" width="8.85546875" style="61"/>
    <col min="778" max="778" width="10.7109375" style="61" customWidth="1"/>
    <col min="779" max="779" width="13.42578125" style="61" customWidth="1"/>
    <col min="780" max="780" width="10.5703125" style="61" customWidth="1"/>
    <col min="781" max="1025" width="8.85546875" style="61"/>
    <col min="1026" max="1026" width="33.28515625" style="61" customWidth="1"/>
    <col min="1027" max="1027" width="12.85546875" style="61" customWidth="1"/>
    <col min="1028" max="1028" width="19.42578125" style="61" customWidth="1"/>
    <col min="1029" max="1029" width="16.42578125" style="61" customWidth="1"/>
    <col min="1030" max="1031" width="15.28515625" style="61" customWidth="1"/>
    <col min="1032" max="1032" width="6.7109375" style="61" customWidth="1"/>
    <col min="1033" max="1033" width="8.85546875" style="61"/>
    <col min="1034" max="1034" width="10.7109375" style="61" customWidth="1"/>
    <col min="1035" max="1035" width="13.42578125" style="61" customWidth="1"/>
    <col min="1036" max="1036" width="10.5703125" style="61" customWidth="1"/>
    <col min="1037" max="1281" width="8.85546875" style="61"/>
    <col min="1282" max="1282" width="33.28515625" style="61" customWidth="1"/>
    <col min="1283" max="1283" width="12.85546875" style="61" customWidth="1"/>
    <col min="1284" max="1284" width="19.42578125" style="61" customWidth="1"/>
    <col min="1285" max="1285" width="16.42578125" style="61" customWidth="1"/>
    <col min="1286" max="1287" width="15.28515625" style="61" customWidth="1"/>
    <col min="1288" max="1288" width="6.7109375" style="61" customWidth="1"/>
    <col min="1289" max="1289" width="8.85546875" style="61"/>
    <col min="1290" max="1290" width="10.7109375" style="61" customWidth="1"/>
    <col min="1291" max="1291" width="13.42578125" style="61" customWidth="1"/>
    <col min="1292" max="1292" width="10.5703125" style="61" customWidth="1"/>
    <col min="1293" max="1537" width="8.85546875" style="61"/>
    <col min="1538" max="1538" width="33.28515625" style="61" customWidth="1"/>
    <col min="1539" max="1539" width="12.85546875" style="61" customWidth="1"/>
    <col min="1540" max="1540" width="19.42578125" style="61" customWidth="1"/>
    <col min="1541" max="1541" width="16.42578125" style="61" customWidth="1"/>
    <col min="1542" max="1543" width="15.28515625" style="61" customWidth="1"/>
    <col min="1544" max="1544" width="6.7109375" style="61" customWidth="1"/>
    <col min="1545" max="1545" width="8.85546875" style="61"/>
    <col min="1546" max="1546" width="10.7109375" style="61" customWidth="1"/>
    <col min="1547" max="1547" width="13.42578125" style="61" customWidth="1"/>
    <col min="1548" max="1548" width="10.5703125" style="61" customWidth="1"/>
    <col min="1549" max="1793" width="8.85546875" style="61"/>
    <col min="1794" max="1794" width="33.28515625" style="61" customWidth="1"/>
    <col min="1795" max="1795" width="12.85546875" style="61" customWidth="1"/>
    <col min="1796" max="1796" width="19.42578125" style="61" customWidth="1"/>
    <col min="1797" max="1797" width="16.42578125" style="61" customWidth="1"/>
    <col min="1798" max="1799" width="15.28515625" style="61" customWidth="1"/>
    <col min="1800" max="1800" width="6.7109375" style="61" customWidth="1"/>
    <col min="1801" max="1801" width="8.85546875" style="61"/>
    <col min="1802" max="1802" width="10.7109375" style="61" customWidth="1"/>
    <col min="1803" max="1803" width="13.42578125" style="61" customWidth="1"/>
    <col min="1804" max="1804" width="10.5703125" style="61" customWidth="1"/>
    <col min="1805" max="2049" width="8.85546875" style="61"/>
    <col min="2050" max="2050" width="33.28515625" style="61" customWidth="1"/>
    <col min="2051" max="2051" width="12.85546875" style="61" customWidth="1"/>
    <col min="2052" max="2052" width="19.42578125" style="61" customWidth="1"/>
    <col min="2053" max="2053" width="16.42578125" style="61" customWidth="1"/>
    <col min="2054" max="2055" width="15.28515625" style="61" customWidth="1"/>
    <col min="2056" max="2056" width="6.7109375" style="61" customWidth="1"/>
    <col min="2057" max="2057" width="8.85546875" style="61"/>
    <col min="2058" max="2058" width="10.7109375" style="61" customWidth="1"/>
    <col min="2059" max="2059" width="13.42578125" style="61" customWidth="1"/>
    <col min="2060" max="2060" width="10.5703125" style="61" customWidth="1"/>
    <col min="2061" max="2305" width="8.85546875" style="61"/>
    <col min="2306" max="2306" width="33.28515625" style="61" customWidth="1"/>
    <col min="2307" max="2307" width="12.85546875" style="61" customWidth="1"/>
    <col min="2308" max="2308" width="19.42578125" style="61" customWidth="1"/>
    <col min="2309" max="2309" width="16.42578125" style="61" customWidth="1"/>
    <col min="2310" max="2311" width="15.28515625" style="61" customWidth="1"/>
    <col min="2312" max="2312" width="6.7109375" style="61" customWidth="1"/>
    <col min="2313" max="2313" width="8.85546875" style="61"/>
    <col min="2314" max="2314" width="10.7109375" style="61" customWidth="1"/>
    <col min="2315" max="2315" width="13.42578125" style="61" customWidth="1"/>
    <col min="2316" max="2316" width="10.5703125" style="61" customWidth="1"/>
    <col min="2317" max="2561" width="8.85546875" style="61"/>
    <col min="2562" max="2562" width="33.28515625" style="61" customWidth="1"/>
    <col min="2563" max="2563" width="12.85546875" style="61" customWidth="1"/>
    <col min="2564" max="2564" width="19.42578125" style="61" customWidth="1"/>
    <col min="2565" max="2565" width="16.42578125" style="61" customWidth="1"/>
    <col min="2566" max="2567" width="15.28515625" style="61" customWidth="1"/>
    <col min="2568" max="2568" width="6.7109375" style="61" customWidth="1"/>
    <col min="2569" max="2569" width="8.85546875" style="61"/>
    <col min="2570" max="2570" width="10.7109375" style="61" customWidth="1"/>
    <col min="2571" max="2571" width="13.42578125" style="61" customWidth="1"/>
    <col min="2572" max="2572" width="10.5703125" style="61" customWidth="1"/>
    <col min="2573" max="2817" width="8.85546875" style="61"/>
    <col min="2818" max="2818" width="33.28515625" style="61" customWidth="1"/>
    <col min="2819" max="2819" width="12.85546875" style="61" customWidth="1"/>
    <col min="2820" max="2820" width="19.42578125" style="61" customWidth="1"/>
    <col min="2821" max="2821" width="16.42578125" style="61" customWidth="1"/>
    <col min="2822" max="2823" width="15.28515625" style="61" customWidth="1"/>
    <col min="2824" max="2824" width="6.7109375" style="61" customWidth="1"/>
    <col min="2825" max="2825" width="8.85546875" style="61"/>
    <col min="2826" max="2826" width="10.7109375" style="61" customWidth="1"/>
    <col min="2827" max="2827" width="13.42578125" style="61" customWidth="1"/>
    <col min="2828" max="2828" width="10.5703125" style="61" customWidth="1"/>
    <col min="2829" max="3073" width="8.85546875" style="61"/>
    <col min="3074" max="3074" width="33.28515625" style="61" customWidth="1"/>
    <col min="3075" max="3075" width="12.85546875" style="61" customWidth="1"/>
    <col min="3076" max="3076" width="19.42578125" style="61" customWidth="1"/>
    <col min="3077" max="3077" width="16.42578125" style="61" customWidth="1"/>
    <col min="3078" max="3079" width="15.28515625" style="61" customWidth="1"/>
    <col min="3080" max="3080" width="6.7109375" style="61" customWidth="1"/>
    <col min="3081" max="3081" width="8.85546875" style="61"/>
    <col min="3082" max="3082" width="10.7109375" style="61" customWidth="1"/>
    <col min="3083" max="3083" width="13.42578125" style="61" customWidth="1"/>
    <col min="3084" max="3084" width="10.5703125" style="61" customWidth="1"/>
    <col min="3085" max="3329" width="8.85546875" style="61"/>
    <col min="3330" max="3330" width="33.28515625" style="61" customWidth="1"/>
    <col min="3331" max="3331" width="12.85546875" style="61" customWidth="1"/>
    <col min="3332" max="3332" width="19.42578125" style="61" customWidth="1"/>
    <col min="3333" max="3333" width="16.42578125" style="61" customWidth="1"/>
    <col min="3334" max="3335" width="15.28515625" style="61" customWidth="1"/>
    <col min="3336" max="3336" width="6.7109375" style="61" customWidth="1"/>
    <col min="3337" max="3337" width="8.85546875" style="61"/>
    <col min="3338" max="3338" width="10.7109375" style="61" customWidth="1"/>
    <col min="3339" max="3339" width="13.42578125" style="61" customWidth="1"/>
    <col min="3340" max="3340" width="10.5703125" style="61" customWidth="1"/>
    <col min="3341" max="3585" width="8.85546875" style="61"/>
    <col min="3586" max="3586" width="33.28515625" style="61" customWidth="1"/>
    <col min="3587" max="3587" width="12.85546875" style="61" customWidth="1"/>
    <col min="3588" max="3588" width="19.42578125" style="61" customWidth="1"/>
    <col min="3589" max="3589" width="16.42578125" style="61" customWidth="1"/>
    <col min="3590" max="3591" width="15.28515625" style="61" customWidth="1"/>
    <col min="3592" max="3592" width="6.7109375" style="61" customWidth="1"/>
    <col min="3593" max="3593" width="8.85546875" style="61"/>
    <col min="3594" max="3594" width="10.7109375" style="61" customWidth="1"/>
    <col min="3595" max="3595" width="13.42578125" style="61" customWidth="1"/>
    <col min="3596" max="3596" width="10.5703125" style="61" customWidth="1"/>
    <col min="3597" max="3841" width="8.85546875" style="61"/>
    <col min="3842" max="3842" width="33.28515625" style="61" customWidth="1"/>
    <col min="3843" max="3843" width="12.85546875" style="61" customWidth="1"/>
    <col min="3844" max="3844" width="19.42578125" style="61" customWidth="1"/>
    <col min="3845" max="3845" width="16.42578125" style="61" customWidth="1"/>
    <col min="3846" max="3847" width="15.28515625" style="61" customWidth="1"/>
    <col min="3848" max="3848" width="6.7109375" style="61" customWidth="1"/>
    <col min="3849" max="3849" width="8.85546875" style="61"/>
    <col min="3850" max="3850" width="10.7109375" style="61" customWidth="1"/>
    <col min="3851" max="3851" width="13.42578125" style="61" customWidth="1"/>
    <col min="3852" max="3852" width="10.5703125" style="61" customWidth="1"/>
    <col min="3853" max="4097" width="8.85546875" style="61"/>
    <col min="4098" max="4098" width="33.28515625" style="61" customWidth="1"/>
    <col min="4099" max="4099" width="12.85546875" style="61" customWidth="1"/>
    <col min="4100" max="4100" width="19.42578125" style="61" customWidth="1"/>
    <col min="4101" max="4101" width="16.42578125" style="61" customWidth="1"/>
    <col min="4102" max="4103" width="15.28515625" style="61" customWidth="1"/>
    <col min="4104" max="4104" width="6.7109375" style="61" customWidth="1"/>
    <col min="4105" max="4105" width="8.85546875" style="61"/>
    <col min="4106" max="4106" width="10.7109375" style="61" customWidth="1"/>
    <col min="4107" max="4107" width="13.42578125" style="61" customWidth="1"/>
    <col min="4108" max="4108" width="10.5703125" style="61" customWidth="1"/>
    <col min="4109" max="4353" width="8.85546875" style="61"/>
    <col min="4354" max="4354" width="33.28515625" style="61" customWidth="1"/>
    <col min="4355" max="4355" width="12.85546875" style="61" customWidth="1"/>
    <col min="4356" max="4356" width="19.42578125" style="61" customWidth="1"/>
    <col min="4357" max="4357" width="16.42578125" style="61" customWidth="1"/>
    <col min="4358" max="4359" width="15.28515625" style="61" customWidth="1"/>
    <col min="4360" max="4360" width="6.7109375" style="61" customWidth="1"/>
    <col min="4361" max="4361" width="8.85546875" style="61"/>
    <col min="4362" max="4362" width="10.7109375" style="61" customWidth="1"/>
    <col min="4363" max="4363" width="13.42578125" style="61" customWidth="1"/>
    <col min="4364" max="4364" width="10.5703125" style="61" customWidth="1"/>
    <col min="4365" max="4609" width="8.85546875" style="61"/>
    <col min="4610" max="4610" width="33.28515625" style="61" customWidth="1"/>
    <col min="4611" max="4611" width="12.85546875" style="61" customWidth="1"/>
    <col min="4612" max="4612" width="19.42578125" style="61" customWidth="1"/>
    <col min="4613" max="4613" width="16.42578125" style="61" customWidth="1"/>
    <col min="4614" max="4615" width="15.28515625" style="61" customWidth="1"/>
    <col min="4616" max="4616" width="6.7109375" style="61" customWidth="1"/>
    <col min="4617" max="4617" width="8.85546875" style="61"/>
    <col min="4618" max="4618" width="10.7109375" style="61" customWidth="1"/>
    <col min="4619" max="4619" width="13.42578125" style="61" customWidth="1"/>
    <col min="4620" max="4620" width="10.5703125" style="61" customWidth="1"/>
    <col min="4621" max="4865" width="8.85546875" style="61"/>
    <col min="4866" max="4866" width="33.28515625" style="61" customWidth="1"/>
    <col min="4867" max="4867" width="12.85546875" style="61" customWidth="1"/>
    <col min="4868" max="4868" width="19.42578125" style="61" customWidth="1"/>
    <col min="4869" max="4869" width="16.42578125" style="61" customWidth="1"/>
    <col min="4870" max="4871" width="15.28515625" style="61" customWidth="1"/>
    <col min="4872" max="4872" width="6.7109375" style="61" customWidth="1"/>
    <col min="4873" max="4873" width="8.85546875" style="61"/>
    <col min="4874" max="4874" width="10.7109375" style="61" customWidth="1"/>
    <col min="4875" max="4875" width="13.42578125" style="61" customWidth="1"/>
    <col min="4876" max="4876" width="10.5703125" style="61" customWidth="1"/>
    <col min="4877" max="5121" width="8.85546875" style="61"/>
    <col min="5122" max="5122" width="33.28515625" style="61" customWidth="1"/>
    <col min="5123" max="5123" width="12.85546875" style="61" customWidth="1"/>
    <col min="5124" max="5124" width="19.42578125" style="61" customWidth="1"/>
    <col min="5125" max="5125" width="16.42578125" style="61" customWidth="1"/>
    <col min="5126" max="5127" width="15.28515625" style="61" customWidth="1"/>
    <col min="5128" max="5128" width="6.7109375" style="61" customWidth="1"/>
    <col min="5129" max="5129" width="8.85546875" style="61"/>
    <col min="5130" max="5130" width="10.7109375" style="61" customWidth="1"/>
    <col min="5131" max="5131" width="13.42578125" style="61" customWidth="1"/>
    <col min="5132" max="5132" width="10.5703125" style="61" customWidth="1"/>
    <col min="5133" max="5377" width="8.85546875" style="61"/>
    <col min="5378" max="5378" width="33.28515625" style="61" customWidth="1"/>
    <col min="5379" max="5379" width="12.85546875" style="61" customWidth="1"/>
    <col min="5380" max="5380" width="19.42578125" style="61" customWidth="1"/>
    <col min="5381" max="5381" width="16.42578125" style="61" customWidth="1"/>
    <col min="5382" max="5383" width="15.28515625" style="61" customWidth="1"/>
    <col min="5384" max="5384" width="6.7109375" style="61" customWidth="1"/>
    <col min="5385" max="5385" width="8.85546875" style="61"/>
    <col min="5386" max="5386" width="10.7109375" style="61" customWidth="1"/>
    <col min="5387" max="5387" width="13.42578125" style="61" customWidth="1"/>
    <col min="5388" max="5388" width="10.5703125" style="61" customWidth="1"/>
    <col min="5389" max="5633" width="8.85546875" style="61"/>
    <col min="5634" max="5634" width="33.28515625" style="61" customWidth="1"/>
    <col min="5635" max="5635" width="12.85546875" style="61" customWidth="1"/>
    <col min="5636" max="5636" width="19.42578125" style="61" customWidth="1"/>
    <col min="5637" max="5637" width="16.42578125" style="61" customWidth="1"/>
    <col min="5638" max="5639" width="15.28515625" style="61" customWidth="1"/>
    <col min="5640" max="5640" width="6.7109375" style="61" customWidth="1"/>
    <col min="5641" max="5641" width="8.85546875" style="61"/>
    <col min="5642" max="5642" width="10.7109375" style="61" customWidth="1"/>
    <col min="5643" max="5643" width="13.42578125" style="61" customWidth="1"/>
    <col min="5644" max="5644" width="10.5703125" style="61" customWidth="1"/>
    <col min="5645" max="5889" width="8.85546875" style="61"/>
    <col min="5890" max="5890" width="33.28515625" style="61" customWidth="1"/>
    <col min="5891" max="5891" width="12.85546875" style="61" customWidth="1"/>
    <col min="5892" max="5892" width="19.42578125" style="61" customWidth="1"/>
    <col min="5893" max="5893" width="16.42578125" style="61" customWidth="1"/>
    <col min="5894" max="5895" width="15.28515625" style="61" customWidth="1"/>
    <col min="5896" max="5896" width="6.7109375" style="61" customWidth="1"/>
    <col min="5897" max="5897" width="8.85546875" style="61"/>
    <col min="5898" max="5898" width="10.7109375" style="61" customWidth="1"/>
    <col min="5899" max="5899" width="13.42578125" style="61" customWidth="1"/>
    <col min="5900" max="5900" width="10.5703125" style="61" customWidth="1"/>
    <col min="5901" max="6145" width="8.85546875" style="61"/>
    <col min="6146" max="6146" width="33.28515625" style="61" customWidth="1"/>
    <col min="6147" max="6147" width="12.85546875" style="61" customWidth="1"/>
    <col min="6148" max="6148" width="19.42578125" style="61" customWidth="1"/>
    <col min="6149" max="6149" width="16.42578125" style="61" customWidth="1"/>
    <col min="6150" max="6151" width="15.28515625" style="61" customWidth="1"/>
    <col min="6152" max="6152" width="6.7109375" style="61" customWidth="1"/>
    <col min="6153" max="6153" width="8.85546875" style="61"/>
    <col min="6154" max="6154" width="10.7109375" style="61" customWidth="1"/>
    <col min="6155" max="6155" width="13.42578125" style="61" customWidth="1"/>
    <col min="6156" max="6156" width="10.5703125" style="61" customWidth="1"/>
    <col min="6157" max="6401" width="8.85546875" style="61"/>
    <col min="6402" max="6402" width="33.28515625" style="61" customWidth="1"/>
    <col min="6403" max="6403" width="12.85546875" style="61" customWidth="1"/>
    <col min="6404" max="6404" width="19.42578125" style="61" customWidth="1"/>
    <col min="6405" max="6405" width="16.42578125" style="61" customWidth="1"/>
    <col min="6406" max="6407" width="15.28515625" style="61" customWidth="1"/>
    <col min="6408" max="6408" width="6.7109375" style="61" customWidth="1"/>
    <col min="6409" max="6409" width="8.85546875" style="61"/>
    <col min="6410" max="6410" width="10.7109375" style="61" customWidth="1"/>
    <col min="6411" max="6411" width="13.42578125" style="61" customWidth="1"/>
    <col min="6412" max="6412" width="10.5703125" style="61" customWidth="1"/>
    <col min="6413" max="6657" width="8.85546875" style="61"/>
    <col min="6658" max="6658" width="33.28515625" style="61" customWidth="1"/>
    <col min="6659" max="6659" width="12.85546875" style="61" customWidth="1"/>
    <col min="6660" max="6660" width="19.42578125" style="61" customWidth="1"/>
    <col min="6661" max="6661" width="16.42578125" style="61" customWidth="1"/>
    <col min="6662" max="6663" width="15.28515625" style="61" customWidth="1"/>
    <col min="6664" max="6664" width="6.7109375" style="61" customWidth="1"/>
    <col min="6665" max="6665" width="8.85546875" style="61"/>
    <col min="6666" max="6666" width="10.7109375" style="61" customWidth="1"/>
    <col min="6667" max="6667" width="13.42578125" style="61" customWidth="1"/>
    <col min="6668" max="6668" width="10.5703125" style="61" customWidth="1"/>
    <col min="6669" max="6913" width="8.85546875" style="61"/>
    <col min="6914" max="6914" width="33.28515625" style="61" customWidth="1"/>
    <col min="6915" max="6915" width="12.85546875" style="61" customWidth="1"/>
    <col min="6916" max="6916" width="19.42578125" style="61" customWidth="1"/>
    <col min="6917" max="6917" width="16.42578125" style="61" customWidth="1"/>
    <col min="6918" max="6919" width="15.28515625" style="61" customWidth="1"/>
    <col min="6920" max="6920" width="6.7109375" style="61" customWidth="1"/>
    <col min="6921" max="6921" width="8.85546875" style="61"/>
    <col min="6922" max="6922" width="10.7109375" style="61" customWidth="1"/>
    <col min="6923" max="6923" width="13.42578125" style="61" customWidth="1"/>
    <col min="6924" max="6924" width="10.5703125" style="61" customWidth="1"/>
    <col min="6925" max="7169" width="8.85546875" style="61"/>
    <col min="7170" max="7170" width="33.28515625" style="61" customWidth="1"/>
    <col min="7171" max="7171" width="12.85546875" style="61" customWidth="1"/>
    <col min="7172" max="7172" width="19.42578125" style="61" customWidth="1"/>
    <col min="7173" max="7173" width="16.42578125" style="61" customWidth="1"/>
    <col min="7174" max="7175" width="15.28515625" style="61" customWidth="1"/>
    <col min="7176" max="7176" width="6.7109375" style="61" customWidth="1"/>
    <col min="7177" max="7177" width="8.85546875" style="61"/>
    <col min="7178" max="7178" width="10.7109375" style="61" customWidth="1"/>
    <col min="7179" max="7179" width="13.42578125" style="61" customWidth="1"/>
    <col min="7180" max="7180" width="10.5703125" style="61" customWidth="1"/>
    <col min="7181" max="7425" width="8.85546875" style="61"/>
    <col min="7426" max="7426" width="33.28515625" style="61" customWidth="1"/>
    <col min="7427" max="7427" width="12.85546875" style="61" customWidth="1"/>
    <col min="7428" max="7428" width="19.42578125" style="61" customWidth="1"/>
    <col min="7429" max="7429" width="16.42578125" style="61" customWidth="1"/>
    <col min="7430" max="7431" width="15.28515625" style="61" customWidth="1"/>
    <col min="7432" max="7432" width="6.7109375" style="61" customWidth="1"/>
    <col min="7433" max="7433" width="8.85546875" style="61"/>
    <col min="7434" max="7434" width="10.7109375" style="61" customWidth="1"/>
    <col min="7435" max="7435" width="13.42578125" style="61" customWidth="1"/>
    <col min="7436" max="7436" width="10.5703125" style="61" customWidth="1"/>
    <col min="7437" max="7681" width="8.85546875" style="61"/>
    <col min="7682" max="7682" width="33.28515625" style="61" customWidth="1"/>
    <col min="7683" max="7683" width="12.85546875" style="61" customWidth="1"/>
    <col min="7684" max="7684" width="19.42578125" style="61" customWidth="1"/>
    <col min="7685" max="7685" width="16.42578125" style="61" customWidth="1"/>
    <col min="7686" max="7687" width="15.28515625" style="61" customWidth="1"/>
    <col min="7688" max="7688" width="6.7109375" style="61" customWidth="1"/>
    <col min="7689" max="7689" width="8.85546875" style="61"/>
    <col min="7690" max="7690" width="10.7109375" style="61" customWidth="1"/>
    <col min="7691" max="7691" width="13.42578125" style="61" customWidth="1"/>
    <col min="7692" max="7692" width="10.5703125" style="61" customWidth="1"/>
    <col min="7693" max="7937" width="8.85546875" style="61"/>
    <col min="7938" max="7938" width="33.28515625" style="61" customWidth="1"/>
    <col min="7939" max="7939" width="12.85546875" style="61" customWidth="1"/>
    <col min="7940" max="7940" width="19.42578125" style="61" customWidth="1"/>
    <col min="7941" max="7941" width="16.42578125" style="61" customWidth="1"/>
    <col min="7942" max="7943" width="15.28515625" style="61" customWidth="1"/>
    <col min="7944" max="7944" width="6.7109375" style="61" customWidth="1"/>
    <col min="7945" max="7945" width="8.85546875" style="61"/>
    <col min="7946" max="7946" width="10.7109375" style="61" customWidth="1"/>
    <col min="7947" max="7947" width="13.42578125" style="61" customWidth="1"/>
    <col min="7948" max="7948" width="10.5703125" style="61" customWidth="1"/>
    <col min="7949" max="8193" width="8.85546875" style="61"/>
    <col min="8194" max="8194" width="33.28515625" style="61" customWidth="1"/>
    <col min="8195" max="8195" width="12.85546875" style="61" customWidth="1"/>
    <col min="8196" max="8196" width="19.42578125" style="61" customWidth="1"/>
    <col min="8197" max="8197" width="16.42578125" style="61" customWidth="1"/>
    <col min="8198" max="8199" width="15.28515625" style="61" customWidth="1"/>
    <col min="8200" max="8200" width="6.7109375" style="61" customWidth="1"/>
    <col min="8201" max="8201" width="8.85546875" style="61"/>
    <col min="8202" max="8202" width="10.7109375" style="61" customWidth="1"/>
    <col min="8203" max="8203" width="13.42578125" style="61" customWidth="1"/>
    <col min="8204" max="8204" width="10.5703125" style="61" customWidth="1"/>
    <col min="8205" max="8449" width="8.85546875" style="61"/>
    <col min="8450" max="8450" width="33.28515625" style="61" customWidth="1"/>
    <col min="8451" max="8451" width="12.85546875" style="61" customWidth="1"/>
    <col min="8452" max="8452" width="19.42578125" style="61" customWidth="1"/>
    <col min="8453" max="8453" width="16.42578125" style="61" customWidth="1"/>
    <col min="8454" max="8455" width="15.28515625" style="61" customWidth="1"/>
    <col min="8456" max="8456" width="6.7109375" style="61" customWidth="1"/>
    <col min="8457" max="8457" width="8.85546875" style="61"/>
    <col min="8458" max="8458" width="10.7109375" style="61" customWidth="1"/>
    <col min="8459" max="8459" width="13.42578125" style="61" customWidth="1"/>
    <col min="8460" max="8460" width="10.5703125" style="61" customWidth="1"/>
    <col min="8461" max="8705" width="8.85546875" style="61"/>
    <col min="8706" max="8706" width="33.28515625" style="61" customWidth="1"/>
    <col min="8707" max="8707" width="12.85546875" style="61" customWidth="1"/>
    <col min="8708" max="8708" width="19.42578125" style="61" customWidth="1"/>
    <col min="8709" max="8709" width="16.42578125" style="61" customWidth="1"/>
    <col min="8710" max="8711" width="15.28515625" style="61" customWidth="1"/>
    <col min="8712" max="8712" width="6.7109375" style="61" customWidth="1"/>
    <col min="8713" max="8713" width="8.85546875" style="61"/>
    <col min="8714" max="8714" width="10.7109375" style="61" customWidth="1"/>
    <col min="8715" max="8715" width="13.42578125" style="61" customWidth="1"/>
    <col min="8716" max="8716" width="10.5703125" style="61" customWidth="1"/>
    <col min="8717" max="8961" width="8.85546875" style="61"/>
    <col min="8962" max="8962" width="33.28515625" style="61" customWidth="1"/>
    <col min="8963" max="8963" width="12.85546875" style="61" customWidth="1"/>
    <col min="8964" max="8964" width="19.42578125" style="61" customWidth="1"/>
    <col min="8965" max="8965" width="16.42578125" style="61" customWidth="1"/>
    <col min="8966" max="8967" width="15.28515625" style="61" customWidth="1"/>
    <col min="8968" max="8968" width="6.7109375" style="61" customWidth="1"/>
    <col min="8969" max="8969" width="8.85546875" style="61"/>
    <col min="8970" max="8970" width="10.7109375" style="61" customWidth="1"/>
    <col min="8971" max="8971" width="13.42578125" style="61" customWidth="1"/>
    <col min="8972" max="8972" width="10.5703125" style="61" customWidth="1"/>
    <col min="8973" max="9217" width="8.85546875" style="61"/>
    <col min="9218" max="9218" width="33.28515625" style="61" customWidth="1"/>
    <col min="9219" max="9219" width="12.85546875" style="61" customWidth="1"/>
    <col min="9220" max="9220" width="19.42578125" style="61" customWidth="1"/>
    <col min="9221" max="9221" width="16.42578125" style="61" customWidth="1"/>
    <col min="9222" max="9223" width="15.28515625" style="61" customWidth="1"/>
    <col min="9224" max="9224" width="6.7109375" style="61" customWidth="1"/>
    <col min="9225" max="9225" width="8.85546875" style="61"/>
    <col min="9226" max="9226" width="10.7109375" style="61" customWidth="1"/>
    <col min="9227" max="9227" width="13.42578125" style="61" customWidth="1"/>
    <col min="9228" max="9228" width="10.5703125" style="61" customWidth="1"/>
    <col min="9229" max="9473" width="8.85546875" style="61"/>
    <col min="9474" max="9474" width="33.28515625" style="61" customWidth="1"/>
    <col min="9475" max="9475" width="12.85546875" style="61" customWidth="1"/>
    <col min="9476" max="9476" width="19.42578125" style="61" customWidth="1"/>
    <col min="9477" max="9477" width="16.42578125" style="61" customWidth="1"/>
    <col min="9478" max="9479" width="15.28515625" style="61" customWidth="1"/>
    <col min="9480" max="9480" width="6.7109375" style="61" customWidth="1"/>
    <col min="9481" max="9481" width="8.85546875" style="61"/>
    <col min="9482" max="9482" width="10.7109375" style="61" customWidth="1"/>
    <col min="9483" max="9483" width="13.42578125" style="61" customWidth="1"/>
    <col min="9484" max="9484" width="10.5703125" style="61" customWidth="1"/>
    <col min="9485" max="9729" width="8.85546875" style="61"/>
    <col min="9730" max="9730" width="33.28515625" style="61" customWidth="1"/>
    <col min="9731" max="9731" width="12.85546875" style="61" customWidth="1"/>
    <col min="9732" max="9732" width="19.42578125" style="61" customWidth="1"/>
    <col min="9733" max="9733" width="16.42578125" style="61" customWidth="1"/>
    <col min="9734" max="9735" width="15.28515625" style="61" customWidth="1"/>
    <col min="9736" max="9736" width="6.7109375" style="61" customWidth="1"/>
    <col min="9737" max="9737" width="8.85546875" style="61"/>
    <col min="9738" max="9738" width="10.7109375" style="61" customWidth="1"/>
    <col min="9739" max="9739" width="13.42578125" style="61" customWidth="1"/>
    <col min="9740" max="9740" width="10.5703125" style="61" customWidth="1"/>
    <col min="9741" max="9985" width="8.85546875" style="61"/>
    <col min="9986" max="9986" width="33.28515625" style="61" customWidth="1"/>
    <col min="9987" max="9987" width="12.85546875" style="61" customWidth="1"/>
    <col min="9988" max="9988" width="19.42578125" style="61" customWidth="1"/>
    <col min="9989" max="9989" width="16.42578125" style="61" customWidth="1"/>
    <col min="9990" max="9991" width="15.28515625" style="61" customWidth="1"/>
    <col min="9992" max="9992" width="6.7109375" style="61" customWidth="1"/>
    <col min="9993" max="9993" width="8.85546875" style="61"/>
    <col min="9994" max="9994" width="10.7109375" style="61" customWidth="1"/>
    <col min="9995" max="9995" width="13.42578125" style="61" customWidth="1"/>
    <col min="9996" max="9996" width="10.5703125" style="61" customWidth="1"/>
    <col min="9997" max="10241" width="8.85546875" style="61"/>
    <col min="10242" max="10242" width="33.28515625" style="61" customWidth="1"/>
    <col min="10243" max="10243" width="12.85546875" style="61" customWidth="1"/>
    <col min="10244" max="10244" width="19.42578125" style="61" customWidth="1"/>
    <col min="10245" max="10245" width="16.42578125" style="61" customWidth="1"/>
    <col min="10246" max="10247" width="15.28515625" style="61" customWidth="1"/>
    <col min="10248" max="10248" width="6.7109375" style="61" customWidth="1"/>
    <col min="10249" max="10249" width="8.85546875" style="61"/>
    <col min="10250" max="10250" width="10.7109375" style="61" customWidth="1"/>
    <col min="10251" max="10251" width="13.42578125" style="61" customWidth="1"/>
    <col min="10252" max="10252" width="10.5703125" style="61" customWidth="1"/>
    <col min="10253" max="10497" width="8.85546875" style="61"/>
    <col min="10498" max="10498" width="33.28515625" style="61" customWidth="1"/>
    <col min="10499" max="10499" width="12.85546875" style="61" customWidth="1"/>
    <col min="10500" max="10500" width="19.42578125" style="61" customWidth="1"/>
    <col min="10501" max="10501" width="16.42578125" style="61" customWidth="1"/>
    <col min="10502" max="10503" width="15.28515625" style="61" customWidth="1"/>
    <col min="10504" max="10504" width="6.7109375" style="61" customWidth="1"/>
    <col min="10505" max="10505" width="8.85546875" style="61"/>
    <col min="10506" max="10506" width="10.7109375" style="61" customWidth="1"/>
    <col min="10507" max="10507" width="13.42578125" style="61" customWidth="1"/>
    <col min="10508" max="10508" width="10.5703125" style="61" customWidth="1"/>
    <col min="10509" max="10753" width="8.85546875" style="61"/>
    <col min="10754" max="10754" width="33.28515625" style="61" customWidth="1"/>
    <col min="10755" max="10755" width="12.85546875" style="61" customWidth="1"/>
    <col min="10756" max="10756" width="19.42578125" style="61" customWidth="1"/>
    <col min="10757" max="10757" width="16.42578125" style="61" customWidth="1"/>
    <col min="10758" max="10759" width="15.28515625" style="61" customWidth="1"/>
    <col min="10760" max="10760" width="6.7109375" style="61" customWidth="1"/>
    <col min="10761" max="10761" width="8.85546875" style="61"/>
    <col min="10762" max="10762" width="10.7109375" style="61" customWidth="1"/>
    <col min="10763" max="10763" width="13.42578125" style="61" customWidth="1"/>
    <col min="10764" max="10764" width="10.5703125" style="61" customWidth="1"/>
    <col min="10765" max="11009" width="8.85546875" style="61"/>
    <col min="11010" max="11010" width="33.28515625" style="61" customWidth="1"/>
    <col min="11011" max="11011" width="12.85546875" style="61" customWidth="1"/>
    <col min="11012" max="11012" width="19.42578125" style="61" customWidth="1"/>
    <col min="11013" max="11013" width="16.42578125" style="61" customWidth="1"/>
    <col min="11014" max="11015" width="15.28515625" style="61" customWidth="1"/>
    <col min="11016" max="11016" width="6.7109375" style="61" customWidth="1"/>
    <col min="11017" max="11017" width="8.85546875" style="61"/>
    <col min="11018" max="11018" width="10.7109375" style="61" customWidth="1"/>
    <col min="11019" max="11019" width="13.42578125" style="61" customWidth="1"/>
    <col min="11020" max="11020" width="10.5703125" style="61" customWidth="1"/>
    <col min="11021" max="11265" width="8.85546875" style="61"/>
    <col min="11266" max="11266" width="33.28515625" style="61" customWidth="1"/>
    <col min="11267" max="11267" width="12.85546875" style="61" customWidth="1"/>
    <col min="11268" max="11268" width="19.42578125" style="61" customWidth="1"/>
    <col min="11269" max="11269" width="16.42578125" style="61" customWidth="1"/>
    <col min="11270" max="11271" width="15.28515625" style="61" customWidth="1"/>
    <col min="11272" max="11272" width="6.7109375" style="61" customWidth="1"/>
    <col min="11273" max="11273" width="8.85546875" style="61"/>
    <col min="11274" max="11274" width="10.7109375" style="61" customWidth="1"/>
    <col min="11275" max="11275" width="13.42578125" style="61" customWidth="1"/>
    <col min="11276" max="11276" width="10.5703125" style="61" customWidth="1"/>
    <col min="11277" max="11521" width="8.85546875" style="61"/>
    <col min="11522" max="11522" width="33.28515625" style="61" customWidth="1"/>
    <col min="11523" max="11523" width="12.85546875" style="61" customWidth="1"/>
    <col min="11524" max="11524" width="19.42578125" style="61" customWidth="1"/>
    <col min="11525" max="11525" width="16.42578125" style="61" customWidth="1"/>
    <col min="11526" max="11527" width="15.28515625" style="61" customWidth="1"/>
    <col min="11528" max="11528" width="6.7109375" style="61" customWidth="1"/>
    <col min="11529" max="11529" width="8.85546875" style="61"/>
    <col min="11530" max="11530" width="10.7109375" style="61" customWidth="1"/>
    <col min="11531" max="11531" width="13.42578125" style="61" customWidth="1"/>
    <col min="11532" max="11532" width="10.5703125" style="61" customWidth="1"/>
    <col min="11533" max="11777" width="8.85546875" style="61"/>
    <col min="11778" max="11778" width="33.28515625" style="61" customWidth="1"/>
    <col min="11779" max="11779" width="12.85546875" style="61" customWidth="1"/>
    <col min="11780" max="11780" width="19.42578125" style="61" customWidth="1"/>
    <col min="11781" max="11781" width="16.42578125" style="61" customWidth="1"/>
    <col min="11782" max="11783" width="15.28515625" style="61" customWidth="1"/>
    <col min="11784" max="11784" width="6.7109375" style="61" customWidth="1"/>
    <col min="11785" max="11785" width="8.85546875" style="61"/>
    <col min="11786" max="11786" width="10.7109375" style="61" customWidth="1"/>
    <col min="11787" max="11787" width="13.42578125" style="61" customWidth="1"/>
    <col min="11788" max="11788" width="10.5703125" style="61" customWidth="1"/>
    <col min="11789" max="12033" width="8.85546875" style="61"/>
    <col min="12034" max="12034" width="33.28515625" style="61" customWidth="1"/>
    <col min="12035" max="12035" width="12.85546875" style="61" customWidth="1"/>
    <col min="12036" max="12036" width="19.42578125" style="61" customWidth="1"/>
    <col min="12037" max="12037" width="16.42578125" style="61" customWidth="1"/>
    <col min="12038" max="12039" width="15.28515625" style="61" customWidth="1"/>
    <col min="12040" max="12040" width="6.7109375" style="61" customWidth="1"/>
    <col min="12041" max="12041" width="8.85546875" style="61"/>
    <col min="12042" max="12042" width="10.7109375" style="61" customWidth="1"/>
    <col min="12043" max="12043" width="13.42578125" style="61" customWidth="1"/>
    <col min="12044" max="12044" width="10.5703125" style="61" customWidth="1"/>
    <col min="12045" max="12289" width="8.85546875" style="61"/>
    <col min="12290" max="12290" width="33.28515625" style="61" customWidth="1"/>
    <col min="12291" max="12291" width="12.85546875" style="61" customWidth="1"/>
    <col min="12292" max="12292" width="19.42578125" style="61" customWidth="1"/>
    <col min="12293" max="12293" width="16.42578125" style="61" customWidth="1"/>
    <col min="12294" max="12295" width="15.28515625" style="61" customWidth="1"/>
    <col min="12296" max="12296" width="6.7109375" style="61" customWidth="1"/>
    <col min="12297" max="12297" width="8.85546875" style="61"/>
    <col min="12298" max="12298" width="10.7109375" style="61" customWidth="1"/>
    <col min="12299" max="12299" width="13.42578125" style="61" customWidth="1"/>
    <col min="12300" max="12300" width="10.5703125" style="61" customWidth="1"/>
    <col min="12301" max="12545" width="8.85546875" style="61"/>
    <col min="12546" max="12546" width="33.28515625" style="61" customWidth="1"/>
    <col min="12547" max="12547" width="12.85546875" style="61" customWidth="1"/>
    <col min="12548" max="12548" width="19.42578125" style="61" customWidth="1"/>
    <col min="12549" max="12549" width="16.42578125" style="61" customWidth="1"/>
    <col min="12550" max="12551" width="15.28515625" style="61" customWidth="1"/>
    <col min="12552" max="12552" width="6.7109375" style="61" customWidth="1"/>
    <col min="12553" max="12553" width="8.85546875" style="61"/>
    <col min="12554" max="12554" width="10.7109375" style="61" customWidth="1"/>
    <col min="12555" max="12555" width="13.42578125" style="61" customWidth="1"/>
    <col min="12556" max="12556" width="10.5703125" style="61" customWidth="1"/>
    <col min="12557" max="12801" width="8.85546875" style="61"/>
    <col min="12802" max="12802" width="33.28515625" style="61" customWidth="1"/>
    <col min="12803" max="12803" width="12.85546875" style="61" customWidth="1"/>
    <col min="12804" max="12804" width="19.42578125" style="61" customWidth="1"/>
    <col min="12805" max="12805" width="16.42578125" style="61" customWidth="1"/>
    <col min="12806" max="12807" width="15.28515625" style="61" customWidth="1"/>
    <col min="12808" max="12808" width="6.7109375" style="61" customWidth="1"/>
    <col min="12809" max="12809" width="8.85546875" style="61"/>
    <col min="12810" max="12810" width="10.7109375" style="61" customWidth="1"/>
    <col min="12811" max="12811" width="13.42578125" style="61" customWidth="1"/>
    <col min="12812" max="12812" width="10.5703125" style="61" customWidth="1"/>
    <col min="12813" max="13057" width="8.85546875" style="61"/>
    <col min="13058" max="13058" width="33.28515625" style="61" customWidth="1"/>
    <col min="13059" max="13059" width="12.85546875" style="61" customWidth="1"/>
    <col min="13060" max="13060" width="19.42578125" style="61" customWidth="1"/>
    <col min="13061" max="13061" width="16.42578125" style="61" customWidth="1"/>
    <col min="13062" max="13063" width="15.28515625" style="61" customWidth="1"/>
    <col min="13064" max="13064" width="6.7109375" style="61" customWidth="1"/>
    <col min="13065" max="13065" width="8.85546875" style="61"/>
    <col min="13066" max="13066" width="10.7109375" style="61" customWidth="1"/>
    <col min="13067" max="13067" width="13.42578125" style="61" customWidth="1"/>
    <col min="13068" max="13068" width="10.5703125" style="61" customWidth="1"/>
    <col min="13069" max="13313" width="8.85546875" style="61"/>
    <col min="13314" max="13314" width="33.28515625" style="61" customWidth="1"/>
    <col min="13315" max="13315" width="12.85546875" style="61" customWidth="1"/>
    <col min="13316" max="13316" width="19.42578125" style="61" customWidth="1"/>
    <col min="13317" max="13317" width="16.42578125" style="61" customWidth="1"/>
    <col min="13318" max="13319" width="15.28515625" style="61" customWidth="1"/>
    <col min="13320" max="13320" width="6.7109375" style="61" customWidth="1"/>
    <col min="13321" max="13321" width="8.85546875" style="61"/>
    <col min="13322" max="13322" width="10.7109375" style="61" customWidth="1"/>
    <col min="13323" max="13323" width="13.42578125" style="61" customWidth="1"/>
    <col min="13324" max="13324" width="10.5703125" style="61" customWidth="1"/>
    <col min="13325" max="13569" width="8.85546875" style="61"/>
    <col min="13570" max="13570" width="33.28515625" style="61" customWidth="1"/>
    <col min="13571" max="13571" width="12.85546875" style="61" customWidth="1"/>
    <col min="13572" max="13572" width="19.42578125" style="61" customWidth="1"/>
    <col min="13573" max="13573" width="16.42578125" style="61" customWidth="1"/>
    <col min="13574" max="13575" width="15.28515625" style="61" customWidth="1"/>
    <col min="13576" max="13576" width="6.7109375" style="61" customWidth="1"/>
    <col min="13577" max="13577" width="8.85546875" style="61"/>
    <col min="13578" max="13578" width="10.7109375" style="61" customWidth="1"/>
    <col min="13579" max="13579" width="13.42578125" style="61" customWidth="1"/>
    <col min="13580" max="13580" width="10.5703125" style="61" customWidth="1"/>
    <col min="13581" max="13825" width="8.85546875" style="61"/>
    <col min="13826" max="13826" width="33.28515625" style="61" customWidth="1"/>
    <col min="13827" max="13827" width="12.85546875" style="61" customWidth="1"/>
    <col min="13828" max="13828" width="19.42578125" style="61" customWidth="1"/>
    <col min="13829" max="13829" width="16.42578125" style="61" customWidth="1"/>
    <col min="13830" max="13831" width="15.28515625" style="61" customWidth="1"/>
    <col min="13832" max="13832" width="6.7109375" style="61" customWidth="1"/>
    <col min="13833" max="13833" width="8.85546875" style="61"/>
    <col min="13834" max="13834" width="10.7109375" style="61" customWidth="1"/>
    <col min="13835" max="13835" width="13.42578125" style="61" customWidth="1"/>
    <col min="13836" max="13836" width="10.5703125" style="61" customWidth="1"/>
    <col min="13837" max="14081" width="8.85546875" style="61"/>
    <col min="14082" max="14082" width="33.28515625" style="61" customWidth="1"/>
    <col min="14083" max="14083" width="12.85546875" style="61" customWidth="1"/>
    <col min="14084" max="14084" width="19.42578125" style="61" customWidth="1"/>
    <col min="14085" max="14085" width="16.42578125" style="61" customWidth="1"/>
    <col min="14086" max="14087" width="15.28515625" style="61" customWidth="1"/>
    <col min="14088" max="14088" width="6.7109375" style="61" customWidth="1"/>
    <col min="14089" max="14089" width="8.85546875" style="61"/>
    <col min="14090" max="14090" width="10.7109375" style="61" customWidth="1"/>
    <col min="14091" max="14091" width="13.42578125" style="61" customWidth="1"/>
    <col min="14092" max="14092" width="10.5703125" style="61" customWidth="1"/>
    <col min="14093" max="14337" width="8.85546875" style="61"/>
    <col min="14338" max="14338" width="33.28515625" style="61" customWidth="1"/>
    <col min="14339" max="14339" width="12.85546875" style="61" customWidth="1"/>
    <col min="14340" max="14340" width="19.42578125" style="61" customWidth="1"/>
    <col min="14341" max="14341" width="16.42578125" style="61" customWidth="1"/>
    <col min="14342" max="14343" width="15.28515625" style="61" customWidth="1"/>
    <col min="14344" max="14344" width="6.7109375" style="61" customWidth="1"/>
    <col min="14345" max="14345" width="8.85546875" style="61"/>
    <col min="14346" max="14346" width="10.7109375" style="61" customWidth="1"/>
    <col min="14347" max="14347" width="13.42578125" style="61" customWidth="1"/>
    <col min="14348" max="14348" width="10.5703125" style="61" customWidth="1"/>
    <col min="14349" max="14593" width="8.85546875" style="61"/>
    <col min="14594" max="14594" width="33.28515625" style="61" customWidth="1"/>
    <col min="14595" max="14595" width="12.85546875" style="61" customWidth="1"/>
    <col min="14596" max="14596" width="19.42578125" style="61" customWidth="1"/>
    <col min="14597" max="14597" width="16.42578125" style="61" customWidth="1"/>
    <col min="14598" max="14599" width="15.28515625" style="61" customWidth="1"/>
    <col min="14600" max="14600" width="6.7109375" style="61" customWidth="1"/>
    <col min="14601" max="14601" width="8.85546875" style="61"/>
    <col min="14602" max="14602" width="10.7109375" style="61" customWidth="1"/>
    <col min="14603" max="14603" width="13.42578125" style="61" customWidth="1"/>
    <col min="14604" max="14604" width="10.5703125" style="61" customWidth="1"/>
    <col min="14605" max="14849" width="8.85546875" style="61"/>
    <col min="14850" max="14850" width="33.28515625" style="61" customWidth="1"/>
    <col min="14851" max="14851" width="12.85546875" style="61" customWidth="1"/>
    <col min="14852" max="14852" width="19.42578125" style="61" customWidth="1"/>
    <col min="14853" max="14853" width="16.42578125" style="61" customWidth="1"/>
    <col min="14854" max="14855" width="15.28515625" style="61" customWidth="1"/>
    <col min="14856" max="14856" width="6.7109375" style="61" customWidth="1"/>
    <col min="14857" max="14857" width="8.85546875" style="61"/>
    <col min="14858" max="14858" width="10.7109375" style="61" customWidth="1"/>
    <col min="14859" max="14859" width="13.42578125" style="61" customWidth="1"/>
    <col min="14860" max="14860" width="10.5703125" style="61" customWidth="1"/>
    <col min="14861" max="15105" width="8.85546875" style="61"/>
    <col min="15106" max="15106" width="33.28515625" style="61" customWidth="1"/>
    <col min="15107" max="15107" width="12.85546875" style="61" customWidth="1"/>
    <col min="15108" max="15108" width="19.42578125" style="61" customWidth="1"/>
    <col min="15109" max="15109" width="16.42578125" style="61" customWidth="1"/>
    <col min="15110" max="15111" width="15.28515625" style="61" customWidth="1"/>
    <col min="15112" max="15112" width="6.7109375" style="61" customWidth="1"/>
    <col min="15113" max="15113" width="8.85546875" style="61"/>
    <col min="15114" max="15114" width="10.7109375" style="61" customWidth="1"/>
    <col min="15115" max="15115" width="13.42578125" style="61" customWidth="1"/>
    <col min="15116" max="15116" width="10.5703125" style="61" customWidth="1"/>
    <col min="15117" max="15361" width="8.85546875" style="61"/>
    <col min="15362" max="15362" width="33.28515625" style="61" customWidth="1"/>
    <col min="15363" max="15363" width="12.85546875" style="61" customWidth="1"/>
    <col min="15364" max="15364" width="19.42578125" style="61" customWidth="1"/>
    <col min="15365" max="15365" width="16.42578125" style="61" customWidth="1"/>
    <col min="15366" max="15367" width="15.28515625" style="61" customWidth="1"/>
    <col min="15368" max="15368" width="6.7109375" style="61" customWidth="1"/>
    <col min="15369" max="15369" width="8.85546875" style="61"/>
    <col min="15370" max="15370" width="10.7109375" style="61" customWidth="1"/>
    <col min="15371" max="15371" width="13.42578125" style="61" customWidth="1"/>
    <col min="15372" max="15372" width="10.5703125" style="61" customWidth="1"/>
    <col min="15373" max="15617" width="8.85546875" style="61"/>
    <col min="15618" max="15618" width="33.28515625" style="61" customWidth="1"/>
    <col min="15619" max="15619" width="12.85546875" style="61" customWidth="1"/>
    <col min="15620" max="15620" width="19.42578125" style="61" customWidth="1"/>
    <col min="15621" max="15621" width="16.42578125" style="61" customWidth="1"/>
    <col min="15622" max="15623" width="15.28515625" style="61" customWidth="1"/>
    <col min="15624" max="15624" width="6.7109375" style="61" customWidth="1"/>
    <col min="15625" max="15625" width="8.85546875" style="61"/>
    <col min="15626" max="15626" width="10.7109375" style="61" customWidth="1"/>
    <col min="15627" max="15627" width="13.42578125" style="61" customWidth="1"/>
    <col min="15628" max="15628" width="10.5703125" style="61" customWidth="1"/>
    <col min="15629" max="15873" width="8.85546875" style="61"/>
    <col min="15874" max="15874" width="33.28515625" style="61" customWidth="1"/>
    <col min="15875" max="15875" width="12.85546875" style="61" customWidth="1"/>
    <col min="15876" max="15876" width="19.42578125" style="61" customWidth="1"/>
    <col min="15877" max="15877" width="16.42578125" style="61" customWidth="1"/>
    <col min="15878" max="15879" width="15.28515625" style="61" customWidth="1"/>
    <col min="15880" max="15880" width="6.7109375" style="61" customWidth="1"/>
    <col min="15881" max="15881" width="8.85546875" style="61"/>
    <col min="15882" max="15882" width="10.7109375" style="61" customWidth="1"/>
    <col min="15883" max="15883" width="13.42578125" style="61" customWidth="1"/>
    <col min="15884" max="15884" width="10.5703125" style="61" customWidth="1"/>
    <col min="15885" max="16129" width="8.85546875" style="61"/>
    <col min="16130" max="16130" width="33.28515625" style="61" customWidth="1"/>
    <col min="16131" max="16131" width="12.85546875" style="61" customWidth="1"/>
    <col min="16132" max="16132" width="19.42578125" style="61" customWidth="1"/>
    <col min="16133" max="16133" width="16.42578125" style="61" customWidth="1"/>
    <col min="16134" max="16135" width="15.28515625" style="61" customWidth="1"/>
    <col min="16136" max="16136" width="6.7109375" style="61" customWidth="1"/>
    <col min="16137" max="16137" width="8.85546875" style="61"/>
    <col min="16138" max="16138" width="10.7109375" style="61" customWidth="1"/>
    <col min="16139" max="16139" width="13.42578125" style="61" customWidth="1"/>
    <col min="16140" max="16140" width="10.5703125" style="61" customWidth="1"/>
    <col min="16141" max="16384" width="8.85546875" style="61"/>
  </cols>
  <sheetData>
    <row r="1" spans="2:13">
      <c r="B1" s="74"/>
      <c r="C1" s="74"/>
      <c r="D1" s="74"/>
      <c r="E1" s="74"/>
      <c r="F1" s="74"/>
      <c r="G1" s="74"/>
      <c r="H1" s="74"/>
      <c r="I1" s="74"/>
      <c r="J1" s="74"/>
      <c r="K1" s="74"/>
      <c r="L1" s="74"/>
      <c r="M1" s="74"/>
    </row>
    <row r="2" spans="2:13">
      <c r="B2" s="74"/>
      <c r="C2" s="74"/>
      <c r="D2" s="74"/>
      <c r="E2" s="74"/>
      <c r="F2" s="74"/>
      <c r="G2" s="74"/>
      <c r="H2" s="74"/>
      <c r="I2" s="74"/>
      <c r="J2" s="74"/>
      <c r="K2" s="74"/>
      <c r="L2" s="74"/>
      <c r="M2" s="74"/>
    </row>
    <row r="3" spans="2:13">
      <c r="B3" s="74"/>
      <c r="C3" s="74"/>
      <c r="D3" s="74"/>
      <c r="E3" s="74"/>
      <c r="F3" s="74"/>
      <c r="G3" s="74"/>
      <c r="H3" s="74"/>
      <c r="I3" s="74"/>
      <c r="J3" s="74" t="s">
        <v>1200</v>
      </c>
      <c r="K3" s="283">
        <v>60000000</v>
      </c>
      <c r="L3" s="74"/>
      <c r="M3" s="74"/>
    </row>
    <row r="4" spans="2:13">
      <c r="B4" s="74"/>
      <c r="C4" s="74"/>
      <c r="D4" s="74"/>
      <c r="E4" s="74"/>
      <c r="F4" s="74"/>
      <c r="G4" s="74"/>
      <c r="H4" s="74"/>
      <c r="I4" s="74"/>
      <c r="J4" s="74" t="s">
        <v>1203</v>
      </c>
      <c r="K4" s="284">
        <v>0.25</v>
      </c>
      <c r="L4" s="74"/>
      <c r="M4" s="74"/>
    </row>
    <row r="5" spans="2:13">
      <c r="B5" s="74"/>
      <c r="C5" s="74"/>
      <c r="D5" s="74"/>
      <c r="E5" s="74"/>
      <c r="F5" s="74"/>
      <c r="G5" s="74"/>
      <c r="H5" s="74"/>
      <c r="I5" s="74"/>
      <c r="J5" s="74" t="s">
        <v>1334</v>
      </c>
      <c r="K5" s="284">
        <v>0.1</v>
      </c>
      <c r="L5" s="74"/>
      <c r="M5" s="74"/>
    </row>
    <row r="6" spans="2:13">
      <c r="B6" s="74"/>
      <c r="C6" s="74"/>
      <c r="D6" s="74"/>
      <c r="E6" s="74"/>
      <c r="F6" s="74"/>
      <c r="G6" s="74"/>
      <c r="H6" s="74"/>
      <c r="I6" s="74"/>
      <c r="J6" s="74" t="s">
        <v>1201</v>
      </c>
      <c r="K6" s="284">
        <v>0.2</v>
      </c>
      <c r="L6" s="74"/>
      <c r="M6" s="74"/>
    </row>
    <row r="7" spans="2:13">
      <c r="B7" s="74"/>
      <c r="C7" s="74"/>
      <c r="D7" s="74"/>
      <c r="E7" s="74"/>
      <c r="F7" s="74"/>
      <c r="G7" s="74"/>
      <c r="H7" s="74"/>
      <c r="I7" s="74"/>
      <c r="J7" s="74" t="s">
        <v>1205</v>
      </c>
      <c r="K7" s="285">
        <f>K3*K4*K5*K6</f>
        <v>300000</v>
      </c>
      <c r="L7" s="74"/>
      <c r="M7" s="74"/>
    </row>
    <row r="8" spans="2:13">
      <c r="B8" s="74"/>
      <c r="C8" s="74"/>
      <c r="D8" s="74"/>
      <c r="E8" s="74"/>
      <c r="F8" s="74"/>
      <c r="G8" s="74"/>
      <c r="H8" s="74"/>
      <c r="I8" s="74"/>
      <c r="J8" s="74"/>
      <c r="K8" s="74"/>
      <c r="L8" s="74"/>
      <c r="M8" s="74"/>
    </row>
    <row r="9" spans="2:13">
      <c r="B9" s="74"/>
      <c r="C9" s="74"/>
      <c r="D9" s="74"/>
      <c r="E9" s="74"/>
      <c r="F9" s="74"/>
      <c r="G9" s="74"/>
      <c r="H9" s="74"/>
      <c r="I9" s="74"/>
      <c r="J9" s="74"/>
      <c r="K9" s="74"/>
      <c r="L9" s="74"/>
      <c r="M9" s="74"/>
    </row>
    <row r="10" spans="2:13">
      <c r="B10" s="74"/>
      <c r="C10" s="74"/>
      <c r="D10" s="74"/>
      <c r="E10" s="74"/>
      <c r="F10" s="74"/>
      <c r="G10" s="74"/>
      <c r="H10" s="74"/>
      <c r="I10" s="74"/>
      <c r="J10" s="74" t="s">
        <v>1202</v>
      </c>
      <c r="K10" s="283">
        <v>230000</v>
      </c>
      <c r="L10" s="74"/>
      <c r="M10" s="74"/>
    </row>
    <row r="11" spans="2:13">
      <c r="B11" s="74"/>
      <c r="C11" s="74"/>
      <c r="D11" s="74"/>
      <c r="E11" s="74"/>
      <c r="F11" s="74"/>
      <c r="G11" s="74"/>
      <c r="H11" s="74"/>
      <c r="I11" s="74"/>
      <c r="J11" s="74" t="s">
        <v>1204</v>
      </c>
      <c r="K11" s="283">
        <v>0.5</v>
      </c>
      <c r="L11" s="74"/>
      <c r="M11" s="74"/>
    </row>
    <row r="12" spans="2:13">
      <c r="B12" s="74"/>
      <c r="C12" s="74"/>
      <c r="D12" s="74"/>
      <c r="E12" s="74"/>
      <c r="F12" s="74"/>
      <c r="G12" s="74"/>
      <c r="H12" s="74"/>
      <c r="I12" s="74"/>
      <c r="J12" s="74" t="s">
        <v>1205</v>
      </c>
      <c r="K12" s="285">
        <f>K10*K11</f>
        <v>115000</v>
      </c>
      <c r="L12" s="74"/>
      <c r="M12" s="74"/>
    </row>
    <row r="13" spans="2:13">
      <c r="B13" s="74"/>
      <c r="C13" s="74"/>
      <c r="D13" s="74"/>
      <c r="E13" s="74"/>
      <c r="F13" s="74"/>
      <c r="G13" s="74"/>
      <c r="H13" s="74"/>
      <c r="I13" s="74"/>
      <c r="J13" s="74"/>
      <c r="K13" s="74"/>
      <c r="L13" s="74"/>
      <c r="M13" s="74"/>
    </row>
    <row r="14" spans="2:13">
      <c r="B14" s="74"/>
      <c r="C14" s="74"/>
      <c r="D14" s="74"/>
      <c r="E14" s="74"/>
      <c r="F14" s="74"/>
      <c r="G14" s="74"/>
      <c r="H14" s="74"/>
      <c r="I14" s="74"/>
      <c r="J14" s="74"/>
      <c r="K14" s="74"/>
      <c r="L14" s="74"/>
      <c r="M14" s="74"/>
    </row>
    <row r="15" spans="2:13">
      <c r="B15" s="74"/>
      <c r="C15" s="74"/>
      <c r="D15" s="74"/>
      <c r="E15" s="74"/>
      <c r="F15" s="74"/>
      <c r="G15" s="74"/>
      <c r="H15" s="74"/>
      <c r="I15" s="74"/>
      <c r="J15" s="74" t="s">
        <v>1337</v>
      </c>
      <c r="K15" s="283">
        <f>ROUND('U.S. and State totals'!$M$12,-4)</f>
        <v>360000</v>
      </c>
      <c r="L15" s="74"/>
      <c r="M15" s="74"/>
    </row>
    <row r="16" spans="2:13">
      <c r="B16" s="74"/>
      <c r="C16" s="74"/>
      <c r="D16" s="74"/>
      <c r="E16" s="74"/>
      <c r="F16" s="74"/>
      <c r="G16" s="74"/>
      <c r="H16" s="74"/>
      <c r="I16" s="74"/>
      <c r="J16" s="74" t="s">
        <v>1335</v>
      </c>
      <c r="K16" s="309">
        <v>0.2</v>
      </c>
      <c r="L16" s="74"/>
      <c r="M16" s="74"/>
    </row>
    <row r="17" spans="2:13">
      <c r="B17" s="74"/>
      <c r="C17" s="74"/>
      <c r="D17" s="74"/>
      <c r="E17" s="74"/>
      <c r="F17" s="74"/>
      <c r="G17" s="74"/>
      <c r="H17" s="74"/>
      <c r="I17" s="74"/>
      <c r="J17" s="74" t="s">
        <v>1333</v>
      </c>
      <c r="K17" s="283">
        <f>K15*K16</f>
        <v>72000</v>
      </c>
      <c r="L17" s="74"/>
      <c r="M17" s="74"/>
    </row>
    <row r="18" spans="2:13">
      <c r="B18" s="74"/>
      <c r="C18" s="74"/>
      <c r="D18" s="74"/>
      <c r="E18" s="74"/>
      <c r="F18" s="74"/>
      <c r="G18" s="74"/>
      <c r="H18" s="74"/>
      <c r="I18" s="74"/>
      <c r="J18" s="74"/>
      <c r="K18" s="74"/>
      <c r="L18" s="74"/>
      <c r="M18" s="74"/>
    </row>
    <row r="19" spans="2:13">
      <c r="B19" s="74"/>
      <c r="C19" s="74"/>
      <c r="D19" s="74"/>
      <c r="E19" s="74"/>
      <c r="F19" s="74"/>
      <c r="G19" s="74"/>
      <c r="H19" s="74"/>
      <c r="I19" s="74"/>
      <c r="J19" s="74" t="s">
        <v>1377</v>
      </c>
      <c r="K19" s="285">
        <f>K7+K12</f>
        <v>415000</v>
      </c>
      <c r="L19" s="74"/>
      <c r="M19" s="74"/>
    </row>
    <row r="20" spans="2:13">
      <c r="B20" s="74"/>
      <c r="C20" s="74"/>
      <c r="D20" s="74"/>
      <c r="E20" s="74"/>
      <c r="F20" s="74"/>
      <c r="G20" s="74"/>
      <c r="H20" s="74"/>
      <c r="I20" s="74"/>
      <c r="J20" s="74" t="s">
        <v>1377</v>
      </c>
      <c r="K20" s="285">
        <f>K7+K17</f>
        <v>372000</v>
      </c>
      <c r="L20" s="74"/>
      <c r="M20" s="74"/>
    </row>
    <row r="21" spans="2:13" ht="54.75" customHeight="1">
      <c r="B21" s="374" t="s">
        <v>80</v>
      </c>
      <c r="C21" s="374"/>
      <c r="D21" s="374"/>
      <c r="E21" s="374"/>
      <c r="F21" s="374"/>
      <c r="G21" s="374"/>
      <c r="H21" s="374"/>
      <c r="I21" s="374"/>
      <c r="J21" s="374"/>
      <c r="K21" s="374"/>
      <c r="L21" s="374"/>
      <c r="M21" s="374"/>
    </row>
    <row r="22" spans="2:13">
      <c r="B22" s="74"/>
      <c r="C22" s="74"/>
      <c r="D22" s="74"/>
      <c r="E22" s="74"/>
      <c r="F22" s="74"/>
      <c r="G22" s="74"/>
      <c r="H22" s="74"/>
      <c r="I22" s="74"/>
      <c r="J22" s="74"/>
      <c r="K22" s="74"/>
      <c r="L22" s="74"/>
      <c r="M22" s="74"/>
    </row>
    <row r="23" spans="2:13">
      <c r="B23" s="74"/>
      <c r="C23" s="74"/>
      <c r="D23" s="74"/>
      <c r="E23" s="74"/>
      <c r="F23" s="74"/>
      <c r="G23" s="74"/>
      <c r="H23" s="74"/>
      <c r="I23" s="74"/>
      <c r="J23" s="74"/>
      <c r="K23" s="74"/>
      <c r="L23" s="74"/>
      <c r="M23" s="74"/>
    </row>
    <row r="24" spans="2:13">
      <c r="B24" s="74"/>
      <c r="C24" s="74"/>
      <c r="D24" s="74"/>
      <c r="E24" s="74"/>
      <c r="F24" s="74"/>
      <c r="G24" s="74"/>
      <c r="H24" s="74"/>
      <c r="I24" s="74"/>
      <c r="J24" s="74"/>
      <c r="K24" s="74"/>
      <c r="L24" s="74"/>
      <c r="M24" s="74"/>
    </row>
    <row r="25" spans="2:13">
      <c r="B25" s="74"/>
      <c r="C25" s="74"/>
      <c r="D25" s="74"/>
      <c r="E25" s="74"/>
      <c r="F25" s="74"/>
      <c r="G25" s="74"/>
      <c r="H25" s="74"/>
      <c r="I25" s="74"/>
      <c r="J25" s="74"/>
      <c r="K25" s="74"/>
      <c r="L25" s="74"/>
      <c r="M25" s="74"/>
    </row>
    <row r="26" spans="2:13">
      <c r="B26" s="74"/>
      <c r="C26" s="74"/>
      <c r="D26" s="74"/>
      <c r="E26" s="74"/>
      <c r="F26" s="74"/>
      <c r="G26" s="74"/>
      <c r="H26" s="74"/>
      <c r="I26" s="74"/>
      <c r="J26" s="74"/>
      <c r="K26" s="74"/>
      <c r="L26" s="74"/>
      <c r="M26" s="74"/>
    </row>
    <row r="27" spans="2:13">
      <c r="B27" s="74"/>
      <c r="C27" s="74"/>
      <c r="D27" s="74"/>
      <c r="E27" s="74"/>
      <c r="F27" s="74"/>
      <c r="G27" s="74"/>
      <c r="H27" s="74"/>
      <c r="I27" s="74"/>
      <c r="J27" s="74"/>
      <c r="K27" s="74"/>
      <c r="L27" s="74"/>
      <c r="M27" s="74"/>
    </row>
    <row r="28" spans="2:13">
      <c r="B28" s="74"/>
      <c r="C28" s="74"/>
      <c r="D28" s="74"/>
      <c r="E28" s="74"/>
      <c r="F28" s="74"/>
      <c r="G28" s="74"/>
      <c r="H28" s="74"/>
      <c r="I28" s="74"/>
      <c r="J28" s="74"/>
      <c r="K28" s="74"/>
      <c r="L28" s="74"/>
      <c r="M28" s="74"/>
    </row>
    <row r="29" spans="2:13">
      <c r="B29" s="74"/>
      <c r="C29" s="74"/>
      <c r="D29" s="74"/>
      <c r="E29" s="74"/>
      <c r="F29" s="74"/>
      <c r="G29" s="74"/>
      <c r="H29" s="74"/>
      <c r="I29" s="74"/>
      <c r="J29" s="74"/>
      <c r="K29" s="74"/>
      <c r="L29" s="74"/>
      <c r="M29" s="74"/>
    </row>
    <row r="30" spans="2:13">
      <c r="B30" s="74"/>
      <c r="C30" s="74"/>
      <c r="D30" s="74"/>
      <c r="E30" s="74"/>
      <c r="F30" s="74"/>
      <c r="G30" s="74"/>
      <c r="H30" s="74"/>
      <c r="I30" s="74"/>
      <c r="J30" s="74"/>
      <c r="K30" s="74"/>
      <c r="L30" s="74"/>
      <c r="M30" s="74"/>
    </row>
    <row r="31" spans="2:13">
      <c r="B31" s="74"/>
      <c r="C31" s="74"/>
      <c r="D31" s="74"/>
      <c r="E31" s="74"/>
      <c r="F31" s="74"/>
      <c r="G31" s="74"/>
      <c r="H31" s="74"/>
      <c r="I31" s="74"/>
      <c r="J31" s="74"/>
      <c r="K31" s="74"/>
      <c r="L31" s="74"/>
      <c r="M31" s="74"/>
    </row>
    <row r="32" spans="2:13">
      <c r="B32" s="74"/>
      <c r="C32" s="74"/>
      <c r="D32" s="74"/>
      <c r="E32" s="74"/>
      <c r="F32" s="74"/>
      <c r="G32" s="74"/>
      <c r="H32" s="74"/>
      <c r="I32" s="74"/>
      <c r="J32" s="74"/>
      <c r="K32" s="74"/>
      <c r="L32" s="74"/>
      <c r="M32" s="74"/>
    </row>
    <row r="33" spans="2:13">
      <c r="B33" s="74"/>
      <c r="C33" s="74"/>
      <c r="D33" s="74"/>
      <c r="E33" s="74"/>
      <c r="F33" s="74"/>
      <c r="G33" s="74"/>
      <c r="H33" s="74"/>
      <c r="I33" s="74"/>
      <c r="J33" s="74"/>
      <c r="K33" s="74"/>
      <c r="L33" s="74"/>
      <c r="M33" s="74"/>
    </row>
    <row r="34" spans="2:13">
      <c r="B34" s="74"/>
      <c r="C34" s="74"/>
      <c r="D34" s="74"/>
      <c r="E34" s="74"/>
      <c r="F34" s="74"/>
      <c r="G34" s="74"/>
      <c r="H34" s="74"/>
      <c r="I34" s="74"/>
      <c r="J34" s="74"/>
      <c r="K34" s="74"/>
      <c r="L34" s="74"/>
      <c r="M34" s="74"/>
    </row>
    <row r="35" spans="2:13">
      <c r="B35" s="74"/>
      <c r="C35" s="74"/>
      <c r="D35" s="74"/>
      <c r="E35" s="74"/>
      <c r="F35" s="74"/>
      <c r="G35" s="74"/>
      <c r="H35" s="74"/>
      <c r="I35" s="74"/>
      <c r="J35" s="74"/>
      <c r="K35" s="74"/>
      <c r="L35" s="74"/>
      <c r="M35" s="74"/>
    </row>
    <row r="36" spans="2:13">
      <c r="B36" s="74"/>
      <c r="C36" s="74"/>
      <c r="D36" s="74"/>
      <c r="E36" s="74"/>
      <c r="F36" s="74"/>
      <c r="G36" s="74"/>
      <c r="H36" s="74"/>
      <c r="I36" s="74"/>
      <c r="J36" s="74"/>
      <c r="K36" s="74"/>
      <c r="L36" s="74"/>
      <c r="M36" s="74"/>
    </row>
    <row r="37" spans="2:13">
      <c r="B37" s="74"/>
      <c r="C37" s="74"/>
      <c r="D37" s="74"/>
      <c r="E37" s="74"/>
      <c r="F37" s="74"/>
      <c r="G37" s="74"/>
      <c r="H37" s="74"/>
      <c r="I37" s="74"/>
      <c r="J37" s="74"/>
      <c r="K37" s="74"/>
      <c r="L37" s="74"/>
      <c r="M37" s="74"/>
    </row>
    <row r="38" spans="2:13">
      <c r="B38" s="74"/>
      <c r="C38" s="74"/>
      <c r="D38" s="74"/>
      <c r="E38" s="74"/>
      <c r="F38" s="74"/>
      <c r="G38" s="74"/>
      <c r="H38" s="74"/>
      <c r="I38" s="74"/>
      <c r="J38" s="74"/>
      <c r="K38" s="74"/>
      <c r="L38" s="74"/>
      <c r="M38" s="74"/>
    </row>
    <row r="39" spans="2:13">
      <c r="B39" s="74"/>
      <c r="C39" s="74"/>
      <c r="D39" s="74"/>
      <c r="E39" s="74"/>
      <c r="F39" s="74"/>
      <c r="G39" s="74"/>
      <c r="H39" s="74"/>
      <c r="I39" s="74"/>
      <c r="J39" s="74"/>
      <c r="K39" s="74"/>
      <c r="L39" s="74"/>
      <c r="M39" s="74"/>
    </row>
    <row r="40" spans="2:13">
      <c r="B40" s="74"/>
      <c r="C40" s="74"/>
      <c r="D40" s="74"/>
      <c r="E40" s="74"/>
      <c r="F40" s="74"/>
      <c r="G40" s="74"/>
      <c r="H40" s="74"/>
      <c r="I40" s="74"/>
      <c r="J40" s="74"/>
      <c r="K40" s="74"/>
      <c r="L40" s="74"/>
      <c r="M40" s="74"/>
    </row>
    <row r="41" spans="2:13">
      <c r="B41" s="74"/>
      <c r="C41" s="74"/>
      <c r="D41" s="74"/>
      <c r="E41" s="74"/>
      <c r="F41" s="74"/>
      <c r="G41" s="74"/>
      <c r="H41" s="74"/>
      <c r="I41" s="74"/>
      <c r="J41" s="74"/>
      <c r="K41" s="74"/>
      <c r="L41" s="74"/>
      <c r="M41" s="74"/>
    </row>
    <row r="42" spans="2:13">
      <c r="B42" s="74"/>
      <c r="C42" s="74"/>
      <c r="D42" s="74"/>
      <c r="E42" s="74"/>
      <c r="F42" s="74"/>
      <c r="G42" s="74"/>
      <c r="H42" s="74"/>
      <c r="I42" s="74"/>
      <c r="J42" s="74"/>
      <c r="K42" s="74"/>
      <c r="L42" s="74"/>
      <c r="M42" s="74"/>
    </row>
    <row r="43" spans="2:13">
      <c r="B43" s="74"/>
      <c r="C43" s="74"/>
      <c r="D43" s="74"/>
      <c r="E43" s="74"/>
      <c r="F43" s="74"/>
      <c r="G43" s="74"/>
      <c r="H43" s="74"/>
      <c r="I43" s="74"/>
      <c r="J43" s="74"/>
      <c r="K43" s="74"/>
      <c r="L43" s="74"/>
      <c r="M43" s="74"/>
    </row>
    <row r="44" spans="2:13">
      <c r="B44" s="74"/>
      <c r="C44" s="74"/>
      <c r="D44" s="74"/>
      <c r="E44" s="74"/>
      <c r="F44" s="74"/>
      <c r="G44" s="74"/>
      <c r="H44" s="74"/>
      <c r="I44" s="74"/>
      <c r="J44" s="74"/>
      <c r="K44" s="74"/>
      <c r="L44" s="74"/>
      <c r="M44" s="74"/>
    </row>
    <row r="45" spans="2:13">
      <c r="B45" s="74"/>
      <c r="C45" s="74"/>
      <c r="D45" s="74"/>
      <c r="E45" s="74"/>
      <c r="F45" s="74"/>
      <c r="G45" s="74"/>
      <c r="H45" s="74"/>
      <c r="I45" s="74"/>
      <c r="J45" s="74"/>
      <c r="K45" s="74"/>
      <c r="L45" s="74"/>
      <c r="M45" s="74"/>
    </row>
    <row r="46" spans="2:13">
      <c r="B46" s="74"/>
      <c r="C46" s="74"/>
      <c r="D46" s="74"/>
      <c r="E46" s="74"/>
      <c r="F46" s="74"/>
      <c r="G46" s="74"/>
      <c r="H46" s="74"/>
      <c r="I46" s="74"/>
      <c r="J46" s="74"/>
      <c r="K46" s="74"/>
      <c r="L46" s="74"/>
      <c r="M46" s="74"/>
    </row>
    <row r="47" spans="2:13">
      <c r="B47" s="74"/>
      <c r="C47" s="74"/>
      <c r="D47" s="74"/>
      <c r="E47" s="74"/>
      <c r="F47" s="74"/>
      <c r="G47" s="74"/>
      <c r="H47" s="74"/>
      <c r="I47" s="74"/>
      <c r="J47" s="74"/>
      <c r="K47" s="74"/>
      <c r="L47" s="74"/>
      <c r="M47" s="74"/>
    </row>
    <row r="48" spans="2:13">
      <c r="B48" s="74"/>
      <c r="C48" s="74"/>
      <c r="D48" s="74"/>
      <c r="E48" s="74"/>
      <c r="F48" s="74"/>
      <c r="G48" s="74"/>
      <c r="H48" s="74"/>
      <c r="I48" s="74"/>
      <c r="J48" s="74"/>
      <c r="K48" s="74"/>
      <c r="L48" s="74"/>
      <c r="M48" s="74"/>
    </row>
    <row r="49" spans="2:13">
      <c r="B49" s="74"/>
      <c r="C49" s="74"/>
      <c r="D49" s="74"/>
      <c r="E49" s="74"/>
      <c r="F49" s="74"/>
      <c r="G49" s="74"/>
      <c r="H49" s="74"/>
      <c r="I49" s="74"/>
      <c r="J49" s="74"/>
      <c r="K49" s="74"/>
      <c r="L49" s="74"/>
      <c r="M49" s="74"/>
    </row>
    <row r="50" spans="2:13">
      <c r="B50" s="74"/>
      <c r="C50" s="74"/>
      <c r="D50" s="74"/>
      <c r="E50" s="74"/>
      <c r="F50" s="74"/>
      <c r="G50" s="74"/>
      <c r="H50" s="74"/>
      <c r="I50" s="74"/>
      <c r="J50" s="74"/>
      <c r="K50" s="74"/>
      <c r="L50" s="74"/>
      <c r="M50" s="74"/>
    </row>
    <row r="51" spans="2:13">
      <c r="B51" s="74"/>
      <c r="C51" s="74"/>
      <c r="D51" s="74"/>
      <c r="E51" s="74"/>
      <c r="F51" s="74"/>
      <c r="G51" s="74"/>
      <c r="H51" s="74"/>
      <c r="I51" s="74"/>
      <c r="J51" s="74"/>
      <c r="K51" s="74"/>
      <c r="L51" s="74"/>
      <c r="M51" s="74"/>
    </row>
    <row r="52" spans="2:13">
      <c r="B52" s="74"/>
      <c r="C52" s="74"/>
      <c r="D52" s="74"/>
      <c r="E52" s="74"/>
      <c r="F52" s="74"/>
      <c r="G52" s="74"/>
      <c r="H52" s="74"/>
      <c r="I52" s="74"/>
      <c r="J52" s="74"/>
      <c r="K52" s="74"/>
      <c r="L52" s="74"/>
      <c r="M52" s="74"/>
    </row>
    <row r="53" spans="2:13">
      <c r="B53" s="74"/>
      <c r="C53" s="74"/>
      <c r="D53" s="74"/>
      <c r="E53" s="74"/>
      <c r="F53" s="74"/>
      <c r="G53" s="74"/>
      <c r="H53" s="74"/>
      <c r="I53" s="74"/>
      <c r="J53" s="74"/>
      <c r="K53" s="74"/>
      <c r="L53" s="74"/>
      <c r="M53" s="74"/>
    </row>
    <row r="54" spans="2:13">
      <c r="B54" s="74"/>
      <c r="C54" s="74"/>
      <c r="D54" s="74"/>
      <c r="E54" s="74"/>
      <c r="F54" s="74"/>
      <c r="G54" s="74"/>
      <c r="H54" s="74"/>
      <c r="I54" s="74"/>
      <c r="J54" s="74"/>
      <c r="K54" s="74"/>
      <c r="L54" s="74"/>
      <c r="M54" s="74"/>
    </row>
    <row r="55" spans="2:13">
      <c r="B55" s="74"/>
      <c r="C55" s="74"/>
      <c r="D55" s="74"/>
      <c r="E55" s="74"/>
      <c r="F55" s="74"/>
      <c r="G55" s="74"/>
      <c r="H55" s="74"/>
      <c r="I55" s="74"/>
      <c r="J55" s="74"/>
      <c r="K55" s="74"/>
      <c r="L55" s="74"/>
      <c r="M55" s="74"/>
    </row>
    <row r="56" spans="2:13">
      <c r="B56" s="74"/>
      <c r="C56" s="74"/>
      <c r="D56" s="74"/>
      <c r="E56" s="74"/>
      <c r="F56" s="74"/>
      <c r="G56" s="74"/>
      <c r="H56" s="74"/>
      <c r="I56" s="74"/>
      <c r="J56" s="74"/>
      <c r="K56" s="74"/>
      <c r="L56" s="74"/>
      <c r="M56" s="74"/>
    </row>
    <row r="57" spans="2:13">
      <c r="B57" s="74"/>
      <c r="C57" s="74"/>
      <c r="D57" s="74"/>
      <c r="E57" s="74"/>
      <c r="F57" s="74"/>
      <c r="G57" s="74"/>
      <c r="H57" s="74"/>
      <c r="I57" s="74"/>
      <c r="J57" s="74"/>
      <c r="K57" s="74"/>
      <c r="L57" s="74"/>
      <c r="M57" s="74"/>
    </row>
    <row r="58" spans="2:13">
      <c r="B58" s="74"/>
      <c r="C58" s="74"/>
      <c r="D58" s="74"/>
      <c r="E58" s="74"/>
      <c r="F58" s="74"/>
      <c r="G58" s="74"/>
      <c r="H58" s="74"/>
      <c r="I58" s="74"/>
      <c r="J58" s="74"/>
      <c r="K58" s="74"/>
      <c r="L58" s="74"/>
      <c r="M58" s="74"/>
    </row>
    <row r="59" spans="2:13">
      <c r="B59" s="74"/>
      <c r="C59" s="74"/>
      <c r="D59" s="74"/>
      <c r="E59" s="74"/>
      <c r="F59" s="74"/>
      <c r="G59" s="74"/>
      <c r="H59" s="74"/>
      <c r="I59" s="74"/>
      <c r="J59" s="74"/>
      <c r="K59" s="74"/>
      <c r="L59" s="74"/>
      <c r="M59" s="74"/>
    </row>
    <row r="60" spans="2:13">
      <c r="B60" s="74"/>
      <c r="C60" s="74"/>
      <c r="D60" s="74"/>
      <c r="E60" s="74"/>
      <c r="F60" s="74"/>
      <c r="G60" s="74"/>
      <c r="H60" s="74"/>
      <c r="I60" s="74"/>
      <c r="J60" s="74"/>
      <c r="K60" s="74"/>
      <c r="L60" s="74"/>
      <c r="M60" s="74"/>
    </row>
    <row r="61" spans="2:13">
      <c r="B61" s="74"/>
      <c r="C61" s="74"/>
      <c r="D61" s="74"/>
      <c r="E61" s="74"/>
      <c r="F61" s="74"/>
      <c r="G61" s="74"/>
      <c r="H61" s="74"/>
      <c r="I61" s="74"/>
      <c r="J61" s="74"/>
      <c r="K61" s="74"/>
      <c r="L61" s="74"/>
      <c r="M61" s="74"/>
    </row>
    <row r="62" spans="2:13">
      <c r="B62" s="74"/>
      <c r="C62" s="74"/>
      <c r="D62" s="74"/>
      <c r="E62" s="74"/>
      <c r="F62" s="74"/>
      <c r="G62" s="74"/>
      <c r="H62" s="74"/>
      <c r="I62" s="74"/>
      <c r="J62" s="74"/>
      <c r="K62" s="74"/>
      <c r="L62" s="74"/>
      <c r="M62" s="74"/>
    </row>
    <row r="63" spans="2:13">
      <c r="B63" s="74"/>
      <c r="C63" s="74"/>
      <c r="D63" s="74"/>
      <c r="E63" s="74"/>
      <c r="F63" s="74"/>
      <c r="G63" s="74"/>
      <c r="H63" s="74"/>
      <c r="I63" s="74"/>
      <c r="J63" s="74"/>
      <c r="K63" s="74"/>
      <c r="L63" s="74"/>
      <c r="M63" s="74"/>
    </row>
    <row r="64" spans="2:13">
      <c r="B64" s="74"/>
      <c r="C64" s="74"/>
      <c r="D64" s="74"/>
      <c r="E64" s="74"/>
      <c r="F64" s="74"/>
      <c r="G64" s="74"/>
      <c r="H64" s="74"/>
      <c r="I64" s="74"/>
      <c r="J64" s="74"/>
      <c r="K64" s="74"/>
      <c r="L64" s="74"/>
      <c r="M64" s="74"/>
    </row>
    <row r="65" spans="2:13">
      <c r="B65" s="74"/>
      <c r="C65" s="74"/>
      <c r="D65" s="74"/>
      <c r="E65" s="74"/>
      <c r="F65" s="74"/>
      <c r="G65" s="74"/>
      <c r="H65" s="74"/>
      <c r="I65" s="74"/>
      <c r="J65" s="74"/>
      <c r="K65" s="74"/>
      <c r="L65" s="74"/>
      <c r="M65" s="74"/>
    </row>
    <row r="66" spans="2:13">
      <c r="B66" s="74"/>
      <c r="C66" s="74"/>
      <c r="D66" s="74"/>
      <c r="E66" s="74"/>
      <c r="F66" s="74"/>
      <c r="G66" s="74"/>
      <c r="H66" s="74"/>
      <c r="I66" s="74"/>
      <c r="J66" s="74"/>
      <c r="K66" s="74"/>
      <c r="L66" s="74"/>
      <c r="M66" s="74"/>
    </row>
    <row r="67" spans="2:13">
      <c r="B67" s="74"/>
      <c r="C67" s="74"/>
      <c r="D67" s="74"/>
      <c r="E67" s="74"/>
      <c r="F67" s="74"/>
      <c r="G67" s="74"/>
      <c r="H67" s="74"/>
      <c r="I67" s="74"/>
      <c r="J67" s="74"/>
      <c r="K67" s="74"/>
      <c r="L67" s="74"/>
      <c r="M67" s="74"/>
    </row>
    <row r="68" spans="2:13">
      <c r="B68" s="74"/>
      <c r="C68" s="74"/>
      <c r="D68" s="74"/>
      <c r="E68" s="74"/>
      <c r="F68" s="74"/>
      <c r="G68" s="74"/>
      <c r="H68" s="74"/>
      <c r="I68" s="74"/>
      <c r="J68" s="74"/>
      <c r="K68" s="74"/>
      <c r="L68" s="74"/>
      <c r="M68" s="74"/>
    </row>
    <row r="69" spans="2:13">
      <c r="B69" s="74"/>
      <c r="C69" s="74"/>
      <c r="D69" s="74"/>
      <c r="E69" s="74"/>
      <c r="F69" s="74"/>
      <c r="G69" s="74"/>
      <c r="H69" s="74"/>
      <c r="I69" s="74"/>
      <c r="J69" s="74"/>
      <c r="K69" s="74"/>
      <c r="L69" s="74"/>
      <c r="M69" s="74"/>
    </row>
    <row r="70" spans="2:13">
      <c r="B70" s="74"/>
      <c r="C70" s="74"/>
      <c r="D70" s="74"/>
      <c r="E70" s="74"/>
      <c r="F70" s="74"/>
      <c r="G70" s="74"/>
      <c r="H70" s="74"/>
      <c r="I70" s="74"/>
      <c r="J70" s="74"/>
      <c r="K70" s="74"/>
      <c r="L70" s="74"/>
      <c r="M70" s="74"/>
    </row>
    <row r="71" spans="2:13">
      <c r="B71" s="74"/>
      <c r="C71" s="74"/>
      <c r="D71" s="74"/>
      <c r="E71" s="74"/>
      <c r="F71" s="74"/>
      <c r="G71" s="74"/>
      <c r="H71" s="74"/>
      <c r="I71" s="74"/>
      <c r="J71" s="74"/>
      <c r="K71" s="74"/>
      <c r="L71" s="74"/>
      <c r="M71" s="74"/>
    </row>
    <row r="72" spans="2:13">
      <c r="B72" s="74"/>
      <c r="C72" s="74"/>
      <c r="D72" s="74"/>
      <c r="E72" s="74"/>
      <c r="F72" s="74"/>
      <c r="G72" s="74"/>
      <c r="H72" s="74"/>
      <c r="I72" s="74"/>
      <c r="J72" s="74"/>
      <c r="K72" s="74"/>
      <c r="L72" s="74"/>
      <c r="M72" s="74"/>
    </row>
    <row r="73" spans="2:13">
      <c r="B73" s="74"/>
      <c r="C73" s="74"/>
      <c r="D73" s="74"/>
      <c r="E73" s="74"/>
      <c r="F73" s="74"/>
      <c r="G73" s="74"/>
      <c r="H73" s="74"/>
      <c r="I73" s="74"/>
      <c r="J73" s="74"/>
      <c r="K73" s="74"/>
      <c r="L73" s="74"/>
      <c r="M73" s="74"/>
    </row>
    <row r="74" spans="2:13">
      <c r="B74" s="74"/>
      <c r="C74" s="74"/>
      <c r="D74" s="74"/>
      <c r="E74" s="74"/>
      <c r="F74" s="74"/>
      <c r="G74" s="74"/>
      <c r="H74" s="74"/>
      <c r="I74" s="74"/>
      <c r="J74" s="74"/>
      <c r="K74" s="74"/>
      <c r="L74" s="74"/>
      <c r="M74" s="74"/>
    </row>
    <row r="75" spans="2:13">
      <c r="B75" s="74"/>
      <c r="C75" s="74"/>
      <c r="D75" s="74"/>
      <c r="E75" s="74"/>
      <c r="F75" s="74"/>
      <c r="G75" s="74"/>
      <c r="H75" s="74"/>
      <c r="I75" s="74"/>
      <c r="J75" s="74"/>
      <c r="K75" s="74"/>
      <c r="L75" s="74"/>
      <c r="M75" s="74"/>
    </row>
    <row r="76" spans="2:13">
      <c r="B76" s="74"/>
      <c r="C76" s="74"/>
      <c r="D76" s="74"/>
      <c r="E76" s="74"/>
      <c r="F76" s="74"/>
      <c r="G76" s="74"/>
      <c r="H76" s="74"/>
      <c r="I76" s="74"/>
      <c r="J76" s="74"/>
      <c r="K76" s="74"/>
      <c r="L76" s="74"/>
      <c r="M76" s="74"/>
    </row>
    <row r="77" spans="2:13">
      <c r="B77" s="74"/>
      <c r="C77" s="74"/>
      <c r="D77" s="74"/>
      <c r="E77" s="74"/>
      <c r="F77" s="74"/>
      <c r="G77" s="74"/>
      <c r="H77" s="74"/>
      <c r="I77" s="74"/>
      <c r="J77" s="74"/>
      <c r="K77" s="74"/>
      <c r="L77" s="74"/>
      <c r="M77" s="74"/>
    </row>
    <row r="78" spans="2:13">
      <c r="B78" s="74"/>
      <c r="C78" s="74"/>
      <c r="D78" s="74"/>
      <c r="E78" s="74"/>
      <c r="F78" s="74"/>
      <c r="G78" s="74"/>
      <c r="H78" s="74"/>
      <c r="I78" s="74"/>
      <c r="J78" s="74"/>
      <c r="K78" s="74"/>
      <c r="L78" s="74"/>
      <c r="M78" s="74"/>
    </row>
    <row r="79" spans="2:13">
      <c r="B79" s="74"/>
      <c r="C79" s="74"/>
      <c r="D79" s="74"/>
      <c r="E79" s="74"/>
      <c r="F79" s="74"/>
      <c r="G79" s="74"/>
      <c r="H79" s="74"/>
      <c r="I79" s="74"/>
      <c r="J79" s="74"/>
      <c r="K79" s="74"/>
      <c r="L79" s="74"/>
      <c r="M79" s="74"/>
    </row>
    <row r="80" spans="2:13">
      <c r="B80" s="74"/>
      <c r="C80" s="74"/>
      <c r="D80" s="74"/>
      <c r="E80" s="74"/>
      <c r="F80" s="74"/>
      <c r="G80" s="74"/>
      <c r="H80" s="74"/>
      <c r="I80" s="74"/>
      <c r="J80" s="74"/>
      <c r="K80" s="74"/>
      <c r="L80" s="74"/>
      <c r="M80" s="74"/>
    </row>
    <row r="81" spans="2:13">
      <c r="B81" s="74"/>
      <c r="C81" s="74"/>
      <c r="D81" s="74"/>
      <c r="E81" s="74"/>
      <c r="F81" s="74"/>
      <c r="G81" s="74"/>
      <c r="H81" s="74"/>
      <c r="I81" s="74"/>
      <c r="J81" s="74"/>
      <c r="K81" s="74"/>
      <c r="L81" s="74"/>
      <c r="M81" s="74"/>
    </row>
    <row r="82" spans="2:13">
      <c r="B82" s="74"/>
      <c r="C82" s="74"/>
      <c r="D82" s="74"/>
      <c r="E82" s="74"/>
      <c r="F82" s="74"/>
      <c r="G82" s="74"/>
      <c r="H82" s="74"/>
      <c r="I82" s="74"/>
      <c r="J82" s="74"/>
      <c r="K82" s="74"/>
      <c r="L82" s="74"/>
      <c r="M82" s="74"/>
    </row>
    <row r="83" spans="2:13">
      <c r="B83" s="74"/>
      <c r="C83" s="74"/>
      <c r="D83" s="74"/>
      <c r="E83" s="74"/>
      <c r="F83" s="74"/>
      <c r="G83" s="74"/>
      <c r="H83" s="74"/>
      <c r="I83" s="74"/>
      <c r="J83" s="74"/>
      <c r="K83" s="74"/>
      <c r="L83" s="74"/>
      <c r="M83" s="74"/>
    </row>
    <row r="84" spans="2:13">
      <c r="B84" s="74"/>
      <c r="C84" s="74"/>
      <c r="D84" s="74"/>
      <c r="E84" s="74"/>
      <c r="F84" s="74"/>
      <c r="G84" s="74"/>
      <c r="H84" s="74"/>
      <c r="I84" s="74"/>
      <c r="J84" s="74"/>
      <c r="K84" s="74"/>
      <c r="L84" s="74"/>
      <c r="M84" s="74"/>
    </row>
    <row r="85" spans="2:13">
      <c r="B85" s="74"/>
      <c r="C85" s="74"/>
      <c r="D85" s="74"/>
      <c r="E85" s="74"/>
      <c r="F85" s="74"/>
      <c r="G85" s="74"/>
      <c r="H85" s="74"/>
      <c r="I85" s="74"/>
      <c r="J85" s="74"/>
      <c r="K85" s="74"/>
      <c r="L85" s="74"/>
      <c r="M85" s="74"/>
    </row>
    <row r="86" spans="2:13">
      <c r="B86" s="74"/>
      <c r="C86" s="74"/>
      <c r="D86" s="74"/>
      <c r="E86" s="74"/>
      <c r="F86" s="74"/>
      <c r="G86" s="74"/>
      <c r="H86" s="74"/>
      <c r="I86" s="74"/>
      <c r="J86" s="74"/>
      <c r="K86" s="74"/>
      <c r="L86" s="74"/>
      <c r="M86" s="74"/>
    </row>
    <row r="87" spans="2:13">
      <c r="B87" s="74"/>
      <c r="C87" s="74"/>
      <c r="D87" s="74"/>
      <c r="E87" s="74"/>
      <c r="F87" s="74"/>
      <c r="G87" s="74"/>
      <c r="H87" s="74"/>
      <c r="I87" s="74"/>
      <c r="J87" s="74"/>
      <c r="K87" s="74"/>
      <c r="L87" s="74"/>
      <c r="M87" s="74"/>
    </row>
    <row r="88" spans="2:13">
      <c r="B88" s="74"/>
      <c r="C88" s="74"/>
      <c r="D88" s="74"/>
      <c r="E88" s="74"/>
      <c r="F88" s="74"/>
      <c r="G88" s="74"/>
      <c r="H88" s="74"/>
      <c r="I88" s="74"/>
      <c r="J88" s="74"/>
      <c r="K88" s="74"/>
      <c r="L88" s="74"/>
      <c r="M88" s="74"/>
    </row>
    <row r="89" spans="2:13">
      <c r="B89" s="74"/>
      <c r="C89" s="74"/>
      <c r="D89" s="74"/>
      <c r="E89" s="74"/>
      <c r="F89" s="74"/>
      <c r="G89" s="74"/>
      <c r="H89" s="74"/>
      <c r="I89" s="74"/>
      <c r="J89" s="74"/>
      <c r="K89" s="74"/>
      <c r="L89" s="74"/>
      <c r="M89" s="74"/>
    </row>
    <row r="90" spans="2:13">
      <c r="B90" s="74"/>
      <c r="C90" s="74"/>
      <c r="D90" s="74"/>
      <c r="E90" s="74"/>
      <c r="F90" s="74"/>
      <c r="G90" s="74"/>
      <c r="H90" s="74"/>
      <c r="I90" s="74"/>
      <c r="J90" s="74"/>
      <c r="K90" s="74"/>
      <c r="L90" s="74"/>
      <c r="M90" s="74"/>
    </row>
    <row r="91" spans="2:13">
      <c r="B91" s="74"/>
      <c r="C91" s="74"/>
      <c r="D91" s="74"/>
      <c r="E91" s="74"/>
      <c r="F91" s="74"/>
      <c r="G91" s="74"/>
      <c r="H91" s="74"/>
      <c r="I91" s="74"/>
      <c r="J91" s="74"/>
      <c r="K91" s="74"/>
      <c r="L91" s="74"/>
      <c r="M91" s="74"/>
    </row>
    <row r="92" spans="2:13">
      <c r="B92" s="74"/>
      <c r="C92" s="74"/>
      <c r="D92" s="74"/>
      <c r="E92" s="74"/>
      <c r="F92" s="74"/>
      <c r="G92" s="74"/>
      <c r="H92" s="74"/>
      <c r="I92" s="74"/>
      <c r="J92" s="74"/>
      <c r="K92" s="74"/>
      <c r="L92" s="74"/>
      <c r="M92" s="74"/>
    </row>
    <row r="93" spans="2:13">
      <c r="B93" s="74"/>
      <c r="C93" s="74"/>
      <c r="D93" s="74"/>
      <c r="E93" s="74"/>
      <c r="F93" s="74"/>
      <c r="G93" s="74"/>
      <c r="H93" s="74"/>
      <c r="I93" s="74"/>
      <c r="J93" s="74"/>
      <c r="K93" s="74"/>
      <c r="L93" s="74"/>
      <c r="M93" s="74"/>
    </row>
    <row r="94" spans="2:13">
      <c r="B94" s="74"/>
      <c r="C94" s="74"/>
      <c r="D94" s="74"/>
      <c r="E94" s="74"/>
      <c r="F94" s="74"/>
      <c r="G94" s="74"/>
      <c r="H94" s="74"/>
      <c r="I94" s="74"/>
      <c r="J94" s="74"/>
      <c r="K94" s="74"/>
      <c r="L94" s="74"/>
      <c r="M94" s="74"/>
    </row>
    <row r="95" spans="2:13">
      <c r="B95" s="74"/>
      <c r="C95" s="74"/>
      <c r="D95" s="74"/>
      <c r="E95" s="74"/>
      <c r="F95" s="74"/>
      <c r="G95" s="74"/>
      <c r="H95" s="74"/>
      <c r="I95" s="74"/>
      <c r="J95" s="74"/>
      <c r="K95" s="74"/>
      <c r="L95" s="74"/>
      <c r="M95" s="74"/>
    </row>
    <row r="96" spans="2:13">
      <c r="B96" s="74"/>
      <c r="C96" s="74"/>
      <c r="D96" s="74"/>
      <c r="E96" s="74"/>
      <c r="F96" s="74"/>
      <c r="G96" s="74"/>
      <c r="H96" s="74"/>
      <c r="I96" s="74"/>
      <c r="J96" s="74"/>
      <c r="K96" s="74"/>
      <c r="L96" s="74"/>
      <c r="M96" s="74"/>
    </row>
    <row r="97" spans="2:13">
      <c r="B97" s="74"/>
      <c r="C97" s="74"/>
      <c r="D97" s="74"/>
      <c r="E97" s="74"/>
      <c r="F97" s="74"/>
      <c r="G97" s="74"/>
      <c r="H97" s="74"/>
      <c r="I97" s="74"/>
      <c r="J97" s="74"/>
      <c r="K97" s="74"/>
      <c r="L97" s="74"/>
      <c r="M97" s="74"/>
    </row>
    <row r="98" spans="2:13">
      <c r="B98" s="74"/>
      <c r="C98" s="74"/>
      <c r="D98" s="74"/>
      <c r="E98" s="74"/>
      <c r="F98" s="74"/>
      <c r="G98" s="74"/>
      <c r="H98" s="74"/>
      <c r="I98" s="74"/>
      <c r="J98" s="74"/>
      <c r="K98" s="74"/>
      <c r="L98" s="74"/>
      <c r="M98" s="74"/>
    </row>
    <row r="99" spans="2:13">
      <c r="B99" s="74"/>
      <c r="C99" s="74"/>
      <c r="D99" s="74"/>
      <c r="E99" s="74"/>
      <c r="F99" s="74"/>
      <c r="G99" s="74"/>
      <c r="H99" s="74"/>
      <c r="I99" s="74"/>
      <c r="J99" s="74"/>
      <c r="K99" s="74"/>
      <c r="L99" s="74"/>
      <c r="M99" s="74"/>
    </row>
    <row r="100" spans="2:13">
      <c r="B100" s="74"/>
      <c r="C100" s="74"/>
      <c r="D100" s="74"/>
      <c r="E100" s="74"/>
      <c r="F100" s="74"/>
      <c r="G100" s="74"/>
      <c r="H100" s="74"/>
      <c r="I100" s="74"/>
      <c r="J100" s="74"/>
      <c r="K100" s="74"/>
      <c r="L100" s="74"/>
      <c r="M100" s="74"/>
    </row>
    <row r="101" spans="2:13">
      <c r="B101" s="74"/>
      <c r="C101" s="74"/>
      <c r="D101" s="74"/>
      <c r="E101" s="74"/>
      <c r="F101" s="74"/>
      <c r="G101" s="74"/>
      <c r="H101" s="74"/>
      <c r="I101" s="74"/>
      <c r="J101" s="74"/>
      <c r="K101" s="74"/>
      <c r="L101" s="74"/>
      <c r="M101" s="74"/>
    </row>
    <row r="102" spans="2:13">
      <c r="B102" s="74"/>
      <c r="C102" s="74"/>
      <c r="D102" s="74"/>
      <c r="E102" s="74"/>
      <c r="F102" s="74"/>
      <c r="G102" s="74"/>
      <c r="H102" s="74"/>
      <c r="I102" s="74"/>
      <c r="J102" s="74"/>
      <c r="K102" s="74"/>
      <c r="L102" s="74"/>
      <c r="M102" s="74"/>
    </row>
    <row r="103" spans="2:13">
      <c r="B103" s="74"/>
      <c r="C103" s="74"/>
      <c r="D103" s="74"/>
      <c r="E103" s="74"/>
      <c r="F103" s="74"/>
      <c r="G103" s="74"/>
      <c r="H103" s="74"/>
      <c r="I103" s="74"/>
      <c r="J103" s="74"/>
      <c r="K103" s="74"/>
      <c r="L103" s="74"/>
      <c r="M103" s="74"/>
    </row>
    <row r="104" spans="2:13">
      <c r="B104" s="74"/>
      <c r="C104" s="74"/>
      <c r="D104" s="74"/>
      <c r="E104" s="74"/>
      <c r="F104" s="74"/>
      <c r="G104" s="74"/>
      <c r="H104" s="74"/>
      <c r="I104" s="74"/>
      <c r="J104" s="74"/>
      <c r="K104" s="74"/>
      <c r="L104" s="74"/>
      <c r="M104" s="74"/>
    </row>
    <row r="105" spans="2:13">
      <c r="B105" s="74"/>
      <c r="C105" s="74"/>
      <c r="D105" s="74"/>
      <c r="E105" s="74"/>
      <c r="F105" s="74"/>
      <c r="G105" s="74"/>
      <c r="H105" s="74"/>
      <c r="I105" s="74"/>
      <c r="J105" s="74"/>
      <c r="K105" s="74"/>
      <c r="L105" s="74"/>
      <c r="M105" s="74"/>
    </row>
    <row r="106" spans="2:13">
      <c r="B106" s="74"/>
      <c r="C106" s="74"/>
      <c r="D106" s="74"/>
      <c r="E106" s="74"/>
      <c r="F106" s="74"/>
      <c r="G106" s="74"/>
      <c r="H106" s="74"/>
      <c r="I106" s="74"/>
      <c r="J106" s="74"/>
      <c r="K106" s="74"/>
      <c r="L106" s="74"/>
      <c r="M106" s="74"/>
    </row>
    <row r="107" spans="2:13">
      <c r="B107" s="74"/>
      <c r="C107" s="74"/>
      <c r="D107" s="74"/>
      <c r="E107" s="74"/>
      <c r="F107" s="74"/>
      <c r="G107" s="74"/>
      <c r="H107" s="74"/>
      <c r="I107" s="74"/>
      <c r="J107" s="74"/>
      <c r="K107" s="74"/>
      <c r="L107" s="74"/>
      <c r="M107" s="74"/>
    </row>
    <row r="108" spans="2:13">
      <c r="B108" s="74"/>
      <c r="C108" s="74"/>
      <c r="D108" s="74"/>
      <c r="E108" s="74"/>
      <c r="F108" s="74"/>
      <c r="G108" s="74"/>
      <c r="H108" s="74"/>
      <c r="I108" s="74"/>
      <c r="J108" s="74"/>
      <c r="K108" s="74"/>
      <c r="L108" s="74"/>
      <c r="M108" s="74"/>
    </row>
    <row r="109" spans="2:13">
      <c r="B109" s="74"/>
      <c r="C109" s="74"/>
      <c r="D109" s="74"/>
      <c r="E109" s="74"/>
      <c r="F109" s="74"/>
      <c r="G109" s="74"/>
      <c r="H109" s="74"/>
      <c r="I109" s="74"/>
      <c r="J109" s="74"/>
      <c r="K109" s="74"/>
      <c r="L109" s="74"/>
      <c r="M109" s="74"/>
    </row>
    <row r="110" spans="2:13">
      <c r="B110" s="74"/>
      <c r="C110" s="74"/>
      <c r="D110" s="74"/>
      <c r="E110" s="74"/>
      <c r="F110" s="74"/>
      <c r="G110" s="74"/>
      <c r="H110" s="74"/>
      <c r="I110" s="74"/>
      <c r="J110" s="74"/>
      <c r="K110" s="74"/>
      <c r="L110" s="74"/>
      <c r="M110" s="74"/>
    </row>
    <row r="111" spans="2:13">
      <c r="B111" s="74"/>
      <c r="C111" s="74"/>
      <c r="D111" s="74"/>
      <c r="E111" s="74"/>
      <c r="F111" s="74"/>
      <c r="G111" s="74"/>
      <c r="H111" s="74"/>
      <c r="I111" s="74"/>
      <c r="J111" s="74"/>
      <c r="K111" s="74"/>
      <c r="L111" s="74"/>
      <c r="M111" s="74"/>
    </row>
    <row r="112" spans="2:13">
      <c r="B112" s="74"/>
      <c r="C112" s="74"/>
      <c r="D112" s="74"/>
      <c r="E112" s="74"/>
      <c r="F112" s="74"/>
      <c r="G112" s="74"/>
      <c r="H112" s="74"/>
      <c r="I112" s="74"/>
      <c r="J112" s="74"/>
      <c r="K112" s="74"/>
      <c r="L112" s="74"/>
      <c r="M112" s="74"/>
    </row>
    <row r="113" spans="2:13">
      <c r="B113" s="74"/>
      <c r="C113" s="74"/>
      <c r="D113" s="74"/>
      <c r="E113" s="74"/>
      <c r="F113" s="74"/>
      <c r="G113" s="74"/>
      <c r="H113" s="74"/>
      <c r="I113" s="74"/>
      <c r="J113" s="74"/>
      <c r="K113" s="74"/>
      <c r="L113" s="74"/>
      <c r="M113" s="74"/>
    </row>
    <row r="114" spans="2:13">
      <c r="B114" s="74"/>
      <c r="C114" s="74"/>
      <c r="D114" s="74"/>
      <c r="E114" s="74"/>
      <c r="F114" s="74"/>
      <c r="G114" s="74"/>
      <c r="H114" s="74"/>
      <c r="I114" s="74"/>
      <c r="J114" s="74"/>
      <c r="K114" s="74"/>
      <c r="L114" s="74"/>
      <c r="M114" s="74"/>
    </row>
    <row r="115" spans="2:13">
      <c r="B115" s="74"/>
      <c r="C115" s="74"/>
      <c r="D115" s="74"/>
      <c r="E115" s="74"/>
      <c r="F115" s="74"/>
      <c r="G115" s="74"/>
      <c r="H115" s="74"/>
      <c r="I115" s="74"/>
      <c r="J115" s="74"/>
      <c r="K115" s="74"/>
      <c r="L115" s="74"/>
      <c r="M115" s="74"/>
    </row>
    <row r="116" spans="2:13">
      <c r="B116" s="74"/>
      <c r="C116" s="74"/>
      <c r="D116" s="74"/>
      <c r="E116" s="74"/>
      <c r="F116" s="74"/>
      <c r="G116" s="74"/>
      <c r="H116" s="74"/>
      <c r="I116" s="74"/>
      <c r="J116" s="74"/>
      <c r="K116" s="74"/>
      <c r="L116" s="74"/>
      <c r="M116" s="74"/>
    </row>
    <row r="117" spans="2:13">
      <c r="B117" s="74"/>
      <c r="C117" s="74"/>
      <c r="D117" s="74"/>
      <c r="E117" s="74"/>
      <c r="F117" s="74"/>
      <c r="G117" s="74"/>
      <c r="H117" s="74"/>
      <c r="I117" s="74"/>
      <c r="J117" s="74"/>
      <c r="K117" s="74"/>
      <c r="L117" s="74"/>
      <c r="M117" s="74"/>
    </row>
    <row r="118" spans="2:13">
      <c r="B118" s="74"/>
      <c r="C118" s="74"/>
      <c r="D118" s="74"/>
      <c r="E118" s="74"/>
      <c r="F118" s="74"/>
      <c r="G118" s="74"/>
      <c r="H118" s="74"/>
      <c r="I118" s="74"/>
      <c r="J118" s="74"/>
      <c r="K118" s="74"/>
      <c r="L118" s="74"/>
      <c r="M118" s="74"/>
    </row>
    <row r="119" spans="2:13">
      <c r="B119" s="74"/>
      <c r="C119" s="74"/>
      <c r="D119" s="74"/>
      <c r="E119" s="74"/>
      <c r="F119" s="74"/>
      <c r="G119" s="74"/>
      <c r="H119" s="74"/>
      <c r="I119" s="74"/>
      <c r="J119" s="74"/>
      <c r="K119" s="74"/>
      <c r="L119" s="74"/>
      <c r="M119" s="74"/>
    </row>
    <row r="120" spans="2:13">
      <c r="B120" s="74"/>
      <c r="C120" s="74"/>
      <c r="D120" s="74"/>
      <c r="E120" s="74"/>
      <c r="F120" s="74"/>
      <c r="G120" s="74"/>
      <c r="H120" s="74"/>
      <c r="I120" s="74"/>
      <c r="J120" s="74"/>
      <c r="K120" s="74"/>
      <c r="L120" s="74"/>
      <c r="M120" s="74"/>
    </row>
    <row r="121" spans="2:13">
      <c r="B121" s="74"/>
      <c r="C121" s="74"/>
      <c r="D121" s="74"/>
      <c r="E121" s="74"/>
      <c r="F121" s="74"/>
      <c r="G121" s="74"/>
      <c r="H121" s="74"/>
      <c r="I121" s="74"/>
      <c r="J121" s="74"/>
      <c r="K121" s="74"/>
      <c r="L121" s="74"/>
      <c r="M121" s="74"/>
    </row>
    <row r="122" spans="2:13">
      <c r="B122" s="74"/>
      <c r="C122" s="74"/>
      <c r="D122" s="74"/>
      <c r="E122" s="74"/>
      <c r="F122" s="74"/>
      <c r="G122" s="74"/>
      <c r="H122" s="74"/>
      <c r="I122" s="74"/>
      <c r="J122" s="74"/>
      <c r="K122" s="74"/>
      <c r="L122" s="74"/>
      <c r="M122" s="74"/>
    </row>
    <row r="123" spans="2:13">
      <c r="B123" s="74"/>
      <c r="C123" s="74"/>
      <c r="D123" s="74"/>
      <c r="E123" s="74"/>
      <c r="F123" s="74"/>
      <c r="G123" s="74"/>
      <c r="H123" s="74"/>
      <c r="I123" s="74"/>
      <c r="J123" s="74"/>
      <c r="K123" s="74"/>
      <c r="L123" s="74"/>
      <c r="M123" s="74"/>
    </row>
    <row r="124" spans="2:13">
      <c r="B124" s="74"/>
      <c r="C124" s="74"/>
      <c r="D124" s="74"/>
      <c r="E124" s="74"/>
      <c r="F124" s="74"/>
      <c r="G124" s="74"/>
      <c r="H124" s="74"/>
      <c r="I124" s="74"/>
      <c r="J124" s="74"/>
      <c r="K124" s="74"/>
      <c r="L124" s="74"/>
      <c r="M124" s="74"/>
    </row>
    <row r="125" spans="2:13">
      <c r="B125" s="74"/>
      <c r="C125" s="74"/>
      <c r="D125" s="74"/>
      <c r="E125" s="74"/>
      <c r="F125" s="74"/>
      <c r="G125" s="74"/>
      <c r="H125" s="74"/>
      <c r="I125" s="74"/>
      <c r="J125" s="74"/>
      <c r="K125" s="74"/>
      <c r="L125" s="74"/>
      <c r="M125" s="74"/>
    </row>
    <row r="126" spans="2:13">
      <c r="B126" s="74"/>
      <c r="C126" s="74"/>
      <c r="D126" s="74"/>
      <c r="E126" s="74"/>
      <c r="F126" s="74"/>
      <c r="G126" s="74"/>
      <c r="H126" s="74"/>
      <c r="I126" s="74"/>
      <c r="J126" s="74"/>
      <c r="K126" s="74"/>
      <c r="L126" s="74"/>
      <c r="M126" s="74"/>
    </row>
    <row r="127" spans="2:13">
      <c r="B127" s="74"/>
      <c r="C127" s="74" t="s">
        <v>1416</v>
      </c>
      <c r="D127" s="74"/>
      <c r="E127" s="74"/>
      <c r="F127" s="74"/>
      <c r="G127" s="74"/>
      <c r="H127" s="74"/>
      <c r="I127" s="74"/>
      <c r="J127" s="74"/>
      <c r="K127" s="74"/>
      <c r="L127" s="74"/>
      <c r="M127" s="74"/>
    </row>
    <row r="128" spans="2:13">
      <c r="B128" s="74"/>
      <c r="C128" s="62" t="s">
        <v>65</v>
      </c>
      <c r="H128" s="74"/>
      <c r="I128" s="74"/>
      <c r="J128" s="74"/>
      <c r="K128" s="74"/>
      <c r="L128" s="74"/>
      <c r="M128" s="74"/>
    </row>
    <row r="129" spans="2:13">
      <c r="B129" s="74"/>
      <c r="C129" s="61" t="s">
        <v>999</v>
      </c>
      <c r="H129" s="74"/>
      <c r="I129" s="74"/>
      <c r="J129" s="74"/>
      <c r="K129" s="74"/>
      <c r="L129" s="74"/>
      <c r="M129" s="74"/>
    </row>
    <row r="130" spans="2:13">
      <c r="B130" s="74"/>
      <c r="H130" s="74"/>
      <c r="I130" s="74"/>
      <c r="J130" s="74"/>
      <c r="K130" s="74"/>
      <c r="L130" s="74"/>
      <c r="M130" s="74"/>
    </row>
    <row r="131" spans="2:13">
      <c r="B131" s="74"/>
      <c r="C131" s="63" t="s">
        <v>66</v>
      </c>
      <c r="D131" s="63" t="s">
        <v>67</v>
      </c>
      <c r="E131" s="63" t="s">
        <v>68</v>
      </c>
      <c r="F131" s="64" t="s">
        <v>69</v>
      </c>
      <c r="G131" s="64" t="s">
        <v>70</v>
      </c>
      <c r="H131" s="74"/>
      <c r="I131" s="74"/>
      <c r="J131" s="74"/>
      <c r="K131" s="74"/>
      <c r="L131" s="74"/>
      <c r="M131" s="74"/>
    </row>
    <row r="132" spans="2:13">
      <c r="B132" s="74"/>
      <c r="C132" s="63" t="s">
        <v>71</v>
      </c>
      <c r="D132" s="65">
        <v>5500000</v>
      </c>
      <c r="E132" s="66">
        <f>D132*0.04</f>
        <v>220000</v>
      </c>
      <c r="F132" s="67">
        <v>51920000</v>
      </c>
      <c r="G132" s="68">
        <v>5.9269406392694064</v>
      </c>
      <c r="H132" s="74"/>
      <c r="I132" s="74"/>
      <c r="J132" s="74"/>
      <c r="K132" s="74"/>
      <c r="L132" s="74"/>
      <c r="M132" s="74"/>
    </row>
    <row r="133" spans="2:13">
      <c r="B133" s="74"/>
      <c r="C133" s="63"/>
      <c r="D133" s="63"/>
      <c r="E133" s="63"/>
      <c r="F133" s="69"/>
      <c r="G133" s="69"/>
      <c r="H133" s="74"/>
      <c r="I133" s="74"/>
      <c r="J133" s="74"/>
      <c r="K133" s="74"/>
      <c r="L133" s="74"/>
      <c r="M133" s="74"/>
    </row>
    <row r="134" spans="2:13">
      <c r="B134" s="74"/>
      <c r="C134" s="74"/>
      <c r="D134" s="74"/>
      <c r="E134" s="74"/>
      <c r="F134" s="74"/>
      <c r="G134" s="74"/>
      <c r="H134" s="74"/>
      <c r="I134" s="74"/>
      <c r="J134" s="74"/>
      <c r="K134" s="74"/>
      <c r="L134" s="74"/>
      <c r="M134" s="74"/>
    </row>
    <row r="135" spans="2:13">
      <c r="B135" s="74"/>
      <c r="C135" s="74" t="s">
        <v>62</v>
      </c>
      <c r="D135" s="74"/>
      <c r="E135" s="74"/>
      <c r="F135" s="74"/>
      <c r="G135" s="74"/>
      <c r="H135" s="74"/>
      <c r="I135" s="74"/>
      <c r="J135" s="74"/>
      <c r="K135" s="74"/>
      <c r="L135" s="74"/>
      <c r="M135" s="74"/>
    </row>
    <row r="136" spans="2:13">
      <c r="B136" s="74"/>
      <c r="C136" s="74"/>
      <c r="D136" s="74"/>
      <c r="E136" s="74"/>
      <c r="F136" s="74"/>
      <c r="G136" s="74"/>
      <c r="H136" s="74"/>
      <c r="I136" s="74"/>
      <c r="J136" s="74"/>
      <c r="K136" s="74"/>
      <c r="L136" s="74"/>
      <c r="M136" s="74"/>
    </row>
    <row r="137" spans="2:13">
      <c r="B137" s="74"/>
      <c r="C137" s="74" t="s">
        <v>63</v>
      </c>
      <c r="D137" s="74"/>
      <c r="E137" s="74"/>
      <c r="F137" s="74"/>
      <c r="G137" s="74"/>
      <c r="H137" s="74"/>
      <c r="I137" s="74"/>
      <c r="J137" s="74"/>
      <c r="K137" s="74"/>
      <c r="L137" s="74"/>
      <c r="M137" s="74"/>
    </row>
    <row r="138" spans="2:13">
      <c r="B138" s="74"/>
      <c r="C138" s="74"/>
      <c r="D138" s="74"/>
      <c r="E138" s="74"/>
      <c r="F138" s="74"/>
      <c r="G138" s="74"/>
      <c r="H138" s="74"/>
      <c r="I138" s="74"/>
      <c r="J138" s="74"/>
      <c r="K138" s="74"/>
      <c r="L138" s="74"/>
      <c r="M138" s="74"/>
    </row>
    <row r="139" spans="2:13">
      <c r="B139" s="74"/>
      <c r="C139" s="74" t="s">
        <v>64</v>
      </c>
      <c r="D139" s="74"/>
      <c r="E139" s="74"/>
      <c r="F139" s="74"/>
      <c r="G139" s="74"/>
      <c r="H139" s="74"/>
      <c r="I139" s="74"/>
      <c r="J139" s="74"/>
      <c r="K139" s="74"/>
      <c r="L139" s="74"/>
      <c r="M139" s="74"/>
    </row>
    <row r="140" spans="2:13">
      <c r="B140" s="74"/>
      <c r="C140" s="74"/>
      <c r="D140" s="74"/>
      <c r="E140" s="74"/>
      <c r="F140" s="74"/>
      <c r="G140" s="74"/>
      <c r="H140" s="74"/>
      <c r="I140" s="74"/>
      <c r="J140" s="74"/>
      <c r="K140" s="74"/>
      <c r="L140" s="74"/>
      <c r="M140" s="74"/>
    </row>
    <row r="141" spans="2:13">
      <c r="B141" s="74"/>
      <c r="C141" s="74"/>
      <c r="D141" s="74"/>
      <c r="E141" s="74"/>
      <c r="F141" s="74"/>
      <c r="G141" s="74"/>
      <c r="H141" s="74"/>
      <c r="I141" s="74"/>
      <c r="J141" s="74"/>
      <c r="K141" s="74"/>
      <c r="L141" s="74"/>
      <c r="M141" s="74"/>
    </row>
    <row r="142" spans="2:13">
      <c r="B142" s="74"/>
      <c r="C142" s="74"/>
      <c r="D142" s="74"/>
      <c r="E142" s="74"/>
      <c r="F142" s="74"/>
      <c r="G142" s="74"/>
      <c r="H142" s="74"/>
      <c r="I142" s="74"/>
      <c r="J142" s="74"/>
      <c r="K142" s="74"/>
      <c r="L142" s="74"/>
      <c r="M142" s="74"/>
    </row>
    <row r="143" spans="2:13">
      <c r="B143" s="74"/>
      <c r="C143" s="74"/>
      <c r="D143" s="74"/>
      <c r="E143" s="74"/>
      <c r="F143" s="74"/>
      <c r="G143" s="74"/>
      <c r="H143" s="74"/>
      <c r="I143" s="74"/>
      <c r="J143" s="74"/>
      <c r="K143" s="74"/>
      <c r="L143" s="74"/>
      <c r="M143" s="74"/>
    </row>
    <row r="144" spans="2:13">
      <c r="B144" s="74"/>
      <c r="C144" s="74"/>
      <c r="D144" s="74"/>
      <c r="E144" s="74"/>
      <c r="F144" s="74"/>
      <c r="G144" s="74"/>
      <c r="H144" s="74"/>
      <c r="I144" s="74"/>
      <c r="J144" s="74"/>
      <c r="K144" s="74"/>
      <c r="L144" s="74"/>
      <c r="M144" s="74"/>
    </row>
    <row r="145" spans="2:13">
      <c r="B145" s="74"/>
      <c r="C145" s="74"/>
      <c r="D145" s="74"/>
      <c r="E145" s="74"/>
      <c r="F145" s="74"/>
      <c r="G145" s="74"/>
      <c r="H145" s="74"/>
      <c r="I145" s="74"/>
      <c r="J145" s="74"/>
      <c r="K145" s="74"/>
      <c r="L145" s="74"/>
      <c r="M145" s="74"/>
    </row>
    <row r="146" spans="2:13">
      <c r="B146" s="74"/>
      <c r="C146" s="74"/>
      <c r="D146" s="74"/>
      <c r="E146" s="74"/>
      <c r="F146" s="74"/>
      <c r="G146" s="74"/>
      <c r="H146" s="74"/>
      <c r="I146" s="74"/>
      <c r="J146" s="74"/>
      <c r="K146" s="74"/>
      <c r="L146" s="74"/>
      <c r="M146" s="74"/>
    </row>
    <row r="147" spans="2:13">
      <c r="B147" s="74"/>
      <c r="C147" s="74"/>
      <c r="D147" s="74"/>
      <c r="E147" s="74"/>
      <c r="F147" s="74"/>
      <c r="G147" s="74"/>
      <c r="H147" s="74"/>
      <c r="I147" s="74"/>
      <c r="J147" s="74"/>
      <c r="K147" s="74"/>
      <c r="L147" s="74"/>
      <c r="M147" s="74"/>
    </row>
    <row r="148" spans="2:13">
      <c r="B148" s="74"/>
      <c r="C148" s="74"/>
      <c r="D148" s="74"/>
      <c r="E148" s="74"/>
      <c r="F148" s="74"/>
      <c r="G148" s="74"/>
      <c r="H148" s="74"/>
      <c r="I148" s="74"/>
      <c r="J148" s="74"/>
      <c r="K148" s="74"/>
      <c r="L148" s="74"/>
      <c r="M148" s="74"/>
    </row>
    <row r="149" spans="2:13">
      <c r="B149" s="74"/>
      <c r="C149" s="74"/>
      <c r="D149" s="74"/>
      <c r="E149" s="74"/>
      <c r="F149" s="74"/>
      <c r="G149" s="74"/>
      <c r="H149" s="74"/>
      <c r="I149" s="74"/>
      <c r="J149" s="74"/>
      <c r="K149" s="74"/>
      <c r="L149" s="74"/>
      <c r="M149" s="74"/>
    </row>
    <row r="150" spans="2:13">
      <c r="B150" s="74"/>
      <c r="C150" s="74"/>
      <c r="D150" s="74"/>
      <c r="E150" s="74"/>
      <c r="F150" s="74"/>
      <c r="G150" s="74"/>
      <c r="H150" s="74"/>
      <c r="I150" s="74"/>
      <c r="J150" s="74"/>
      <c r="K150" s="74"/>
      <c r="L150" s="74"/>
      <c r="M150" s="74"/>
    </row>
    <row r="151" spans="2:13">
      <c r="B151" s="74"/>
      <c r="C151" s="74"/>
      <c r="D151" s="74"/>
      <c r="E151" s="74"/>
      <c r="F151" s="74"/>
      <c r="G151" s="74"/>
      <c r="H151" s="74"/>
      <c r="I151" s="74"/>
      <c r="J151" s="74"/>
      <c r="K151" s="74"/>
      <c r="L151" s="74"/>
      <c r="M151" s="74"/>
    </row>
    <row r="152" spans="2:13">
      <c r="B152" s="74"/>
      <c r="C152" s="74"/>
      <c r="D152" s="74"/>
      <c r="E152" s="74"/>
      <c r="F152" s="74"/>
      <c r="G152" s="74"/>
      <c r="H152" s="74"/>
      <c r="I152" s="74"/>
      <c r="J152" s="74"/>
      <c r="K152" s="74"/>
      <c r="L152" s="74"/>
      <c r="M152" s="74"/>
    </row>
    <row r="153" spans="2:13">
      <c r="B153" s="74"/>
      <c r="C153" s="74"/>
      <c r="D153" s="74"/>
      <c r="E153" s="74"/>
      <c r="F153" s="74"/>
      <c r="G153" s="74"/>
      <c r="H153" s="74"/>
      <c r="I153" s="74"/>
      <c r="J153" s="74"/>
      <c r="K153" s="74"/>
      <c r="L153" s="74"/>
      <c r="M153" s="74"/>
    </row>
    <row r="154" spans="2:13">
      <c r="B154" s="74"/>
      <c r="C154" s="74"/>
      <c r="D154" s="74"/>
      <c r="E154" s="74"/>
      <c r="F154" s="74"/>
      <c r="G154" s="74"/>
      <c r="H154" s="74"/>
      <c r="I154" s="74"/>
      <c r="J154" s="74"/>
      <c r="K154" s="74"/>
      <c r="L154" s="74"/>
      <c r="M154" s="74"/>
    </row>
    <row r="155" spans="2:13">
      <c r="B155" s="74"/>
      <c r="C155" s="74"/>
      <c r="D155" s="74"/>
      <c r="E155" s="74"/>
      <c r="F155" s="74"/>
      <c r="G155" s="74"/>
      <c r="H155" s="74"/>
      <c r="I155" s="74"/>
      <c r="J155" s="74"/>
      <c r="K155" s="74"/>
      <c r="L155" s="74"/>
      <c r="M155" s="74"/>
    </row>
    <row r="156" spans="2:13">
      <c r="B156" s="74"/>
      <c r="C156" s="74"/>
      <c r="D156" s="74"/>
      <c r="E156" s="74"/>
      <c r="F156" s="74"/>
      <c r="G156" s="74"/>
      <c r="H156" s="74"/>
      <c r="I156" s="74"/>
      <c r="J156" s="74"/>
      <c r="K156" s="74"/>
      <c r="L156" s="74"/>
      <c r="M156" s="74"/>
    </row>
    <row r="157" spans="2:13">
      <c r="B157" s="74"/>
      <c r="C157" s="74"/>
      <c r="D157" s="74"/>
      <c r="E157" s="74"/>
      <c r="F157" s="74"/>
      <c r="G157" s="74"/>
      <c r="H157" s="74"/>
      <c r="I157" s="74"/>
      <c r="J157" s="74"/>
      <c r="K157" s="74"/>
      <c r="L157" s="74"/>
      <c r="M157" s="74"/>
    </row>
    <row r="158" spans="2:13">
      <c r="B158" s="74"/>
      <c r="C158" s="74"/>
      <c r="D158" s="74"/>
      <c r="E158" s="74"/>
      <c r="F158" s="74"/>
      <c r="G158" s="74"/>
      <c r="H158" s="74"/>
      <c r="I158" s="74"/>
      <c r="J158" s="74"/>
      <c r="K158" s="74"/>
      <c r="L158" s="74"/>
      <c r="M158" s="74"/>
    </row>
    <row r="159" spans="2:13">
      <c r="B159" s="74"/>
      <c r="C159" s="74"/>
      <c r="D159" s="74"/>
      <c r="E159" s="74"/>
      <c r="F159" s="74"/>
      <c r="G159" s="74"/>
      <c r="H159" s="74"/>
      <c r="I159" s="74"/>
      <c r="J159" s="74"/>
      <c r="K159" s="74"/>
      <c r="L159" s="74"/>
      <c r="M159" s="74"/>
    </row>
    <row r="160" spans="2:13">
      <c r="B160" s="74"/>
      <c r="C160" s="74"/>
      <c r="D160" s="74"/>
      <c r="E160" s="74"/>
      <c r="F160" s="74"/>
      <c r="G160" s="74"/>
      <c r="H160" s="74"/>
      <c r="I160" s="74"/>
      <c r="J160" s="74"/>
      <c r="K160" s="74"/>
      <c r="L160" s="74"/>
      <c r="M160" s="74"/>
    </row>
    <row r="161" spans="2:13">
      <c r="B161" s="74"/>
      <c r="C161" s="74"/>
      <c r="D161" s="74"/>
      <c r="E161" s="74"/>
      <c r="F161" s="74"/>
      <c r="G161" s="74"/>
      <c r="H161" s="74"/>
      <c r="I161" s="74"/>
      <c r="J161" s="74"/>
      <c r="K161" s="74"/>
      <c r="L161" s="74"/>
      <c r="M161" s="74"/>
    </row>
    <row r="162" spans="2:13">
      <c r="B162" s="74"/>
      <c r="C162" s="74"/>
      <c r="D162" s="74"/>
      <c r="E162" s="74"/>
      <c r="F162" s="74"/>
      <c r="G162" s="74"/>
      <c r="H162" s="74"/>
      <c r="I162" s="74"/>
      <c r="J162" s="74"/>
      <c r="K162" s="74"/>
      <c r="L162" s="74"/>
      <c r="M162" s="74"/>
    </row>
    <row r="163" spans="2:13">
      <c r="B163" s="74"/>
      <c r="C163" s="74"/>
      <c r="D163" s="74"/>
      <c r="E163" s="74"/>
      <c r="F163" s="74"/>
      <c r="G163" s="74"/>
      <c r="H163" s="74"/>
      <c r="I163" s="74"/>
      <c r="J163" s="74"/>
      <c r="K163" s="74"/>
      <c r="L163" s="74"/>
      <c r="M163" s="74"/>
    </row>
    <row r="164" spans="2:13">
      <c r="B164" s="74"/>
      <c r="C164" s="74"/>
      <c r="D164" s="74"/>
      <c r="E164" s="74"/>
      <c r="F164" s="74"/>
      <c r="G164" s="74"/>
      <c r="H164" s="74"/>
      <c r="I164" s="74"/>
      <c r="J164" s="74"/>
      <c r="K164" s="74"/>
      <c r="L164" s="74"/>
      <c r="M164" s="74"/>
    </row>
    <row r="165" spans="2:13">
      <c r="B165" s="74"/>
      <c r="C165" s="74"/>
      <c r="D165" s="74"/>
      <c r="E165" s="74"/>
      <c r="F165" s="74"/>
      <c r="G165" s="74"/>
      <c r="H165" s="74"/>
      <c r="I165" s="74"/>
      <c r="J165" s="74"/>
      <c r="K165" s="74"/>
      <c r="L165" s="74"/>
      <c r="M165" s="74"/>
    </row>
    <row r="166" spans="2:13">
      <c r="B166" s="74"/>
      <c r="C166" s="74"/>
      <c r="D166" s="74"/>
      <c r="E166" s="74"/>
      <c r="F166" s="74"/>
      <c r="G166" s="74"/>
      <c r="H166" s="74"/>
      <c r="I166" s="74"/>
      <c r="J166" s="74"/>
      <c r="K166" s="74"/>
      <c r="L166" s="74"/>
      <c r="M166" s="74"/>
    </row>
    <row r="167" spans="2:13">
      <c r="B167" s="74"/>
      <c r="C167" s="74"/>
      <c r="D167" s="74"/>
      <c r="E167" s="74"/>
      <c r="F167" s="74"/>
      <c r="G167" s="74"/>
      <c r="H167" s="74"/>
      <c r="I167" s="74"/>
      <c r="J167" s="74"/>
      <c r="K167" s="74"/>
      <c r="L167" s="74"/>
      <c r="M167" s="74"/>
    </row>
    <row r="168" spans="2:13">
      <c r="B168" s="74"/>
      <c r="C168" s="74"/>
      <c r="D168" s="74"/>
      <c r="E168" s="74"/>
      <c r="F168" s="74"/>
      <c r="G168" s="74"/>
      <c r="H168" s="74"/>
      <c r="I168" s="74"/>
      <c r="J168" s="74"/>
      <c r="K168" s="74"/>
      <c r="L168" s="74"/>
      <c r="M168" s="74"/>
    </row>
    <row r="169" spans="2:13">
      <c r="B169" s="74"/>
      <c r="C169" s="74"/>
      <c r="D169" s="74"/>
      <c r="E169" s="74"/>
      <c r="F169" s="74"/>
      <c r="G169" s="74"/>
      <c r="H169" s="74"/>
      <c r="I169" s="74"/>
      <c r="J169" s="74"/>
      <c r="K169" s="74"/>
      <c r="L169" s="74"/>
      <c r="M169" s="74"/>
    </row>
  </sheetData>
  <mergeCells count="1">
    <mergeCell ref="B21:M21"/>
  </mergeCells>
  <hyperlinks>
    <hyperlink ref="C135" r:id="rId1"/>
    <hyperlink ref="C137" r:id="rId2"/>
    <hyperlink ref="C139" r:id="rId3"/>
  </hyperlinks>
  <pageMargins left="0.7" right="0.7" top="0.75" bottom="0.75" header="0.3" footer="0.3"/>
  <pageSetup orientation="portrait" r:id="rId4"/>
  <drawing r:id="rId5"/>
  <legacyDrawing r:id="rId6"/>
</worksheet>
</file>

<file path=xl/worksheets/sheet12.xml><?xml version="1.0" encoding="utf-8"?>
<worksheet xmlns="http://schemas.openxmlformats.org/spreadsheetml/2006/main" xmlns:r="http://schemas.openxmlformats.org/officeDocument/2006/relationships">
  <sheetPr>
    <tabColor theme="5" tint="0.79998168889431442"/>
  </sheetPr>
  <dimension ref="B1:K516"/>
  <sheetViews>
    <sheetView workbookViewId="0">
      <selection activeCell="P16" sqref="P16"/>
    </sheetView>
  </sheetViews>
  <sheetFormatPr defaultRowHeight="21" customHeight="1"/>
  <cols>
    <col min="1" max="1" width="0.42578125" style="111" customWidth="1"/>
    <col min="2" max="2" width="46.5703125" style="111" customWidth="1"/>
    <col min="3" max="3" width="15.5703125" style="111" customWidth="1"/>
    <col min="4" max="5" width="15.85546875" style="111" customWidth="1"/>
    <col min="6" max="6" width="14" style="111" customWidth="1"/>
    <col min="7" max="7" width="14.85546875" style="111" customWidth="1"/>
    <col min="8" max="8" width="17.140625" style="111" customWidth="1"/>
    <col min="9" max="9" width="12.5703125" style="111" customWidth="1"/>
    <col min="10" max="10" width="12.85546875" style="111" customWidth="1"/>
    <col min="11" max="11" width="14.7109375" style="111" customWidth="1"/>
    <col min="12" max="12" width="4.7109375" style="111" customWidth="1"/>
    <col min="13" max="16384" width="9.140625" style="111"/>
  </cols>
  <sheetData>
    <row r="1" spans="2:11" s="93" customFormat="1" ht="14.25" customHeight="1"/>
    <row r="2" spans="2:11" s="93" customFormat="1" ht="14.25" customHeight="1">
      <c r="B2" s="375" t="s">
        <v>129</v>
      </c>
      <c r="C2" s="375"/>
      <c r="D2" s="375"/>
    </row>
    <row r="3" spans="2:11" s="93" customFormat="1" ht="14.25" customHeight="1"/>
    <row r="4" spans="2:11" s="93" customFormat="1" ht="14.25" customHeight="1">
      <c r="B4" s="376" t="s">
        <v>130</v>
      </c>
      <c r="C4" s="376"/>
    </row>
    <row r="5" spans="2:11" s="93" customFormat="1" ht="14.25" customHeight="1"/>
    <row r="6" spans="2:11" s="93" customFormat="1" ht="14.25" customHeight="1">
      <c r="B6" s="377" t="s">
        <v>131</v>
      </c>
      <c r="C6" s="377"/>
      <c r="D6" s="377"/>
      <c r="E6" s="377"/>
    </row>
    <row r="7" spans="2:11" s="93" customFormat="1" ht="14.25" customHeight="1">
      <c r="B7" s="94" t="s">
        <v>132</v>
      </c>
      <c r="G7" s="95"/>
    </row>
    <row r="8" spans="2:11" s="99" customFormat="1" ht="45.75" customHeight="1">
      <c r="B8" s="96" t="s">
        <v>133</v>
      </c>
      <c r="C8" s="97" t="s">
        <v>134</v>
      </c>
      <c r="D8" s="97" t="s">
        <v>135</v>
      </c>
      <c r="E8" s="97" t="s">
        <v>136</v>
      </c>
      <c r="F8" s="97" t="s">
        <v>137</v>
      </c>
      <c r="G8" s="97" t="s">
        <v>138</v>
      </c>
      <c r="H8" s="97" t="s">
        <v>139</v>
      </c>
      <c r="I8" s="97" t="s">
        <v>140</v>
      </c>
      <c r="J8" s="97" t="s">
        <v>141</v>
      </c>
      <c r="K8" s="98" t="s">
        <v>142</v>
      </c>
    </row>
    <row r="9" spans="2:11" s="99" customFormat="1" ht="21" customHeight="1">
      <c r="B9" s="100" t="s">
        <v>143</v>
      </c>
      <c r="C9" s="101" t="s">
        <v>144</v>
      </c>
      <c r="D9" s="101"/>
      <c r="E9" s="101" t="s">
        <v>145</v>
      </c>
      <c r="F9" s="101"/>
      <c r="G9" s="101" t="s">
        <v>146</v>
      </c>
      <c r="H9" s="101"/>
      <c r="I9" s="102">
        <v>1.1599999999999999</v>
      </c>
      <c r="J9" s="103">
        <v>40547</v>
      </c>
      <c r="K9" s="104">
        <v>40493</v>
      </c>
    </row>
    <row r="10" spans="2:11" s="99" customFormat="1" ht="21" customHeight="1">
      <c r="B10" s="100" t="s">
        <v>147</v>
      </c>
      <c r="C10" s="101" t="s">
        <v>148</v>
      </c>
      <c r="D10" s="101"/>
      <c r="E10" s="101" t="s">
        <v>149</v>
      </c>
      <c r="F10" s="101"/>
      <c r="G10" s="101" t="s">
        <v>146</v>
      </c>
      <c r="H10" s="101"/>
      <c r="I10" s="102">
        <v>1.0189999999999999</v>
      </c>
      <c r="J10" s="103">
        <v>40351</v>
      </c>
      <c r="K10" s="104">
        <v>40372</v>
      </c>
    </row>
    <row r="11" spans="2:11" s="99" customFormat="1" ht="21" customHeight="1">
      <c r="B11" s="100" t="s">
        <v>147</v>
      </c>
      <c r="C11" s="101" t="s">
        <v>150</v>
      </c>
      <c r="D11" s="101"/>
      <c r="E11" s="101" t="s">
        <v>149</v>
      </c>
      <c r="F11" s="101"/>
      <c r="G11" s="101" t="s">
        <v>146</v>
      </c>
      <c r="H11" s="101"/>
      <c r="I11" s="102">
        <v>1.0189999999999999</v>
      </c>
      <c r="J11" s="103">
        <v>40351</v>
      </c>
      <c r="K11" s="104">
        <v>40372</v>
      </c>
    </row>
    <row r="12" spans="2:11" s="99" customFormat="1" ht="21" customHeight="1">
      <c r="B12" s="100" t="s">
        <v>147</v>
      </c>
      <c r="C12" s="101" t="s">
        <v>151</v>
      </c>
      <c r="D12" s="101"/>
      <c r="E12" s="101" t="s">
        <v>149</v>
      </c>
      <c r="F12" s="101"/>
      <c r="G12" s="101" t="s">
        <v>146</v>
      </c>
      <c r="H12" s="101"/>
      <c r="I12" s="102">
        <v>1.0189999999999999</v>
      </c>
      <c r="J12" s="103">
        <v>40351</v>
      </c>
      <c r="K12" s="104">
        <v>40372</v>
      </c>
    </row>
    <row r="13" spans="2:11" s="99" customFormat="1" ht="21" customHeight="1">
      <c r="B13" s="100" t="s">
        <v>147</v>
      </c>
      <c r="C13" s="101" t="s">
        <v>151</v>
      </c>
      <c r="D13" s="101"/>
      <c r="E13" s="101" t="s">
        <v>152</v>
      </c>
      <c r="F13" s="101"/>
      <c r="G13" s="101" t="s">
        <v>146</v>
      </c>
      <c r="H13" s="101"/>
      <c r="I13" s="102">
        <v>1.028</v>
      </c>
      <c r="J13" s="103">
        <v>40371</v>
      </c>
      <c r="K13" s="104">
        <v>40403</v>
      </c>
    </row>
    <row r="14" spans="2:11" s="99" customFormat="1" ht="21" customHeight="1">
      <c r="B14" s="100" t="s">
        <v>147</v>
      </c>
      <c r="C14" s="101" t="s">
        <v>151</v>
      </c>
      <c r="D14" s="101"/>
      <c r="E14" s="101" t="s">
        <v>153</v>
      </c>
      <c r="F14" s="101"/>
      <c r="G14" s="101" t="s">
        <v>146</v>
      </c>
      <c r="H14" s="101"/>
      <c r="I14" s="102">
        <v>1.0289999999999999</v>
      </c>
      <c r="J14" s="103">
        <v>40373</v>
      </c>
      <c r="K14" s="104">
        <v>40403</v>
      </c>
    </row>
    <row r="15" spans="2:11" s="99" customFormat="1" ht="21" customHeight="1">
      <c r="B15" s="100" t="s">
        <v>147</v>
      </c>
      <c r="C15" s="101" t="s">
        <v>148</v>
      </c>
      <c r="D15" s="101"/>
      <c r="E15" s="101" t="s">
        <v>154</v>
      </c>
      <c r="F15" s="101"/>
      <c r="G15" s="101" t="s">
        <v>146</v>
      </c>
      <c r="H15" s="101"/>
      <c r="I15" s="102">
        <v>1.0469999999999999</v>
      </c>
      <c r="J15" s="103">
        <v>40351</v>
      </c>
      <c r="K15" s="104">
        <v>40372</v>
      </c>
    </row>
    <row r="16" spans="2:11" s="99" customFormat="1" ht="21" customHeight="1">
      <c r="B16" s="100" t="s">
        <v>147</v>
      </c>
      <c r="C16" s="101" t="s">
        <v>150</v>
      </c>
      <c r="D16" s="101"/>
      <c r="E16" s="101" t="s">
        <v>154</v>
      </c>
      <c r="F16" s="101"/>
      <c r="G16" s="101" t="s">
        <v>146</v>
      </c>
      <c r="H16" s="101"/>
      <c r="I16" s="102">
        <v>1.0469999999999999</v>
      </c>
      <c r="J16" s="103">
        <v>40351</v>
      </c>
      <c r="K16" s="104">
        <v>40372</v>
      </c>
    </row>
    <row r="17" spans="2:11" s="99" customFormat="1" ht="21" customHeight="1">
      <c r="B17" s="100" t="s">
        <v>147</v>
      </c>
      <c r="C17" s="101" t="s">
        <v>151</v>
      </c>
      <c r="D17" s="101"/>
      <c r="E17" s="101" t="s">
        <v>154</v>
      </c>
      <c r="F17" s="101"/>
      <c r="G17" s="101" t="s">
        <v>146</v>
      </c>
      <c r="H17" s="101"/>
      <c r="I17" s="102">
        <v>1.0469999999999999</v>
      </c>
      <c r="J17" s="103">
        <v>40351</v>
      </c>
      <c r="K17" s="104">
        <v>40372</v>
      </c>
    </row>
    <row r="18" spans="2:11" s="99" customFormat="1" ht="21" customHeight="1">
      <c r="B18" s="100" t="s">
        <v>147</v>
      </c>
      <c r="C18" s="101" t="s">
        <v>151</v>
      </c>
      <c r="D18" s="101"/>
      <c r="E18" s="101" t="s">
        <v>155</v>
      </c>
      <c r="F18" s="101"/>
      <c r="G18" s="101" t="s">
        <v>146</v>
      </c>
      <c r="H18" s="101"/>
      <c r="I18" s="102">
        <v>1.056</v>
      </c>
      <c r="J18" s="103">
        <v>40365</v>
      </c>
      <c r="K18" s="104">
        <v>40403</v>
      </c>
    </row>
    <row r="19" spans="2:11" s="99" customFormat="1" ht="21" customHeight="1">
      <c r="B19" s="100" t="s">
        <v>147</v>
      </c>
      <c r="C19" s="101" t="s">
        <v>151</v>
      </c>
      <c r="D19" s="101"/>
      <c r="E19" s="101" t="s">
        <v>156</v>
      </c>
      <c r="F19" s="101"/>
      <c r="G19" s="101" t="s">
        <v>146</v>
      </c>
      <c r="H19" s="101"/>
      <c r="I19" s="102">
        <v>1.0569999999999999</v>
      </c>
      <c r="J19" s="103">
        <v>40367</v>
      </c>
      <c r="K19" s="104">
        <v>40403</v>
      </c>
    </row>
    <row r="20" spans="2:11" s="99" customFormat="1" ht="21" customHeight="1">
      <c r="B20" s="100" t="s">
        <v>157</v>
      </c>
      <c r="C20" s="101" t="s">
        <v>158</v>
      </c>
      <c r="D20" s="101"/>
      <c r="E20" s="101" t="s">
        <v>159</v>
      </c>
      <c r="F20" s="101"/>
      <c r="G20" s="101" t="s">
        <v>146</v>
      </c>
      <c r="H20" s="101"/>
      <c r="I20" s="102">
        <v>0.69199999999999995</v>
      </c>
      <c r="J20" s="103"/>
      <c r="K20" s="104">
        <v>40457</v>
      </c>
    </row>
    <row r="21" spans="2:11" s="99" customFormat="1" ht="21" customHeight="1">
      <c r="B21" s="100" t="s">
        <v>157</v>
      </c>
      <c r="C21" s="101" t="s">
        <v>158</v>
      </c>
      <c r="D21" s="101"/>
      <c r="E21" s="101" t="s">
        <v>160</v>
      </c>
      <c r="F21" s="101"/>
      <c r="G21" s="101" t="s">
        <v>146</v>
      </c>
      <c r="H21" s="101"/>
      <c r="I21" s="102">
        <v>0.95</v>
      </c>
      <c r="J21" s="103">
        <v>37712</v>
      </c>
      <c r="K21" s="104">
        <v>37712</v>
      </c>
    </row>
    <row r="22" spans="2:11" s="99" customFormat="1" ht="21" customHeight="1">
      <c r="B22" s="100" t="s">
        <v>161</v>
      </c>
      <c r="C22" s="101" t="s">
        <v>162</v>
      </c>
      <c r="D22" s="101"/>
      <c r="E22" s="101" t="s">
        <v>163</v>
      </c>
      <c r="F22" s="101"/>
      <c r="G22" s="101" t="s">
        <v>164</v>
      </c>
      <c r="H22" s="101"/>
      <c r="I22" s="102">
        <v>0.15</v>
      </c>
      <c r="J22" s="103"/>
      <c r="K22" s="104">
        <v>39721</v>
      </c>
    </row>
    <row r="23" spans="2:11" s="99" customFormat="1" ht="21" customHeight="1">
      <c r="B23" s="100" t="s">
        <v>161</v>
      </c>
      <c r="C23" s="101" t="s">
        <v>162</v>
      </c>
      <c r="D23" s="101"/>
      <c r="E23" s="101" t="s">
        <v>165</v>
      </c>
      <c r="F23" s="101"/>
      <c r="G23" s="101" t="s">
        <v>164</v>
      </c>
      <c r="H23" s="101"/>
      <c r="I23" s="102">
        <v>0.15</v>
      </c>
      <c r="J23" s="103">
        <v>39814</v>
      </c>
      <c r="K23" s="104">
        <v>39840</v>
      </c>
    </row>
    <row r="24" spans="2:11" s="99" customFormat="1" ht="21" customHeight="1">
      <c r="B24" s="100" t="s">
        <v>161</v>
      </c>
      <c r="C24" s="101" t="s">
        <v>162</v>
      </c>
      <c r="D24" s="101"/>
      <c r="E24" s="101" t="s">
        <v>166</v>
      </c>
      <c r="F24" s="101"/>
      <c r="G24" s="101" t="s">
        <v>164</v>
      </c>
      <c r="H24" s="101"/>
      <c r="I24" s="102">
        <v>0.15</v>
      </c>
      <c r="J24" s="103"/>
      <c r="K24" s="104">
        <v>39721</v>
      </c>
    </row>
    <row r="25" spans="2:11" s="99" customFormat="1" ht="21" customHeight="1">
      <c r="B25" s="100" t="s">
        <v>161</v>
      </c>
      <c r="C25" s="101" t="s">
        <v>162</v>
      </c>
      <c r="D25" s="101"/>
      <c r="E25" s="101" t="s">
        <v>167</v>
      </c>
      <c r="F25" s="101"/>
      <c r="G25" s="101" t="s">
        <v>164</v>
      </c>
      <c r="H25" s="101"/>
      <c r="I25" s="102">
        <v>0.15</v>
      </c>
      <c r="J25" s="103">
        <v>39814</v>
      </c>
      <c r="K25" s="104">
        <v>39840</v>
      </c>
    </row>
    <row r="26" spans="2:11" s="99" customFormat="1" ht="21" customHeight="1">
      <c r="B26" s="100" t="s">
        <v>161</v>
      </c>
      <c r="C26" s="101" t="s">
        <v>162</v>
      </c>
      <c r="D26" s="101"/>
      <c r="E26" s="101" t="s">
        <v>168</v>
      </c>
      <c r="F26" s="101"/>
      <c r="G26" s="101" t="s">
        <v>164</v>
      </c>
      <c r="H26" s="101"/>
      <c r="I26" s="102">
        <v>0.155</v>
      </c>
      <c r="J26" s="103">
        <v>39814</v>
      </c>
      <c r="K26" s="104">
        <v>39840</v>
      </c>
    </row>
    <row r="27" spans="2:11" s="99" customFormat="1" ht="21" customHeight="1">
      <c r="B27" s="100" t="s">
        <v>161</v>
      </c>
      <c r="C27" s="101" t="s">
        <v>162</v>
      </c>
      <c r="D27" s="101"/>
      <c r="E27" s="101" t="s">
        <v>169</v>
      </c>
      <c r="F27" s="101"/>
      <c r="G27" s="101" t="s">
        <v>164</v>
      </c>
      <c r="H27" s="101"/>
      <c r="I27" s="102">
        <v>0.155</v>
      </c>
      <c r="J27" s="103">
        <v>39814</v>
      </c>
      <c r="K27" s="104">
        <v>39840</v>
      </c>
    </row>
    <row r="28" spans="2:11" s="99" customFormat="1" ht="21" customHeight="1">
      <c r="B28" s="100" t="s">
        <v>161</v>
      </c>
      <c r="C28" s="101" t="s">
        <v>162</v>
      </c>
      <c r="D28" s="101" t="s">
        <v>170</v>
      </c>
      <c r="E28" s="101" t="s">
        <v>170</v>
      </c>
      <c r="F28" s="101"/>
      <c r="G28" s="101" t="s">
        <v>146</v>
      </c>
      <c r="H28" s="101" t="s">
        <v>171</v>
      </c>
      <c r="I28" s="102">
        <v>1.1000000000000001</v>
      </c>
      <c r="J28" s="103">
        <v>40867</v>
      </c>
      <c r="K28" s="104">
        <v>41085</v>
      </c>
    </row>
    <row r="29" spans="2:11" s="99" customFormat="1" ht="21" customHeight="1">
      <c r="B29" s="100" t="s">
        <v>161</v>
      </c>
      <c r="C29" s="101" t="s">
        <v>162</v>
      </c>
      <c r="D29" s="101" t="s">
        <v>172</v>
      </c>
      <c r="E29" s="101" t="s">
        <v>172</v>
      </c>
      <c r="F29" s="101"/>
      <c r="G29" s="101" t="s">
        <v>146</v>
      </c>
      <c r="H29" s="101" t="s">
        <v>173</v>
      </c>
      <c r="I29" s="102">
        <v>1.1000000000000001</v>
      </c>
      <c r="J29" s="103">
        <v>40969</v>
      </c>
      <c r="K29" s="104">
        <v>41085</v>
      </c>
    </row>
    <row r="30" spans="2:11" s="99" customFormat="1" ht="21" customHeight="1">
      <c r="B30" s="100" t="s">
        <v>161</v>
      </c>
      <c r="C30" s="101" t="s">
        <v>162</v>
      </c>
      <c r="D30" s="101"/>
      <c r="E30" s="101" t="s">
        <v>174</v>
      </c>
      <c r="F30" s="101"/>
      <c r="G30" s="101" t="s">
        <v>146</v>
      </c>
      <c r="H30" s="101"/>
      <c r="I30" s="102">
        <v>1.1499999999999999</v>
      </c>
      <c r="J30" s="103">
        <v>39692</v>
      </c>
      <c r="K30" s="104">
        <v>39693</v>
      </c>
    </row>
    <row r="31" spans="2:11" s="110" customFormat="1" ht="21" customHeight="1">
      <c r="B31" s="105" t="s">
        <v>161</v>
      </c>
      <c r="C31" s="106" t="s">
        <v>162</v>
      </c>
      <c r="D31" s="106"/>
      <c r="E31" s="106" t="s">
        <v>175</v>
      </c>
      <c r="F31" s="106"/>
      <c r="G31" s="106" t="s">
        <v>146</v>
      </c>
      <c r="H31" s="106"/>
      <c r="I31" s="107">
        <v>1.1499999999999999</v>
      </c>
      <c r="J31" s="108">
        <v>39692</v>
      </c>
      <c r="K31" s="109">
        <v>39693</v>
      </c>
    </row>
    <row r="32" spans="2:11" s="99" customFormat="1" ht="21" customHeight="1">
      <c r="B32" s="100" t="s">
        <v>161</v>
      </c>
      <c r="C32" s="101" t="s">
        <v>176</v>
      </c>
      <c r="D32" s="101" t="s">
        <v>177</v>
      </c>
      <c r="E32" s="101" t="s">
        <v>177</v>
      </c>
      <c r="F32" s="101" t="s">
        <v>178</v>
      </c>
      <c r="G32" s="101" t="s">
        <v>146</v>
      </c>
      <c r="H32" s="101" t="s">
        <v>171</v>
      </c>
      <c r="I32" s="102">
        <v>1.19</v>
      </c>
      <c r="J32" s="103">
        <v>40969</v>
      </c>
      <c r="K32" s="104">
        <v>41086</v>
      </c>
    </row>
    <row r="33" spans="2:11" s="99" customFormat="1" ht="21" customHeight="1">
      <c r="B33" s="100" t="s">
        <v>161</v>
      </c>
      <c r="C33" s="101" t="s">
        <v>162</v>
      </c>
      <c r="D33" s="101" t="s">
        <v>179</v>
      </c>
      <c r="E33" s="101" t="s">
        <v>179</v>
      </c>
      <c r="F33" s="101"/>
      <c r="G33" s="101" t="s">
        <v>146</v>
      </c>
      <c r="H33" s="101" t="s">
        <v>171</v>
      </c>
      <c r="I33" s="102">
        <v>1.2</v>
      </c>
      <c r="J33" s="103">
        <v>40867</v>
      </c>
      <c r="K33" s="104">
        <v>41085</v>
      </c>
    </row>
    <row r="34" spans="2:11" s="99" customFormat="1" ht="21" customHeight="1">
      <c r="B34" s="100" t="s">
        <v>180</v>
      </c>
      <c r="C34" s="101" t="s">
        <v>181</v>
      </c>
      <c r="D34" s="101"/>
      <c r="E34" s="101" t="s">
        <v>182</v>
      </c>
      <c r="F34" s="101"/>
      <c r="G34" s="101" t="s">
        <v>146</v>
      </c>
      <c r="H34" s="101"/>
      <c r="I34" s="102">
        <v>1.18</v>
      </c>
      <c r="J34" s="103">
        <v>40337</v>
      </c>
      <c r="K34" s="104">
        <v>40337</v>
      </c>
    </row>
    <row r="35" spans="2:11" s="99" customFormat="1" ht="21" customHeight="1">
      <c r="B35" s="100" t="s">
        <v>180</v>
      </c>
      <c r="C35" s="101" t="s">
        <v>183</v>
      </c>
      <c r="D35" s="101"/>
      <c r="E35" s="101" t="s">
        <v>184</v>
      </c>
      <c r="F35" s="101"/>
      <c r="G35" s="101" t="s">
        <v>146</v>
      </c>
      <c r="H35" s="101"/>
      <c r="I35" s="102">
        <v>1.18</v>
      </c>
      <c r="J35" s="103">
        <v>40431</v>
      </c>
      <c r="K35" s="104">
        <v>40347</v>
      </c>
    </row>
    <row r="36" spans="2:11" s="99" customFormat="1" ht="21" customHeight="1">
      <c r="B36" s="100" t="s">
        <v>185</v>
      </c>
      <c r="C36" s="101" t="s">
        <v>186</v>
      </c>
      <c r="D36" s="101" t="s">
        <v>187</v>
      </c>
      <c r="E36" s="101" t="s">
        <v>188</v>
      </c>
      <c r="F36" s="101"/>
      <c r="G36" s="101" t="s">
        <v>164</v>
      </c>
      <c r="H36" s="101"/>
      <c r="I36" s="102">
        <v>0.106</v>
      </c>
      <c r="J36" s="103">
        <v>39508</v>
      </c>
      <c r="K36" s="104">
        <v>39552</v>
      </c>
    </row>
    <row r="37" spans="2:11" s="99" customFormat="1" ht="21" customHeight="1">
      <c r="B37" s="100" t="s">
        <v>185</v>
      </c>
      <c r="C37" s="101" t="s">
        <v>186</v>
      </c>
      <c r="D37" s="101" t="s">
        <v>187</v>
      </c>
      <c r="E37" s="101" t="s">
        <v>189</v>
      </c>
      <c r="F37" s="101"/>
      <c r="G37" s="101" t="s">
        <v>164</v>
      </c>
      <c r="H37" s="101"/>
      <c r="I37" s="102">
        <v>0.106</v>
      </c>
      <c r="J37" s="103">
        <v>39448</v>
      </c>
      <c r="K37" s="104">
        <v>39482</v>
      </c>
    </row>
    <row r="38" spans="2:11" s="99" customFormat="1" ht="21" customHeight="1">
      <c r="B38" s="100" t="s">
        <v>185</v>
      </c>
      <c r="C38" s="101" t="s">
        <v>186</v>
      </c>
      <c r="D38" s="101" t="s">
        <v>187</v>
      </c>
      <c r="E38" s="101" t="s">
        <v>190</v>
      </c>
      <c r="F38" s="101"/>
      <c r="G38" s="101" t="s">
        <v>164</v>
      </c>
      <c r="H38" s="101"/>
      <c r="I38" s="102">
        <v>0.106</v>
      </c>
      <c r="J38" s="103">
        <v>39448</v>
      </c>
      <c r="K38" s="104">
        <v>39482</v>
      </c>
    </row>
    <row r="39" spans="2:11" s="99" customFormat="1" ht="21" customHeight="1">
      <c r="B39" s="100" t="s">
        <v>185</v>
      </c>
      <c r="C39" s="101" t="s">
        <v>186</v>
      </c>
      <c r="D39" s="101" t="s">
        <v>187</v>
      </c>
      <c r="E39" s="101" t="s">
        <v>191</v>
      </c>
      <c r="F39" s="101"/>
      <c r="G39" s="101" t="s">
        <v>164</v>
      </c>
      <c r="H39" s="101"/>
      <c r="I39" s="102">
        <v>0.106</v>
      </c>
      <c r="J39" s="103">
        <v>39448</v>
      </c>
      <c r="K39" s="104">
        <v>39482</v>
      </c>
    </row>
    <row r="40" spans="2:11" s="99" customFormat="1" ht="21" customHeight="1">
      <c r="B40" s="100" t="s">
        <v>185</v>
      </c>
      <c r="C40" s="101" t="s">
        <v>186</v>
      </c>
      <c r="D40" s="101" t="s">
        <v>192</v>
      </c>
      <c r="E40" s="101" t="s">
        <v>193</v>
      </c>
      <c r="F40" s="101"/>
      <c r="G40" s="101" t="s">
        <v>164</v>
      </c>
      <c r="H40" s="101"/>
      <c r="I40" s="102">
        <v>0.106</v>
      </c>
      <c r="J40" s="103">
        <v>39448</v>
      </c>
      <c r="K40" s="104">
        <v>39482</v>
      </c>
    </row>
    <row r="41" spans="2:11" s="99" customFormat="1" ht="21" customHeight="1">
      <c r="B41" s="100" t="s">
        <v>185</v>
      </c>
      <c r="C41" s="101" t="s">
        <v>186</v>
      </c>
      <c r="D41" s="101" t="s">
        <v>194</v>
      </c>
      <c r="E41" s="101" t="s">
        <v>195</v>
      </c>
      <c r="F41" s="101" t="s">
        <v>196</v>
      </c>
      <c r="G41" s="101" t="s">
        <v>164</v>
      </c>
      <c r="H41" s="101" t="s">
        <v>171</v>
      </c>
      <c r="I41" s="102">
        <v>0.12</v>
      </c>
      <c r="J41" s="103">
        <v>40210</v>
      </c>
      <c r="K41" s="104">
        <v>41085</v>
      </c>
    </row>
    <row r="42" spans="2:11" s="99" customFormat="1" ht="21" customHeight="1">
      <c r="B42" s="100" t="s">
        <v>185</v>
      </c>
      <c r="C42" s="101" t="s">
        <v>186</v>
      </c>
      <c r="D42" s="101" t="s">
        <v>187</v>
      </c>
      <c r="E42" s="101" t="s">
        <v>197</v>
      </c>
      <c r="F42" s="101"/>
      <c r="G42" s="101" t="s">
        <v>164</v>
      </c>
      <c r="H42" s="101"/>
      <c r="I42" s="102">
        <v>0.13100000000000001</v>
      </c>
      <c r="J42" s="103">
        <v>39508</v>
      </c>
      <c r="K42" s="104">
        <v>39552</v>
      </c>
    </row>
    <row r="43" spans="2:11" s="99" customFormat="1" ht="21" customHeight="1">
      <c r="B43" s="100" t="s">
        <v>185</v>
      </c>
      <c r="C43" s="101" t="s">
        <v>186</v>
      </c>
      <c r="D43" s="101" t="s">
        <v>187</v>
      </c>
      <c r="E43" s="101" t="s">
        <v>198</v>
      </c>
      <c r="F43" s="101"/>
      <c r="G43" s="101" t="s">
        <v>164</v>
      </c>
      <c r="H43" s="101"/>
      <c r="I43" s="102">
        <v>0.13100000000000001</v>
      </c>
      <c r="J43" s="103">
        <v>39508</v>
      </c>
      <c r="K43" s="104">
        <v>39552</v>
      </c>
    </row>
    <row r="44" spans="2:11" s="99" customFormat="1" ht="21" customHeight="1">
      <c r="B44" s="100" t="s">
        <v>185</v>
      </c>
      <c r="C44" s="101" t="s">
        <v>186</v>
      </c>
      <c r="D44" s="101" t="s">
        <v>187</v>
      </c>
      <c r="E44" s="101" t="s">
        <v>199</v>
      </c>
      <c r="F44" s="101"/>
      <c r="G44" s="101" t="s">
        <v>164</v>
      </c>
      <c r="H44" s="101"/>
      <c r="I44" s="102">
        <v>0.13100000000000001</v>
      </c>
      <c r="J44" s="103">
        <v>39508</v>
      </c>
      <c r="K44" s="104">
        <v>39552</v>
      </c>
    </row>
    <row r="45" spans="2:11" s="99" customFormat="1" ht="21" customHeight="1">
      <c r="B45" s="100" t="s">
        <v>185</v>
      </c>
      <c r="C45" s="101" t="s">
        <v>186</v>
      </c>
      <c r="D45" s="101" t="s">
        <v>187</v>
      </c>
      <c r="E45" s="101" t="s">
        <v>200</v>
      </c>
      <c r="F45" s="101"/>
      <c r="G45" s="101" t="s">
        <v>164</v>
      </c>
      <c r="H45" s="101"/>
      <c r="I45" s="102">
        <v>0.14599999999999999</v>
      </c>
      <c r="J45" s="103">
        <v>39965</v>
      </c>
      <c r="K45" s="104">
        <v>39962</v>
      </c>
    </row>
    <row r="46" spans="2:11" s="99" customFormat="1" ht="21" customHeight="1">
      <c r="B46" s="100" t="s">
        <v>185</v>
      </c>
      <c r="C46" s="101" t="s">
        <v>186</v>
      </c>
      <c r="D46" s="101" t="s">
        <v>201</v>
      </c>
      <c r="E46" s="101" t="s">
        <v>202</v>
      </c>
      <c r="F46" s="101"/>
      <c r="G46" s="101" t="s">
        <v>164</v>
      </c>
      <c r="H46" s="101"/>
      <c r="I46" s="102">
        <v>0.14599999999999999</v>
      </c>
      <c r="J46" s="103">
        <v>39965</v>
      </c>
      <c r="K46" s="104">
        <v>39962</v>
      </c>
    </row>
    <row r="47" spans="2:11" s="99" customFormat="1" ht="21" customHeight="1">
      <c r="B47" s="100" t="s">
        <v>185</v>
      </c>
      <c r="C47" s="101" t="s">
        <v>186</v>
      </c>
      <c r="D47" s="101" t="s">
        <v>203</v>
      </c>
      <c r="E47" s="101" t="s">
        <v>204</v>
      </c>
      <c r="F47" s="101"/>
      <c r="G47" s="101" t="s">
        <v>164</v>
      </c>
      <c r="H47" s="101"/>
      <c r="I47" s="102">
        <v>0.14599999999999999</v>
      </c>
      <c r="J47" s="103">
        <v>39965</v>
      </c>
      <c r="K47" s="104">
        <v>39962</v>
      </c>
    </row>
    <row r="48" spans="2:11" s="99" customFormat="1" ht="21" customHeight="1">
      <c r="B48" s="100" t="s">
        <v>185</v>
      </c>
      <c r="C48" s="101" t="s">
        <v>186</v>
      </c>
      <c r="D48" s="101" t="s">
        <v>203</v>
      </c>
      <c r="E48" s="101" t="s">
        <v>205</v>
      </c>
      <c r="F48" s="101"/>
      <c r="G48" s="101" t="s">
        <v>164</v>
      </c>
      <c r="H48" s="101"/>
      <c r="I48" s="102">
        <v>0.14599999999999999</v>
      </c>
      <c r="J48" s="103">
        <v>39965</v>
      </c>
      <c r="K48" s="104">
        <v>39962</v>
      </c>
    </row>
    <row r="49" spans="2:11" s="99" customFormat="1" ht="21" customHeight="1">
      <c r="B49" s="100" t="s">
        <v>185</v>
      </c>
      <c r="C49" s="101" t="s">
        <v>186</v>
      </c>
      <c r="D49" s="101" t="s">
        <v>192</v>
      </c>
      <c r="E49" s="101" t="s">
        <v>206</v>
      </c>
      <c r="F49" s="101"/>
      <c r="G49" s="101" t="s">
        <v>164</v>
      </c>
      <c r="H49" s="101"/>
      <c r="I49" s="102">
        <v>0.14599999999999999</v>
      </c>
      <c r="J49" s="103">
        <v>39965</v>
      </c>
      <c r="K49" s="104">
        <v>39962</v>
      </c>
    </row>
    <row r="50" spans="2:11" s="99" customFormat="1" ht="21" customHeight="1">
      <c r="B50" s="100" t="s">
        <v>185</v>
      </c>
      <c r="C50" s="101" t="s">
        <v>186</v>
      </c>
      <c r="D50" s="101" t="s">
        <v>187</v>
      </c>
      <c r="E50" s="101" t="s">
        <v>207</v>
      </c>
      <c r="F50" s="101"/>
      <c r="G50" s="101" t="s">
        <v>146</v>
      </c>
      <c r="H50" s="101"/>
      <c r="I50" s="102">
        <v>0.91500000000000004</v>
      </c>
      <c r="J50" s="103">
        <v>39508</v>
      </c>
      <c r="K50" s="104">
        <v>39552</v>
      </c>
    </row>
    <row r="51" spans="2:11" s="99" customFormat="1" ht="21" customHeight="1">
      <c r="B51" s="100" t="s">
        <v>185</v>
      </c>
      <c r="C51" s="101" t="s">
        <v>186</v>
      </c>
      <c r="D51" s="101" t="s">
        <v>187</v>
      </c>
      <c r="E51" s="101" t="s">
        <v>208</v>
      </c>
      <c r="F51" s="101"/>
      <c r="G51" s="101" t="s">
        <v>146</v>
      </c>
      <c r="H51" s="101"/>
      <c r="I51" s="102">
        <v>0.91500000000000004</v>
      </c>
      <c r="J51" s="103">
        <v>39508</v>
      </c>
      <c r="K51" s="104">
        <v>39552</v>
      </c>
    </row>
    <row r="52" spans="2:11" s="99" customFormat="1" ht="21" customHeight="1">
      <c r="B52" s="100" t="s">
        <v>185</v>
      </c>
      <c r="C52" s="101" t="s">
        <v>186</v>
      </c>
      <c r="D52" s="101" t="s">
        <v>187</v>
      </c>
      <c r="E52" s="101" t="s">
        <v>209</v>
      </c>
      <c r="F52" s="101"/>
      <c r="G52" s="101" t="s">
        <v>146</v>
      </c>
      <c r="H52" s="101"/>
      <c r="I52" s="102">
        <v>0.91500000000000004</v>
      </c>
      <c r="J52" s="103">
        <v>39508</v>
      </c>
      <c r="K52" s="104">
        <v>39552</v>
      </c>
    </row>
    <row r="53" spans="2:11" s="99" customFormat="1" ht="21" customHeight="1">
      <c r="B53" s="100" t="s">
        <v>185</v>
      </c>
      <c r="C53" s="101" t="s">
        <v>186</v>
      </c>
      <c r="D53" s="101" t="s">
        <v>210</v>
      </c>
      <c r="E53" s="101" t="s">
        <v>210</v>
      </c>
      <c r="F53" s="101"/>
      <c r="G53" s="101" t="s">
        <v>146</v>
      </c>
      <c r="H53" s="101" t="s">
        <v>171</v>
      </c>
      <c r="I53" s="102">
        <v>1.01</v>
      </c>
      <c r="J53" s="103">
        <v>40210</v>
      </c>
      <c r="K53" s="104">
        <v>41085</v>
      </c>
    </row>
    <row r="54" spans="2:11" s="99" customFormat="1" ht="21" customHeight="1">
      <c r="B54" s="100" t="s">
        <v>185</v>
      </c>
      <c r="C54" s="101" t="s">
        <v>186</v>
      </c>
      <c r="D54" s="101" t="s">
        <v>187</v>
      </c>
      <c r="E54" s="101" t="s">
        <v>211</v>
      </c>
      <c r="F54" s="101"/>
      <c r="G54" s="101" t="s">
        <v>146</v>
      </c>
      <c r="H54" s="101"/>
      <c r="I54" s="102">
        <v>1.024</v>
      </c>
      <c r="J54" s="103">
        <v>39965</v>
      </c>
      <c r="K54" s="104">
        <v>39962</v>
      </c>
    </row>
    <row r="55" spans="2:11" s="99" customFormat="1" ht="21" customHeight="1">
      <c r="B55" s="100" t="s">
        <v>185</v>
      </c>
      <c r="C55" s="101" t="s">
        <v>186</v>
      </c>
      <c r="D55" s="101" t="s">
        <v>201</v>
      </c>
      <c r="E55" s="101" t="s">
        <v>212</v>
      </c>
      <c r="F55" s="101"/>
      <c r="G55" s="101" t="s">
        <v>146</v>
      </c>
      <c r="H55" s="101"/>
      <c r="I55" s="102">
        <v>1.024</v>
      </c>
      <c r="J55" s="103">
        <v>39965</v>
      </c>
      <c r="K55" s="104">
        <v>39962</v>
      </c>
    </row>
    <row r="56" spans="2:11" s="99" customFormat="1" ht="21" customHeight="1">
      <c r="B56" s="100" t="s">
        <v>185</v>
      </c>
      <c r="C56" s="101" t="s">
        <v>186</v>
      </c>
      <c r="D56" s="101" t="s">
        <v>203</v>
      </c>
      <c r="E56" s="101" t="s">
        <v>213</v>
      </c>
      <c r="F56" s="101"/>
      <c r="G56" s="101" t="s">
        <v>146</v>
      </c>
      <c r="H56" s="101"/>
      <c r="I56" s="102">
        <v>1.024</v>
      </c>
      <c r="J56" s="103">
        <v>39965</v>
      </c>
      <c r="K56" s="104">
        <v>39962</v>
      </c>
    </row>
    <row r="57" spans="2:11" s="99" customFormat="1" ht="21" customHeight="1">
      <c r="B57" s="100" t="s">
        <v>185</v>
      </c>
      <c r="C57" s="101" t="s">
        <v>186</v>
      </c>
      <c r="D57" s="101" t="s">
        <v>203</v>
      </c>
      <c r="E57" s="101" t="s">
        <v>214</v>
      </c>
      <c r="F57" s="101"/>
      <c r="G57" s="101" t="s">
        <v>146</v>
      </c>
      <c r="H57" s="101"/>
      <c r="I57" s="102">
        <v>1.024</v>
      </c>
      <c r="J57" s="103">
        <v>39965</v>
      </c>
      <c r="K57" s="104">
        <v>39962</v>
      </c>
    </row>
    <row r="58" spans="2:11" s="99" customFormat="1" ht="21" customHeight="1">
      <c r="B58" s="100" t="s">
        <v>185</v>
      </c>
      <c r="C58" s="101" t="s">
        <v>186</v>
      </c>
      <c r="D58" s="101" t="s">
        <v>203</v>
      </c>
      <c r="E58" s="101" t="s">
        <v>215</v>
      </c>
      <c r="F58" s="101"/>
      <c r="G58" s="101" t="s">
        <v>146</v>
      </c>
      <c r="H58" s="101"/>
      <c r="I58" s="102">
        <v>1.024</v>
      </c>
      <c r="J58" s="103">
        <v>39965</v>
      </c>
      <c r="K58" s="104">
        <v>39962</v>
      </c>
    </row>
    <row r="59" spans="2:11" s="99" customFormat="1" ht="21" customHeight="1">
      <c r="B59" s="100" t="s">
        <v>185</v>
      </c>
      <c r="C59" s="101" t="s">
        <v>186</v>
      </c>
      <c r="D59" s="101" t="s">
        <v>192</v>
      </c>
      <c r="E59" s="101" t="s">
        <v>216</v>
      </c>
      <c r="F59" s="101"/>
      <c r="G59" s="101" t="s">
        <v>146</v>
      </c>
      <c r="H59" s="101"/>
      <c r="I59" s="102">
        <v>1.024</v>
      </c>
      <c r="J59" s="103">
        <v>39965</v>
      </c>
      <c r="K59" s="104">
        <v>39962</v>
      </c>
    </row>
    <row r="60" spans="2:11" s="99" customFormat="1" ht="21" customHeight="1">
      <c r="B60" s="100" t="s">
        <v>185</v>
      </c>
      <c r="C60" s="101" t="s">
        <v>186</v>
      </c>
      <c r="D60" s="101" t="s">
        <v>187</v>
      </c>
      <c r="E60" s="101" t="s">
        <v>217</v>
      </c>
      <c r="F60" s="101"/>
      <c r="G60" s="101" t="s">
        <v>146</v>
      </c>
      <c r="H60" s="101"/>
      <c r="I60" s="102">
        <v>1.0629999999999999</v>
      </c>
      <c r="J60" s="103">
        <v>39448</v>
      </c>
      <c r="K60" s="104">
        <v>39482</v>
      </c>
    </row>
    <row r="61" spans="2:11" s="99" customFormat="1" ht="21" customHeight="1">
      <c r="B61" s="100" t="s">
        <v>185</v>
      </c>
      <c r="C61" s="101" t="s">
        <v>186</v>
      </c>
      <c r="D61" s="101" t="s">
        <v>187</v>
      </c>
      <c r="E61" s="101" t="s">
        <v>218</v>
      </c>
      <c r="F61" s="101"/>
      <c r="G61" s="101" t="s">
        <v>146</v>
      </c>
      <c r="H61" s="101"/>
      <c r="I61" s="102">
        <v>1.0629999999999999</v>
      </c>
      <c r="J61" s="103">
        <v>39508</v>
      </c>
      <c r="K61" s="104">
        <v>39552</v>
      </c>
    </row>
    <row r="62" spans="2:11" s="99" customFormat="1" ht="21" customHeight="1">
      <c r="B62" s="100" t="s">
        <v>185</v>
      </c>
      <c r="C62" s="101" t="s">
        <v>186</v>
      </c>
      <c r="D62" s="101" t="s">
        <v>187</v>
      </c>
      <c r="E62" s="101" t="s">
        <v>219</v>
      </c>
      <c r="F62" s="101"/>
      <c r="G62" s="101" t="s">
        <v>146</v>
      </c>
      <c r="H62" s="101"/>
      <c r="I62" s="102">
        <v>1.0629999999999999</v>
      </c>
      <c r="J62" s="103">
        <v>39448</v>
      </c>
      <c r="K62" s="104">
        <v>39482</v>
      </c>
    </row>
    <row r="63" spans="2:11" s="99" customFormat="1" ht="21" customHeight="1">
      <c r="B63" s="100" t="s">
        <v>185</v>
      </c>
      <c r="C63" s="101" t="s">
        <v>186</v>
      </c>
      <c r="D63" s="101" t="s">
        <v>187</v>
      </c>
      <c r="E63" s="101" t="s">
        <v>220</v>
      </c>
      <c r="F63" s="101"/>
      <c r="G63" s="101" t="s">
        <v>146</v>
      </c>
      <c r="H63" s="101"/>
      <c r="I63" s="102">
        <v>1.0629999999999999</v>
      </c>
      <c r="J63" s="103">
        <v>39448</v>
      </c>
      <c r="K63" s="104">
        <v>39482</v>
      </c>
    </row>
    <row r="64" spans="2:11" s="99" customFormat="1" ht="21" customHeight="1">
      <c r="B64" s="100" t="s">
        <v>185</v>
      </c>
      <c r="C64" s="101" t="s">
        <v>186</v>
      </c>
      <c r="D64" s="101" t="s">
        <v>192</v>
      </c>
      <c r="E64" s="101" t="s">
        <v>221</v>
      </c>
      <c r="F64" s="101"/>
      <c r="G64" s="101" t="s">
        <v>146</v>
      </c>
      <c r="H64" s="101"/>
      <c r="I64" s="102">
        <v>1.0629999999999999</v>
      </c>
      <c r="J64" s="103">
        <v>39448</v>
      </c>
      <c r="K64" s="104">
        <v>39482</v>
      </c>
    </row>
    <row r="65" spans="2:11" s="99" customFormat="1" ht="21" customHeight="1">
      <c r="B65" s="100" t="s">
        <v>185</v>
      </c>
      <c r="C65" s="101" t="s">
        <v>186</v>
      </c>
      <c r="D65" s="101" t="s">
        <v>222</v>
      </c>
      <c r="E65" s="101" t="s">
        <v>195</v>
      </c>
      <c r="F65" s="101" t="s">
        <v>196</v>
      </c>
      <c r="G65" s="101" t="s">
        <v>146</v>
      </c>
      <c r="H65" s="101" t="s">
        <v>171</v>
      </c>
      <c r="I65" s="102">
        <v>1.1000000000000001</v>
      </c>
      <c r="J65" s="103">
        <v>40210</v>
      </c>
      <c r="K65" s="104">
        <v>41085</v>
      </c>
    </row>
    <row r="66" spans="2:11" s="99" customFormat="1" ht="21" customHeight="1">
      <c r="B66" s="100" t="s">
        <v>223</v>
      </c>
      <c r="C66" s="101" t="s">
        <v>224</v>
      </c>
      <c r="D66" s="101" t="s">
        <v>225</v>
      </c>
      <c r="E66" s="101" t="s">
        <v>226</v>
      </c>
      <c r="F66" s="101"/>
      <c r="G66" s="101" t="s">
        <v>146</v>
      </c>
      <c r="H66" s="101" t="s">
        <v>173</v>
      </c>
      <c r="I66" s="102">
        <v>0.87</v>
      </c>
      <c r="J66" s="103">
        <v>40696</v>
      </c>
      <c r="K66" s="104">
        <v>40696</v>
      </c>
    </row>
    <row r="67" spans="2:11" s="99" customFormat="1" ht="21" customHeight="1">
      <c r="B67" s="100" t="s">
        <v>223</v>
      </c>
      <c r="C67" s="101" t="s">
        <v>224</v>
      </c>
      <c r="D67" s="101" t="s">
        <v>225</v>
      </c>
      <c r="E67" s="101" t="s">
        <v>226</v>
      </c>
      <c r="F67" s="101"/>
      <c r="G67" s="101" t="s">
        <v>146</v>
      </c>
      <c r="H67" s="101" t="s">
        <v>173</v>
      </c>
      <c r="I67" s="102">
        <v>0.87</v>
      </c>
      <c r="J67" s="103">
        <v>40716</v>
      </c>
      <c r="K67" s="104">
        <v>40722</v>
      </c>
    </row>
    <row r="68" spans="2:11" s="99" customFormat="1" ht="21" customHeight="1">
      <c r="B68" s="100" t="s">
        <v>223</v>
      </c>
      <c r="C68" s="101" t="s">
        <v>224</v>
      </c>
      <c r="D68" s="101" t="s">
        <v>227</v>
      </c>
      <c r="E68" s="101" t="s">
        <v>228</v>
      </c>
      <c r="F68" s="101"/>
      <c r="G68" s="101" t="s">
        <v>146</v>
      </c>
      <c r="H68" s="101" t="s">
        <v>173</v>
      </c>
      <c r="I68" s="102">
        <v>0.99</v>
      </c>
      <c r="J68" s="103">
        <v>40696</v>
      </c>
      <c r="K68" s="104">
        <v>40696</v>
      </c>
    </row>
    <row r="69" spans="2:11" s="99" customFormat="1" ht="21" customHeight="1">
      <c r="B69" s="100" t="s">
        <v>223</v>
      </c>
      <c r="C69" s="101" t="s">
        <v>224</v>
      </c>
      <c r="D69" s="101" t="s">
        <v>227</v>
      </c>
      <c r="E69" s="101" t="s">
        <v>228</v>
      </c>
      <c r="F69" s="101"/>
      <c r="G69" s="101" t="s">
        <v>146</v>
      </c>
      <c r="H69" s="101" t="s">
        <v>173</v>
      </c>
      <c r="I69" s="102">
        <v>0.99</v>
      </c>
      <c r="J69" s="103">
        <v>40716</v>
      </c>
      <c r="K69" s="104">
        <v>40722</v>
      </c>
    </row>
    <row r="70" spans="2:11" s="99" customFormat="1" ht="21" customHeight="1">
      <c r="B70" s="100" t="s">
        <v>229</v>
      </c>
      <c r="C70" s="101" t="s">
        <v>230</v>
      </c>
      <c r="D70" s="101" t="s">
        <v>231</v>
      </c>
      <c r="E70" s="101" t="s">
        <v>232</v>
      </c>
      <c r="F70" s="101"/>
      <c r="G70" s="101" t="s">
        <v>233</v>
      </c>
      <c r="H70" s="101"/>
      <c r="I70" s="102">
        <v>9.2499999999999999E-2</v>
      </c>
      <c r="J70" s="103"/>
      <c r="K70" s="104">
        <v>38650</v>
      </c>
    </row>
    <row r="71" spans="2:11" s="99" customFormat="1" ht="21" customHeight="1">
      <c r="B71" s="100" t="s">
        <v>229</v>
      </c>
      <c r="C71" s="101" t="s">
        <v>234</v>
      </c>
      <c r="D71" s="101" t="s">
        <v>235</v>
      </c>
      <c r="E71" s="101" t="s">
        <v>236</v>
      </c>
      <c r="F71" s="101"/>
      <c r="G71" s="101" t="s">
        <v>164</v>
      </c>
      <c r="H71" s="101"/>
      <c r="I71" s="102">
        <v>0.13600000000000001</v>
      </c>
      <c r="J71" s="103">
        <v>40236</v>
      </c>
      <c r="K71" s="104">
        <v>40575</v>
      </c>
    </row>
    <row r="72" spans="2:11" s="99" customFormat="1" ht="21" customHeight="1">
      <c r="B72" s="100" t="s">
        <v>229</v>
      </c>
      <c r="C72" s="101" t="s">
        <v>230</v>
      </c>
      <c r="D72" s="101" t="s">
        <v>231</v>
      </c>
      <c r="E72" s="101" t="s">
        <v>237</v>
      </c>
      <c r="F72" s="101"/>
      <c r="G72" s="101" t="s">
        <v>164</v>
      </c>
      <c r="H72" s="101"/>
      <c r="I72" s="102">
        <v>0.14499999999999999</v>
      </c>
      <c r="J72" s="103">
        <v>38888</v>
      </c>
      <c r="K72" s="104">
        <v>38925</v>
      </c>
    </row>
    <row r="73" spans="2:11" s="99" customFormat="1" ht="21" customHeight="1">
      <c r="B73" s="100" t="s">
        <v>229</v>
      </c>
      <c r="C73" s="101" t="s">
        <v>230</v>
      </c>
      <c r="D73" s="101" t="s">
        <v>231</v>
      </c>
      <c r="E73" s="101" t="s">
        <v>238</v>
      </c>
      <c r="F73" s="101"/>
      <c r="G73" s="101" t="s">
        <v>164</v>
      </c>
      <c r="H73" s="101"/>
      <c r="I73" s="102">
        <v>0.14499999999999999</v>
      </c>
      <c r="J73" s="103">
        <v>38888</v>
      </c>
      <c r="K73" s="104">
        <v>38925</v>
      </c>
    </row>
    <row r="74" spans="2:11" s="99" customFormat="1" ht="21" customHeight="1">
      <c r="B74" s="100" t="s">
        <v>229</v>
      </c>
      <c r="C74" s="101" t="s">
        <v>230</v>
      </c>
      <c r="D74" s="101" t="s">
        <v>239</v>
      </c>
      <c r="E74" s="101" t="s">
        <v>240</v>
      </c>
      <c r="F74" s="101"/>
      <c r="G74" s="101" t="s">
        <v>164</v>
      </c>
      <c r="H74" s="101"/>
      <c r="I74" s="102">
        <v>0.14499999999999999</v>
      </c>
      <c r="J74" s="103">
        <v>38888</v>
      </c>
      <c r="K74" s="104">
        <v>38891</v>
      </c>
    </row>
    <row r="75" spans="2:11" s="99" customFormat="1" ht="21" customHeight="1">
      <c r="B75" s="100" t="s">
        <v>229</v>
      </c>
      <c r="C75" s="101" t="s">
        <v>230</v>
      </c>
      <c r="D75" s="101" t="s">
        <v>239</v>
      </c>
      <c r="E75" s="101" t="s">
        <v>241</v>
      </c>
      <c r="F75" s="101"/>
      <c r="G75" s="101" t="s">
        <v>164</v>
      </c>
      <c r="H75" s="101"/>
      <c r="I75" s="102">
        <v>0.14499999999999999</v>
      </c>
      <c r="J75" s="103">
        <v>38888</v>
      </c>
      <c r="K75" s="104">
        <v>38891</v>
      </c>
    </row>
    <row r="76" spans="2:11" s="99" customFormat="1" ht="21" customHeight="1">
      <c r="B76" s="100" t="s">
        <v>229</v>
      </c>
      <c r="C76" s="101" t="s">
        <v>234</v>
      </c>
      <c r="D76" s="101" t="s">
        <v>235</v>
      </c>
      <c r="E76" s="101" t="s">
        <v>242</v>
      </c>
      <c r="F76" s="101"/>
      <c r="G76" s="101" t="s">
        <v>164</v>
      </c>
      <c r="H76" s="101" t="s">
        <v>171</v>
      </c>
      <c r="I76" s="102">
        <v>0.15</v>
      </c>
      <c r="J76" s="103">
        <v>40297</v>
      </c>
      <c r="K76" s="104">
        <v>40980</v>
      </c>
    </row>
    <row r="77" spans="2:11" s="99" customFormat="1" ht="21" customHeight="1">
      <c r="B77" s="100" t="s">
        <v>229</v>
      </c>
      <c r="C77" s="101" t="s">
        <v>234</v>
      </c>
      <c r="D77" s="101" t="s">
        <v>235</v>
      </c>
      <c r="E77" s="101" t="s">
        <v>243</v>
      </c>
      <c r="F77" s="101"/>
      <c r="G77" s="101" t="s">
        <v>164</v>
      </c>
      <c r="H77" s="101" t="s">
        <v>171</v>
      </c>
      <c r="I77" s="102">
        <v>0.15</v>
      </c>
      <c r="J77" s="103">
        <v>41024</v>
      </c>
      <c r="K77" s="104">
        <v>40980</v>
      </c>
    </row>
    <row r="78" spans="2:11" s="99" customFormat="1" ht="21" customHeight="1">
      <c r="B78" s="100" t="s">
        <v>229</v>
      </c>
      <c r="C78" s="101" t="s">
        <v>230</v>
      </c>
      <c r="D78" s="101" t="s">
        <v>235</v>
      </c>
      <c r="E78" s="101" t="s">
        <v>242</v>
      </c>
      <c r="F78" s="101"/>
      <c r="G78" s="101" t="s">
        <v>164</v>
      </c>
      <c r="H78" s="101" t="s">
        <v>171</v>
      </c>
      <c r="I78" s="102">
        <v>0.15</v>
      </c>
      <c r="J78" s="103">
        <v>41065</v>
      </c>
      <c r="K78" s="104">
        <v>40980</v>
      </c>
    </row>
    <row r="79" spans="2:11" s="99" customFormat="1" ht="21" customHeight="1">
      <c r="B79" s="100" t="s">
        <v>229</v>
      </c>
      <c r="C79" s="101" t="s">
        <v>230</v>
      </c>
      <c r="D79" s="101" t="s">
        <v>235</v>
      </c>
      <c r="E79" s="101" t="s">
        <v>243</v>
      </c>
      <c r="F79" s="101"/>
      <c r="G79" s="101" t="s">
        <v>164</v>
      </c>
      <c r="H79" s="101" t="s">
        <v>171</v>
      </c>
      <c r="I79" s="102">
        <v>0.15</v>
      </c>
      <c r="J79" s="103">
        <v>41039</v>
      </c>
      <c r="K79" s="104">
        <v>40980</v>
      </c>
    </row>
    <row r="80" spans="2:11" s="99" customFormat="1" ht="21" customHeight="1">
      <c r="B80" s="100" t="s">
        <v>229</v>
      </c>
      <c r="C80" s="101" t="s">
        <v>244</v>
      </c>
      <c r="D80" s="101" t="s">
        <v>235</v>
      </c>
      <c r="E80" s="101" t="s">
        <v>242</v>
      </c>
      <c r="F80" s="101"/>
      <c r="G80" s="101" t="s">
        <v>164</v>
      </c>
      <c r="H80" s="101" t="s">
        <v>171</v>
      </c>
      <c r="I80" s="102">
        <v>0.15</v>
      </c>
      <c r="J80" s="103">
        <v>41045</v>
      </c>
      <c r="K80" s="104">
        <v>40980</v>
      </c>
    </row>
    <row r="81" spans="2:11" s="99" customFormat="1" ht="21" customHeight="1">
      <c r="B81" s="100" t="s">
        <v>229</v>
      </c>
      <c r="C81" s="101" t="s">
        <v>244</v>
      </c>
      <c r="D81" s="101" t="s">
        <v>235</v>
      </c>
      <c r="E81" s="101" t="s">
        <v>243</v>
      </c>
      <c r="F81" s="101"/>
      <c r="G81" s="101" t="s">
        <v>164</v>
      </c>
      <c r="H81" s="101" t="s">
        <v>171</v>
      </c>
      <c r="I81" s="102">
        <v>0.15</v>
      </c>
      <c r="J81" s="103">
        <v>41045</v>
      </c>
      <c r="K81" s="104">
        <v>40980</v>
      </c>
    </row>
    <row r="82" spans="2:11" s="99" customFormat="1" ht="21" customHeight="1">
      <c r="B82" s="100" t="s">
        <v>229</v>
      </c>
      <c r="C82" s="101" t="s">
        <v>245</v>
      </c>
      <c r="D82" s="101" t="s">
        <v>235</v>
      </c>
      <c r="E82" s="101" t="s">
        <v>242</v>
      </c>
      <c r="F82" s="101"/>
      <c r="G82" s="101" t="s">
        <v>164</v>
      </c>
      <c r="H82" s="101" t="s">
        <v>171</v>
      </c>
      <c r="I82" s="102">
        <v>0.15</v>
      </c>
      <c r="J82" s="103">
        <v>41039</v>
      </c>
      <c r="K82" s="104">
        <v>40980</v>
      </c>
    </row>
    <row r="83" spans="2:11" s="99" customFormat="1" ht="21" customHeight="1">
      <c r="B83" s="100" t="s">
        <v>229</v>
      </c>
      <c r="C83" s="101" t="s">
        <v>245</v>
      </c>
      <c r="D83" s="101" t="s">
        <v>235</v>
      </c>
      <c r="E83" s="101" t="s">
        <v>243</v>
      </c>
      <c r="F83" s="101"/>
      <c r="G83" s="101" t="s">
        <v>164</v>
      </c>
      <c r="H83" s="101" t="s">
        <v>171</v>
      </c>
      <c r="I83" s="102">
        <v>0.15</v>
      </c>
      <c r="J83" s="103">
        <v>41039</v>
      </c>
      <c r="K83" s="104">
        <v>40980</v>
      </c>
    </row>
    <row r="84" spans="2:11" s="99" customFormat="1" ht="21" customHeight="1">
      <c r="B84" s="100" t="s">
        <v>229</v>
      </c>
      <c r="C84" s="101" t="s">
        <v>230</v>
      </c>
      <c r="D84" s="101" t="s">
        <v>246</v>
      </c>
      <c r="E84" s="101" t="s">
        <v>247</v>
      </c>
      <c r="F84" s="101"/>
      <c r="G84" s="101" t="s">
        <v>164</v>
      </c>
      <c r="H84" s="101"/>
      <c r="I84" s="102">
        <v>0.152</v>
      </c>
      <c r="J84" s="103">
        <v>38214</v>
      </c>
      <c r="K84" s="104">
        <v>38224</v>
      </c>
    </row>
    <row r="85" spans="2:11" s="99" customFormat="1" ht="21" customHeight="1">
      <c r="B85" s="100" t="s">
        <v>229</v>
      </c>
      <c r="C85" s="101" t="s">
        <v>234</v>
      </c>
      <c r="D85" s="101" t="s">
        <v>248</v>
      </c>
      <c r="E85" s="101" t="s">
        <v>249</v>
      </c>
      <c r="F85" s="101"/>
      <c r="G85" s="101" t="s">
        <v>164</v>
      </c>
      <c r="H85" s="101"/>
      <c r="I85" s="102">
        <v>0.153</v>
      </c>
      <c r="J85" s="103">
        <v>40236</v>
      </c>
      <c r="K85" s="104">
        <v>40575</v>
      </c>
    </row>
    <row r="86" spans="2:11" s="99" customFormat="1" ht="21" customHeight="1">
      <c r="B86" s="100" t="s">
        <v>229</v>
      </c>
      <c r="C86" s="101" t="s">
        <v>234</v>
      </c>
      <c r="D86" s="101" t="s">
        <v>250</v>
      </c>
      <c r="E86" s="101" t="s">
        <v>251</v>
      </c>
      <c r="F86" s="101"/>
      <c r="G86" s="101" t="s">
        <v>164</v>
      </c>
      <c r="H86" s="101"/>
      <c r="I86" s="102">
        <v>0.15490000000000001</v>
      </c>
      <c r="J86" s="103">
        <v>40269</v>
      </c>
      <c r="K86" s="104">
        <v>40270</v>
      </c>
    </row>
    <row r="87" spans="2:11" s="99" customFormat="1" ht="21" customHeight="1">
      <c r="B87" s="100" t="s">
        <v>229</v>
      </c>
      <c r="C87" s="101" t="s">
        <v>230</v>
      </c>
      <c r="D87" s="101" t="s">
        <v>231</v>
      </c>
      <c r="E87" s="101" t="s">
        <v>252</v>
      </c>
      <c r="F87" s="101"/>
      <c r="G87" s="101" t="s">
        <v>233</v>
      </c>
      <c r="H87" s="101"/>
      <c r="I87" s="102">
        <v>0.156</v>
      </c>
      <c r="J87" s="103"/>
      <c r="K87" s="104">
        <v>38650</v>
      </c>
    </row>
    <row r="88" spans="2:11" s="99" customFormat="1" ht="21" customHeight="1">
      <c r="B88" s="100" t="s">
        <v>229</v>
      </c>
      <c r="C88" s="101" t="s">
        <v>230</v>
      </c>
      <c r="D88" s="101" t="s">
        <v>231</v>
      </c>
      <c r="E88" s="101" t="s">
        <v>253</v>
      </c>
      <c r="F88" s="101"/>
      <c r="G88" s="101" t="s">
        <v>146</v>
      </c>
      <c r="H88" s="101"/>
      <c r="I88" s="102">
        <v>0.68500000000000005</v>
      </c>
      <c r="J88" s="103">
        <v>38888</v>
      </c>
      <c r="K88" s="104">
        <v>38925</v>
      </c>
    </row>
    <row r="89" spans="2:11" s="99" customFormat="1" ht="21" customHeight="1">
      <c r="B89" s="100" t="s">
        <v>229</v>
      </c>
      <c r="C89" s="101" t="s">
        <v>230</v>
      </c>
      <c r="D89" s="101" t="s">
        <v>239</v>
      </c>
      <c r="E89" s="101" t="s">
        <v>254</v>
      </c>
      <c r="F89" s="101"/>
      <c r="G89" s="101" t="s">
        <v>146</v>
      </c>
      <c r="H89" s="101"/>
      <c r="I89" s="102">
        <v>0.68500000000000005</v>
      </c>
      <c r="J89" s="103">
        <v>38888</v>
      </c>
      <c r="K89" s="104">
        <v>38891</v>
      </c>
    </row>
    <row r="90" spans="2:11" s="99" customFormat="1" ht="21" customHeight="1">
      <c r="B90" s="100" t="s">
        <v>229</v>
      </c>
      <c r="C90" s="101" t="s">
        <v>230</v>
      </c>
      <c r="D90" s="101" t="s">
        <v>239</v>
      </c>
      <c r="E90" s="101" t="s">
        <v>255</v>
      </c>
      <c r="F90" s="101"/>
      <c r="G90" s="101" t="s">
        <v>146</v>
      </c>
      <c r="H90" s="101"/>
      <c r="I90" s="102">
        <v>0.7</v>
      </c>
      <c r="J90" s="103">
        <v>38888</v>
      </c>
      <c r="K90" s="104">
        <v>38891</v>
      </c>
    </row>
    <row r="91" spans="2:11" s="99" customFormat="1" ht="21" customHeight="1">
      <c r="B91" s="100" t="s">
        <v>229</v>
      </c>
      <c r="C91" s="101" t="s">
        <v>230</v>
      </c>
      <c r="D91" s="101" t="s">
        <v>231</v>
      </c>
      <c r="E91" s="101" t="s">
        <v>256</v>
      </c>
      <c r="F91" s="101"/>
      <c r="G91" s="101" t="s">
        <v>146</v>
      </c>
      <c r="H91" s="101"/>
      <c r="I91" s="102">
        <v>0.7</v>
      </c>
      <c r="J91" s="103">
        <v>38888</v>
      </c>
      <c r="K91" s="104">
        <v>38925</v>
      </c>
    </row>
    <row r="92" spans="2:11" s="99" customFormat="1" ht="21" customHeight="1">
      <c r="B92" s="100" t="s">
        <v>229</v>
      </c>
      <c r="C92" s="101" t="s">
        <v>234</v>
      </c>
      <c r="D92" s="101" t="s">
        <v>235</v>
      </c>
      <c r="E92" s="101" t="s">
        <v>257</v>
      </c>
      <c r="F92" s="101"/>
      <c r="G92" s="101" t="s">
        <v>146</v>
      </c>
      <c r="H92" s="101" t="s">
        <v>171</v>
      </c>
      <c r="I92" s="102">
        <v>0.86</v>
      </c>
      <c r="J92" s="103">
        <v>39451</v>
      </c>
      <c r="K92" s="104">
        <v>40980</v>
      </c>
    </row>
    <row r="93" spans="2:11" s="99" customFormat="1" ht="21" customHeight="1">
      <c r="B93" s="100" t="s">
        <v>229</v>
      </c>
      <c r="C93" s="101" t="s">
        <v>234</v>
      </c>
      <c r="D93" s="101" t="s">
        <v>235</v>
      </c>
      <c r="E93" s="101" t="s">
        <v>258</v>
      </c>
      <c r="F93" s="101"/>
      <c r="G93" s="101" t="s">
        <v>146</v>
      </c>
      <c r="H93" s="101" t="s">
        <v>171</v>
      </c>
      <c r="I93" s="102">
        <v>0.86</v>
      </c>
      <c r="J93" s="103">
        <v>41024</v>
      </c>
      <c r="K93" s="104">
        <v>40980</v>
      </c>
    </row>
    <row r="94" spans="2:11" s="99" customFormat="1" ht="21" customHeight="1">
      <c r="B94" s="100" t="s">
        <v>229</v>
      </c>
      <c r="C94" s="101" t="s">
        <v>230</v>
      </c>
      <c r="D94" s="101" t="s">
        <v>235</v>
      </c>
      <c r="E94" s="101" t="s">
        <v>257</v>
      </c>
      <c r="F94" s="101"/>
      <c r="G94" s="101" t="s">
        <v>146</v>
      </c>
      <c r="H94" s="101" t="s">
        <v>171</v>
      </c>
      <c r="I94" s="102">
        <v>0.86</v>
      </c>
      <c r="J94" s="103">
        <v>39634</v>
      </c>
      <c r="K94" s="104">
        <v>40980</v>
      </c>
    </row>
    <row r="95" spans="2:11" s="99" customFormat="1" ht="21" customHeight="1">
      <c r="B95" s="100" t="s">
        <v>229</v>
      </c>
      <c r="C95" s="101" t="s">
        <v>230</v>
      </c>
      <c r="D95" s="101" t="s">
        <v>235</v>
      </c>
      <c r="E95" s="101" t="s">
        <v>258</v>
      </c>
      <c r="F95" s="101"/>
      <c r="G95" s="101" t="s">
        <v>146</v>
      </c>
      <c r="H95" s="101" t="s">
        <v>171</v>
      </c>
      <c r="I95" s="102">
        <v>0.86</v>
      </c>
      <c r="J95" s="103">
        <v>41039</v>
      </c>
      <c r="K95" s="104">
        <v>40980</v>
      </c>
    </row>
    <row r="96" spans="2:11" s="99" customFormat="1" ht="21" customHeight="1">
      <c r="B96" s="100" t="s">
        <v>229</v>
      </c>
      <c r="C96" s="101" t="s">
        <v>244</v>
      </c>
      <c r="D96" s="101" t="s">
        <v>235</v>
      </c>
      <c r="E96" s="101" t="s">
        <v>257</v>
      </c>
      <c r="F96" s="101"/>
      <c r="G96" s="101" t="s">
        <v>146</v>
      </c>
      <c r="H96" s="101" t="s">
        <v>171</v>
      </c>
      <c r="I96" s="102">
        <v>0.86</v>
      </c>
      <c r="J96" s="103">
        <v>41045</v>
      </c>
      <c r="K96" s="104">
        <v>40980</v>
      </c>
    </row>
    <row r="97" spans="2:11" s="99" customFormat="1" ht="21" customHeight="1">
      <c r="B97" s="100" t="s">
        <v>229</v>
      </c>
      <c r="C97" s="101" t="s">
        <v>244</v>
      </c>
      <c r="D97" s="101" t="s">
        <v>235</v>
      </c>
      <c r="E97" s="101" t="s">
        <v>258</v>
      </c>
      <c r="F97" s="101"/>
      <c r="G97" s="101" t="s">
        <v>146</v>
      </c>
      <c r="H97" s="101" t="s">
        <v>171</v>
      </c>
      <c r="I97" s="102">
        <v>0.86</v>
      </c>
      <c r="J97" s="103">
        <v>41045</v>
      </c>
      <c r="K97" s="104">
        <v>40980</v>
      </c>
    </row>
    <row r="98" spans="2:11" s="99" customFormat="1" ht="21" customHeight="1">
      <c r="B98" s="100" t="s">
        <v>229</v>
      </c>
      <c r="C98" s="101" t="s">
        <v>245</v>
      </c>
      <c r="D98" s="101" t="s">
        <v>235</v>
      </c>
      <c r="E98" s="101" t="s">
        <v>257</v>
      </c>
      <c r="F98" s="101"/>
      <c r="G98" s="101" t="s">
        <v>146</v>
      </c>
      <c r="H98" s="101" t="s">
        <v>171</v>
      </c>
      <c r="I98" s="102">
        <v>0.86</v>
      </c>
      <c r="J98" s="103">
        <v>41039</v>
      </c>
      <c r="K98" s="104">
        <v>40980</v>
      </c>
    </row>
    <row r="99" spans="2:11" s="99" customFormat="1" ht="21" customHeight="1">
      <c r="B99" s="100" t="s">
        <v>229</v>
      </c>
      <c r="C99" s="101" t="s">
        <v>245</v>
      </c>
      <c r="D99" s="101" t="s">
        <v>235</v>
      </c>
      <c r="E99" s="101" t="s">
        <v>258</v>
      </c>
      <c r="F99" s="101"/>
      <c r="G99" s="101" t="s">
        <v>146</v>
      </c>
      <c r="H99" s="101" t="s">
        <v>171</v>
      </c>
      <c r="I99" s="102">
        <v>0.86</v>
      </c>
      <c r="J99" s="103">
        <v>41039</v>
      </c>
      <c r="K99" s="104">
        <v>40980</v>
      </c>
    </row>
    <row r="100" spans="2:11" s="99" customFormat="1" ht="21" customHeight="1">
      <c r="B100" s="100" t="s">
        <v>229</v>
      </c>
      <c r="C100" s="101" t="s">
        <v>234</v>
      </c>
      <c r="D100" s="101" t="s">
        <v>250</v>
      </c>
      <c r="E100" s="101" t="s">
        <v>259</v>
      </c>
      <c r="F100" s="101"/>
      <c r="G100" s="101" t="s">
        <v>146</v>
      </c>
      <c r="H100" s="101"/>
      <c r="I100" s="102">
        <v>0.88519999999999999</v>
      </c>
      <c r="J100" s="103">
        <v>40269</v>
      </c>
      <c r="K100" s="104">
        <v>40270</v>
      </c>
    </row>
    <row r="101" spans="2:11" s="99" customFormat="1" ht="21" customHeight="1">
      <c r="B101" s="100" t="s">
        <v>229</v>
      </c>
      <c r="C101" s="101" t="s">
        <v>230</v>
      </c>
      <c r="D101" s="101" t="s">
        <v>231</v>
      </c>
      <c r="E101" s="101" t="s">
        <v>260</v>
      </c>
      <c r="F101" s="101"/>
      <c r="G101" s="101" t="s">
        <v>146</v>
      </c>
      <c r="H101" s="101"/>
      <c r="I101" s="102">
        <v>0.9</v>
      </c>
      <c r="J101" s="103"/>
      <c r="K101" s="104">
        <v>38650</v>
      </c>
    </row>
    <row r="102" spans="2:11" s="99" customFormat="1" ht="21" customHeight="1">
      <c r="B102" s="100" t="s">
        <v>229</v>
      </c>
      <c r="C102" s="101" t="s">
        <v>234</v>
      </c>
      <c r="D102" s="101" t="s">
        <v>248</v>
      </c>
      <c r="E102" s="101" t="s">
        <v>261</v>
      </c>
      <c r="F102" s="101"/>
      <c r="G102" s="101" t="s">
        <v>146</v>
      </c>
      <c r="H102" s="101"/>
      <c r="I102" s="102">
        <v>0.94450000000000001</v>
      </c>
      <c r="J102" s="103"/>
      <c r="K102" s="104">
        <v>40473</v>
      </c>
    </row>
    <row r="103" spans="2:11" s="99" customFormat="1" ht="21" customHeight="1">
      <c r="B103" s="100" t="s">
        <v>229</v>
      </c>
      <c r="C103" s="101" t="s">
        <v>234</v>
      </c>
      <c r="D103" s="101" t="s">
        <v>248</v>
      </c>
      <c r="E103" s="101" t="s">
        <v>262</v>
      </c>
      <c r="F103" s="101"/>
      <c r="G103" s="101" t="s">
        <v>146</v>
      </c>
      <c r="H103" s="101"/>
      <c r="I103" s="102">
        <v>0.94450000000000001</v>
      </c>
      <c r="J103" s="103"/>
      <c r="K103" s="104">
        <v>40473</v>
      </c>
    </row>
    <row r="104" spans="2:11" s="99" customFormat="1" ht="21" customHeight="1">
      <c r="B104" s="100" t="s">
        <v>229</v>
      </c>
      <c r="C104" s="101" t="s">
        <v>234</v>
      </c>
      <c r="D104" s="101" t="s">
        <v>248</v>
      </c>
      <c r="E104" s="101" t="s">
        <v>263</v>
      </c>
      <c r="F104" s="101"/>
      <c r="G104" s="101" t="s">
        <v>146</v>
      </c>
      <c r="H104" s="101"/>
      <c r="I104" s="102">
        <v>0.94450000000000001</v>
      </c>
      <c r="J104" s="103"/>
      <c r="K104" s="104">
        <v>40473</v>
      </c>
    </row>
    <row r="105" spans="2:11" s="99" customFormat="1" ht="21" customHeight="1">
      <c r="B105" s="100" t="s">
        <v>229</v>
      </c>
      <c r="C105" s="101" t="s">
        <v>234</v>
      </c>
      <c r="D105" s="101" t="s">
        <v>248</v>
      </c>
      <c r="E105" s="101" t="s">
        <v>264</v>
      </c>
      <c r="F105" s="101"/>
      <c r="G105" s="101" t="s">
        <v>146</v>
      </c>
      <c r="H105" s="101"/>
      <c r="I105" s="102">
        <v>0.94450000000000001</v>
      </c>
      <c r="J105" s="103"/>
      <c r="K105" s="104">
        <v>40473</v>
      </c>
    </row>
    <row r="106" spans="2:11" s="99" customFormat="1" ht="21" customHeight="1">
      <c r="B106" s="100" t="s">
        <v>229</v>
      </c>
      <c r="C106" s="101" t="s">
        <v>265</v>
      </c>
      <c r="D106" s="101" t="s">
        <v>248</v>
      </c>
      <c r="E106" s="101" t="s">
        <v>266</v>
      </c>
      <c r="F106" s="101"/>
      <c r="G106" s="101" t="s">
        <v>146</v>
      </c>
      <c r="H106" s="101"/>
      <c r="I106" s="102">
        <v>0.94450000000000001</v>
      </c>
      <c r="J106" s="103">
        <v>40229</v>
      </c>
      <c r="K106" s="104">
        <v>40575</v>
      </c>
    </row>
    <row r="107" spans="2:11" s="99" customFormat="1" ht="21" customHeight="1">
      <c r="B107" s="100" t="s">
        <v>229</v>
      </c>
      <c r="C107" s="101" t="s">
        <v>234</v>
      </c>
      <c r="D107" s="101" t="s">
        <v>235</v>
      </c>
      <c r="E107" s="101" t="s">
        <v>267</v>
      </c>
      <c r="F107" s="101"/>
      <c r="G107" s="101" t="s">
        <v>146</v>
      </c>
      <c r="H107" s="101"/>
      <c r="I107" s="102">
        <v>0.98429999999999995</v>
      </c>
      <c r="J107" s="103">
        <v>40236</v>
      </c>
      <c r="K107" s="104">
        <v>40575</v>
      </c>
    </row>
    <row r="108" spans="2:11" s="99" customFormat="1" ht="21" customHeight="1">
      <c r="B108" s="100" t="s">
        <v>229</v>
      </c>
      <c r="C108" s="101" t="s">
        <v>234</v>
      </c>
      <c r="D108" s="101" t="s">
        <v>248</v>
      </c>
      <c r="E108" s="101" t="s">
        <v>268</v>
      </c>
      <c r="F108" s="101"/>
      <c r="G108" s="101" t="s">
        <v>146</v>
      </c>
      <c r="H108" s="101" t="s">
        <v>171</v>
      </c>
      <c r="I108" s="102">
        <v>1.05</v>
      </c>
      <c r="J108" s="103">
        <v>39553</v>
      </c>
      <c r="K108" s="104">
        <v>40980</v>
      </c>
    </row>
    <row r="109" spans="2:11" s="99" customFormat="1" ht="21" customHeight="1">
      <c r="B109" s="100" t="s">
        <v>229</v>
      </c>
      <c r="C109" s="101" t="s">
        <v>234</v>
      </c>
      <c r="D109" s="101" t="s">
        <v>248</v>
      </c>
      <c r="E109" s="101" t="s">
        <v>269</v>
      </c>
      <c r="F109" s="101"/>
      <c r="G109" s="101" t="s">
        <v>146</v>
      </c>
      <c r="H109" s="101" t="s">
        <v>171</v>
      </c>
      <c r="I109" s="102">
        <v>1.05</v>
      </c>
      <c r="J109" s="103">
        <v>41025</v>
      </c>
      <c r="K109" s="104">
        <v>40980</v>
      </c>
    </row>
    <row r="110" spans="2:11" s="99" customFormat="1" ht="21" customHeight="1">
      <c r="B110" s="100" t="s">
        <v>229</v>
      </c>
      <c r="C110" s="101" t="s">
        <v>234</v>
      </c>
      <c r="D110" s="101" t="s">
        <v>248</v>
      </c>
      <c r="E110" s="101" t="s">
        <v>270</v>
      </c>
      <c r="F110" s="101"/>
      <c r="G110" s="101" t="s">
        <v>146</v>
      </c>
      <c r="H110" s="101" t="s">
        <v>171</v>
      </c>
      <c r="I110" s="102">
        <v>1.05</v>
      </c>
      <c r="J110" s="103">
        <v>40241</v>
      </c>
      <c r="K110" s="104">
        <v>40980</v>
      </c>
    </row>
    <row r="111" spans="2:11" s="99" customFormat="1" ht="21" customHeight="1">
      <c r="B111" s="100" t="s">
        <v>229</v>
      </c>
      <c r="C111" s="101" t="s">
        <v>234</v>
      </c>
      <c r="D111" s="101" t="s">
        <v>248</v>
      </c>
      <c r="E111" s="101" t="s">
        <v>271</v>
      </c>
      <c r="F111" s="101"/>
      <c r="G111" s="101" t="s">
        <v>146</v>
      </c>
      <c r="H111" s="101" t="s">
        <v>171</v>
      </c>
      <c r="I111" s="102">
        <v>1.05</v>
      </c>
      <c r="J111" s="103">
        <v>41025</v>
      </c>
      <c r="K111" s="104">
        <v>40980</v>
      </c>
    </row>
    <row r="112" spans="2:11" s="99" customFormat="1" ht="21" customHeight="1">
      <c r="B112" s="100" t="s">
        <v>229</v>
      </c>
      <c r="C112" s="101" t="s">
        <v>234</v>
      </c>
      <c r="D112" s="101" t="s">
        <v>248</v>
      </c>
      <c r="E112" s="101" t="s">
        <v>272</v>
      </c>
      <c r="F112" s="101"/>
      <c r="G112" s="101" t="s">
        <v>146</v>
      </c>
      <c r="H112" s="101" t="s">
        <v>171</v>
      </c>
      <c r="I112" s="102">
        <v>1.05</v>
      </c>
      <c r="J112" s="103">
        <v>41027</v>
      </c>
      <c r="K112" s="104">
        <v>40980</v>
      </c>
    </row>
    <row r="113" spans="2:11" s="99" customFormat="1" ht="21" customHeight="1">
      <c r="B113" s="100" t="s">
        <v>229</v>
      </c>
      <c r="C113" s="101" t="s">
        <v>230</v>
      </c>
      <c r="D113" s="101" t="s">
        <v>248</v>
      </c>
      <c r="E113" s="101" t="s">
        <v>268</v>
      </c>
      <c r="F113" s="101"/>
      <c r="G113" s="101" t="s">
        <v>146</v>
      </c>
      <c r="H113" s="101" t="s">
        <v>171</v>
      </c>
      <c r="I113" s="102">
        <v>1.05</v>
      </c>
      <c r="J113" s="103">
        <v>41086</v>
      </c>
      <c r="K113" s="104">
        <v>40980</v>
      </c>
    </row>
    <row r="114" spans="2:11" s="99" customFormat="1" ht="21" customHeight="1">
      <c r="B114" s="100" t="s">
        <v>229</v>
      </c>
      <c r="C114" s="101" t="s">
        <v>230</v>
      </c>
      <c r="D114" s="101" t="s">
        <v>248</v>
      </c>
      <c r="E114" s="101" t="s">
        <v>269</v>
      </c>
      <c r="F114" s="101"/>
      <c r="G114" s="101" t="s">
        <v>146</v>
      </c>
      <c r="H114" s="101" t="s">
        <v>171</v>
      </c>
      <c r="I114" s="102">
        <v>1.05</v>
      </c>
      <c r="J114" s="103">
        <v>41025</v>
      </c>
      <c r="K114" s="104">
        <v>40980</v>
      </c>
    </row>
    <row r="115" spans="2:11" s="99" customFormat="1" ht="21" customHeight="1">
      <c r="B115" s="100" t="s">
        <v>229</v>
      </c>
      <c r="C115" s="101" t="s">
        <v>230</v>
      </c>
      <c r="D115" s="101" t="s">
        <v>248</v>
      </c>
      <c r="E115" s="101" t="s">
        <v>270</v>
      </c>
      <c r="F115" s="101"/>
      <c r="G115" s="101" t="s">
        <v>146</v>
      </c>
      <c r="H115" s="101" t="s">
        <v>171</v>
      </c>
      <c r="I115" s="102">
        <v>1.05</v>
      </c>
      <c r="J115" s="103">
        <v>39616</v>
      </c>
      <c r="K115" s="104">
        <v>40980</v>
      </c>
    </row>
    <row r="116" spans="2:11" s="99" customFormat="1" ht="21" customHeight="1">
      <c r="B116" s="100" t="s">
        <v>229</v>
      </c>
      <c r="C116" s="101" t="s">
        <v>230</v>
      </c>
      <c r="D116" s="101" t="s">
        <v>248</v>
      </c>
      <c r="E116" s="101" t="s">
        <v>271</v>
      </c>
      <c r="F116" s="101"/>
      <c r="G116" s="101" t="s">
        <v>146</v>
      </c>
      <c r="H116" s="101" t="s">
        <v>171</v>
      </c>
      <c r="I116" s="102">
        <v>1.05</v>
      </c>
      <c r="J116" s="103">
        <v>41016</v>
      </c>
      <c r="K116" s="104">
        <v>40980</v>
      </c>
    </row>
    <row r="117" spans="2:11" s="99" customFormat="1" ht="21" customHeight="1">
      <c r="B117" s="100" t="s">
        <v>229</v>
      </c>
      <c r="C117" s="101" t="s">
        <v>230</v>
      </c>
      <c r="D117" s="101" t="s">
        <v>248</v>
      </c>
      <c r="E117" s="101" t="s">
        <v>272</v>
      </c>
      <c r="F117" s="101"/>
      <c r="G117" s="101" t="s">
        <v>146</v>
      </c>
      <c r="H117" s="101" t="s">
        <v>171</v>
      </c>
      <c r="I117" s="102">
        <v>1.05</v>
      </c>
      <c r="J117" s="103">
        <v>41025</v>
      </c>
      <c r="K117" s="104">
        <v>40980</v>
      </c>
    </row>
    <row r="118" spans="2:11" s="99" customFormat="1" ht="21" customHeight="1">
      <c r="B118" s="100" t="s">
        <v>229</v>
      </c>
      <c r="C118" s="101" t="s">
        <v>244</v>
      </c>
      <c r="D118" s="101" t="s">
        <v>248</v>
      </c>
      <c r="E118" s="101" t="s">
        <v>268</v>
      </c>
      <c r="F118" s="101"/>
      <c r="G118" s="101" t="s">
        <v>146</v>
      </c>
      <c r="H118" s="101" t="s">
        <v>171</v>
      </c>
      <c r="I118" s="102">
        <v>1.05</v>
      </c>
      <c r="J118" s="103">
        <v>40944</v>
      </c>
      <c r="K118" s="104">
        <v>40980</v>
      </c>
    </row>
    <row r="119" spans="2:11" s="99" customFormat="1" ht="21" customHeight="1">
      <c r="B119" s="100" t="s">
        <v>229</v>
      </c>
      <c r="C119" s="101" t="s">
        <v>244</v>
      </c>
      <c r="D119" s="101" t="s">
        <v>248</v>
      </c>
      <c r="E119" s="101" t="s">
        <v>269</v>
      </c>
      <c r="F119" s="101"/>
      <c r="G119" s="101" t="s">
        <v>146</v>
      </c>
      <c r="H119" s="101" t="s">
        <v>171</v>
      </c>
      <c r="I119" s="102">
        <v>1.05</v>
      </c>
      <c r="J119" s="103">
        <v>40944</v>
      </c>
      <c r="K119" s="104">
        <v>40980</v>
      </c>
    </row>
    <row r="120" spans="2:11" s="99" customFormat="1" ht="21" customHeight="1">
      <c r="B120" s="100" t="s">
        <v>229</v>
      </c>
      <c r="C120" s="101" t="s">
        <v>244</v>
      </c>
      <c r="D120" s="101" t="s">
        <v>248</v>
      </c>
      <c r="E120" s="101" t="s">
        <v>270</v>
      </c>
      <c r="F120" s="101"/>
      <c r="G120" s="101" t="s">
        <v>146</v>
      </c>
      <c r="H120" s="101" t="s">
        <v>171</v>
      </c>
      <c r="I120" s="102">
        <v>1.05</v>
      </c>
      <c r="J120" s="103">
        <v>40944</v>
      </c>
      <c r="K120" s="104">
        <v>40980</v>
      </c>
    </row>
    <row r="121" spans="2:11" s="99" customFormat="1" ht="21" customHeight="1">
      <c r="B121" s="100" t="s">
        <v>229</v>
      </c>
      <c r="C121" s="101" t="s">
        <v>244</v>
      </c>
      <c r="D121" s="101" t="s">
        <v>248</v>
      </c>
      <c r="E121" s="101" t="s">
        <v>271</v>
      </c>
      <c r="F121" s="101"/>
      <c r="G121" s="101" t="s">
        <v>146</v>
      </c>
      <c r="H121" s="101" t="s">
        <v>171</v>
      </c>
      <c r="I121" s="102">
        <v>1.05</v>
      </c>
      <c r="J121" s="103">
        <v>40944</v>
      </c>
      <c r="K121" s="104">
        <v>40980</v>
      </c>
    </row>
    <row r="122" spans="2:11" s="99" customFormat="1" ht="21" customHeight="1">
      <c r="B122" s="100" t="s">
        <v>229</v>
      </c>
      <c r="C122" s="101" t="s">
        <v>244</v>
      </c>
      <c r="D122" s="101" t="s">
        <v>248</v>
      </c>
      <c r="E122" s="101" t="s">
        <v>272</v>
      </c>
      <c r="F122" s="101"/>
      <c r="G122" s="101" t="s">
        <v>146</v>
      </c>
      <c r="H122" s="101" t="s">
        <v>171</v>
      </c>
      <c r="I122" s="102">
        <v>1.05</v>
      </c>
      <c r="J122" s="103">
        <v>40944</v>
      </c>
      <c r="K122" s="104">
        <v>40980</v>
      </c>
    </row>
    <row r="123" spans="2:11" s="99" customFormat="1" ht="21" customHeight="1">
      <c r="B123" s="100" t="s">
        <v>229</v>
      </c>
      <c r="C123" s="101" t="s">
        <v>273</v>
      </c>
      <c r="D123" s="101" t="s">
        <v>235</v>
      </c>
      <c r="E123" s="101" t="s">
        <v>274</v>
      </c>
      <c r="F123" s="101"/>
      <c r="G123" s="101" t="s">
        <v>146</v>
      </c>
      <c r="H123" s="101" t="s">
        <v>171</v>
      </c>
      <c r="I123" s="102">
        <v>1.05</v>
      </c>
      <c r="J123" s="103">
        <v>41060</v>
      </c>
      <c r="K123" s="104">
        <v>40980</v>
      </c>
    </row>
    <row r="124" spans="2:11" s="99" customFormat="1" ht="21" customHeight="1">
      <c r="B124" s="100" t="s">
        <v>229</v>
      </c>
      <c r="C124" s="101" t="s">
        <v>245</v>
      </c>
      <c r="D124" s="101" t="s">
        <v>248</v>
      </c>
      <c r="E124" s="101" t="s">
        <v>268</v>
      </c>
      <c r="F124" s="101"/>
      <c r="G124" s="101" t="s">
        <v>146</v>
      </c>
      <c r="H124" s="101" t="s">
        <v>171</v>
      </c>
      <c r="I124" s="102">
        <v>1.05</v>
      </c>
      <c r="J124" s="103">
        <v>41027</v>
      </c>
      <c r="K124" s="104">
        <v>40980</v>
      </c>
    </row>
    <row r="125" spans="2:11" s="99" customFormat="1" ht="21" customHeight="1">
      <c r="B125" s="100" t="s">
        <v>229</v>
      </c>
      <c r="C125" s="101" t="s">
        <v>245</v>
      </c>
      <c r="D125" s="101" t="s">
        <v>248</v>
      </c>
      <c r="E125" s="101" t="s">
        <v>269</v>
      </c>
      <c r="F125" s="101"/>
      <c r="G125" s="101" t="s">
        <v>146</v>
      </c>
      <c r="H125" s="101" t="s">
        <v>171</v>
      </c>
      <c r="I125" s="102">
        <v>1.05</v>
      </c>
      <c r="J125" s="103">
        <v>41027</v>
      </c>
      <c r="K125" s="104">
        <v>40980</v>
      </c>
    </row>
    <row r="126" spans="2:11" s="99" customFormat="1" ht="21" customHeight="1">
      <c r="B126" s="100" t="s">
        <v>229</v>
      </c>
      <c r="C126" s="101" t="s">
        <v>245</v>
      </c>
      <c r="D126" s="101" t="s">
        <v>248</v>
      </c>
      <c r="E126" s="101" t="s">
        <v>270</v>
      </c>
      <c r="F126" s="101"/>
      <c r="G126" s="101" t="s">
        <v>146</v>
      </c>
      <c r="H126" s="101" t="s">
        <v>171</v>
      </c>
      <c r="I126" s="102">
        <v>1.05</v>
      </c>
      <c r="J126" s="103">
        <v>40589</v>
      </c>
      <c r="K126" s="104">
        <v>40980</v>
      </c>
    </row>
    <row r="127" spans="2:11" s="99" customFormat="1" ht="21" customHeight="1">
      <c r="B127" s="100" t="s">
        <v>229</v>
      </c>
      <c r="C127" s="101" t="s">
        <v>245</v>
      </c>
      <c r="D127" s="101" t="s">
        <v>248</v>
      </c>
      <c r="E127" s="101" t="s">
        <v>271</v>
      </c>
      <c r="F127" s="101"/>
      <c r="G127" s="101" t="s">
        <v>146</v>
      </c>
      <c r="H127" s="101" t="s">
        <v>171</v>
      </c>
      <c r="I127" s="102">
        <v>1.05</v>
      </c>
      <c r="J127" s="103">
        <v>41027</v>
      </c>
      <c r="K127" s="104">
        <v>40980</v>
      </c>
    </row>
    <row r="128" spans="2:11" s="99" customFormat="1" ht="21" customHeight="1">
      <c r="B128" s="100" t="s">
        <v>229</v>
      </c>
      <c r="C128" s="101" t="s">
        <v>245</v>
      </c>
      <c r="D128" s="101" t="s">
        <v>248</v>
      </c>
      <c r="E128" s="101" t="s">
        <v>272</v>
      </c>
      <c r="F128" s="101"/>
      <c r="G128" s="101" t="s">
        <v>146</v>
      </c>
      <c r="H128" s="101" t="s">
        <v>171</v>
      </c>
      <c r="I128" s="102">
        <v>1.05</v>
      </c>
      <c r="J128" s="103">
        <v>41027</v>
      </c>
      <c r="K128" s="104">
        <v>40980</v>
      </c>
    </row>
    <row r="129" spans="2:11" s="99" customFormat="1" ht="21" customHeight="1">
      <c r="B129" s="100" t="s">
        <v>229</v>
      </c>
      <c r="C129" s="101" t="s">
        <v>230</v>
      </c>
      <c r="D129" s="101" t="s">
        <v>231</v>
      </c>
      <c r="E129" s="101" t="s">
        <v>275</v>
      </c>
      <c r="F129" s="101"/>
      <c r="G129" s="101" t="s">
        <v>146</v>
      </c>
      <c r="H129" s="101"/>
      <c r="I129" s="102">
        <v>1.0900000000000001</v>
      </c>
      <c r="J129" s="103"/>
      <c r="K129" s="104">
        <v>38650</v>
      </c>
    </row>
    <row r="130" spans="2:11" s="99" customFormat="1" ht="21" customHeight="1">
      <c r="B130" s="100" t="s">
        <v>229</v>
      </c>
      <c r="C130" s="101" t="s">
        <v>230</v>
      </c>
      <c r="D130" s="101" t="s">
        <v>276</v>
      </c>
      <c r="E130" s="101" t="s">
        <v>277</v>
      </c>
      <c r="F130" s="101"/>
      <c r="G130" s="101" t="s">
        <v>146</v>
      </c>
      <c r="H130" s="101"/>
      <c r="I130" s="102">
        <v>1.1000000000000001</v>
      </c>
      <c r="J130" s="103">
        <v>37622</v>
      </c>
      <c r="K130" s="104">
        <v>37530</v>
      </c>
    </row>
    <row r="131" spans="2:11" s="99" customFormat="1" ht="21" customHeight="1">
      <c r="B131" s="100" t="s">
        <v>229</v>
      </c>
      <c r="C131" s="101" t="s">
        <v>230</v>
      </c>
      <c r="D131" s="101" t="s">
        <v>276</v>
      </c>
      <c r="E131" s="101" t="s">
        <v>278</v>
      </c>
      <c r="F131" s="101"/>
      <c r="G131" s="101" t="s">
        <v>146</v>
      </c>
      <c r="H131" s="101"/>
      <c r="I131" s="102">
        <v>1.1000000000000001</v>
      </c>
      <c r="J131" s="103">
        <v>37622</v>
      </c>
      <c r="K131" s="104">
        <v>37530</v>
      </c>
    </row>
    <row r="132" spans="2:11" s="99" customFormat="1" ht="21" customHeight="1">
      <c r="B132" s="100" t="s">
        <v>229</v>
      </c>
      <c r="C132" s="101" t="s">
        <v>273</v>
      </c>
      <c r="D132" s="101" t="s">
        <v>235</v>
      </c>
      <c r="E132" s="101" t="s">
        <v>279</v>
      </c>
      <c r="F132" s="101"/>
      <c r="G132" s="101" t="s">
        <v>146</v>
      </c>
      <c r="H132" s="101" t="s">
        <v>171</v>
      </c>
      <c r="I132" s="102">
        <v>1.1000000000000001</v>
      </c>
      <c r="J132" s="103">
        <v>40820</v>
      </c>
      <c r="K132" s="104">
        <v>40980</v>
      </c>
    </row>
    <row r="133" spans="2:11" s="99" customFormat="1" ht="21" customHeight="1">
      <c r="B133" s="100" t="s">
        <v>229</v>
      </c>
      <c r="C133" s="101" t="s">
        <v>234</v>
      </c>
      <c r="D133" s="101" t="s">
        <v>248</v>
      </c>
      <c r="E133" s="101" t="s">
        <v>280</v>
      </c>
      <c r="F133" s="101"/>
      <c r="G133" s="101" t="s">
        <v>146</v>
      </c>
      <c r="H133" s="101" t="s">
        <v>171</v>
      </c>
      <c r="I133" s="102">
        <v>1.1299999999999999</v>
      </c>
      <c r="J133" s="103">
        <v>40288</v>
      </c>
      <c r="K133" s="104">
        <v>40980</v>
      </c>
    </row>
    <row r="134" spans="2:11" s="99" customFormat="1" ht="21" customHeight="1">
      <c r="B134" s="100" t="s">
        <v>229</v>
      </c>
      <c r="C134" s="101" t="s">
        <v>234</v>
      </c>
      <c r="D134" s="101" t="s">
        <v>248</v>
      </c>
      <c r="E134" s="101" t="s">
        <v>281</v>
      </c>
      <c r="F134" s="101"/>
      <c r="G134" s="101" t="s">
        <v>146</v>
      </c>
      <c r="H134" s="101" t="s">
        <v>171</v>
      </c>
      <c r="I134" s="102">
        <v>1.1299999999999999</v>
      </c>
      <c r="J134" s="103">
        <v>40283</v>
      </c>
      <c r="K134" s="104">
        <v>40980</v>
      </c>
    </row>
    <row r="135" spans="2:11" s="99" customFormat="1" ht="21" customHeight="1">
      <c r="B135" s="100" t="s">
        <v>229</v>
      </c>
      <c r="C135" s="101" t="s">
        <v>234</v>
      </c>
      <c r="D135" s="101" t="s">
        <v>248</v>
      </c>
      <c r="E135" s="101" t="s">
        <v>282</v>
      </c>
      <c r="F135" s="101"/>
      <c r="G135" s="101" t="s">
        <v>146</v>
      </c>
      <c r="H135" s="101" t="s">
        <v>171</v>
      </c>
      <c r="I135" s="102">
        <v>1.1299999999999999</v>
      </c>
      <c r="J135" s="103">
        <v>41018</v>
      </c>
      <c r="K135" s="104">
        <v>40980</v>
      </c>
    </row>
    <row r="136" spans="2:11" s="99" customFormat="1" ht="21" customHeight="1">
      <c r="B136" s="100" t="s">
        <v>229</v>
      </c>
      <c r="C136" s="101" t="s">
        <v>234</v>
      </c>
      <c r="D136" s="101" t="s">
        <v>248</v>
      </c>
      <c r="E136" s="101" t="s">
        <v>283</v>
      </c>
      <c r="F136" s="101"/>
      <c r="G136" s="101" t="s">
        <v>146</v>
      </c>
      <c r="H136" s="101" t="s">
        <v>171</v>
      </c>
      <c r="I136" s="102">
        <v>1.1299999999999999</v>
      </c>
      <c r="J136" s="103">
        <v>40213</v>
      </c>
      <c r="K136" s="104">
        <v>40980</v>
      </c>
    </row>
    <row r="137" spans="2:11" s="99" customFormat="1" ht="21" customHeight="1">
      <c r="B137" s="100" t="s">
        <v>229</v>
      </c>
      <c r="C137" s="101" t="s">
        <v>234</v>
      </c>
      <c r="D137" s="101" t="s">
        <v>248</v>
      </c>
      <c r="E137" s="101" t="s">
        <v>284</v>
      </c>
      <c r="F137" s="101"/>
      <c r="G137" s="101" t="s">
        <v>146</v>
      </c>
      <c r="H137" s="101" t="s">
        <v>171</v>
      </c>
      <c r="I137" s="102">
        <v>1.1299999999999999</v>
      </c>
      <c r="J137" s="103">
        <v>41028</v>
      </c>
      <c r="K137" s="104">
        <v>40980</v>
      </c>
    </row>
    <row r="138" spans="2:11" s="99" customFormat="1" ht="21" customHeight="1">
      <c r="B138" s="100" t="s">
        <v>229</v>
      </c>
      <c r="C138" s="101" t="s">
        <v>234</v>
      </c>
      <c r="D138" s="101" t="s">
        <v>248</v>
      </c>
      <c r="E138" s="101" t="s">
        <v>285</v>
      </c>
      <c r="F138" s="101"/>
      <c r="G138" s="101" t="s">
        <v>146</v>
      </c>
      <c r="H138" s="101" t="s">
        <v>171</v>
      </c>
      <c r="I138" s="102">
        <v>1.1299999999999999</v>
      </c>
      <c r="J138" s="103">
        <v>41054</v>
      </c>
      <c r="K138" s="104">
        <v>40980</v>
      </c>
    </row>
    <row r="139" spans="2:11" s="99" customFormat="1" ht="21" customHeight="1">
      <c r="B139" s="100" t="s">
        <v>229</v>
      </c>
      <c r="C139" s="101" t="s">
        <v>230</v>
      </c>
      <c r="D139" s="101" t="s">
        <v>248</v>
      </c>
      <c r="E139" s="101" t="s">
        <v>280</v>
      </c>
      <c r="F139" s="101"/>
      <c r="G139" s="101" t="s">
        <v>146</v>
      </c>
      <c r="H139" s="101" t="s">
        <v>171</v>
      </c>
      <c r="I139" s="102">
        <v>1.1299999999999999</v>
      </c>
      <c r="J139" s="103">
        <v>39788</v>
      </c>
      <c r="K139" s="104">
        <v>40980</v>
      </c>
    </row>
    <row r="140" spans="2:11" s="99" customFormat="1" ht="21" customHeight="1">
      <c r="B140" s="100" t="s">
        <v>229</v>
      </c>
      <c r="C140" s="101" t="s">
        <v>230</v>
      </c>
      <c r="D140" s="101" t="s">
        <v>248</v>
      </c>
      <c r="E140" s="101" t="s">
        <v>281</v>
      </c>
      <c r="F140" s="101"/>
      <c r="G140" s="101" t="s">
        <v>146</v>
      </c>
      <c r="H140" s="101" t="s">
        <v>171</v>
      </c>
      <c r="I140" s="102">
        <v>1.1299999999999999</v>
      </c>
      <c r="J140" s="103">
        <v>39627</v>
      </c>
      <c r="K140" s="104">
        <v>40980</v>
      </c>
    </row>
    <row r="141" spans="2:11" s="99" customFormat="1" ht="21" customHeight="1">
      <c r="B141" s="100" t="s">
        <v>229</v>
      </c>
      <c r="C141" s="101" t="s">
        <v>230</v>
      </c>
      <c r="D141" s="101" t="s">
        <v>248</v>
      </c>
      <c r="E141" s="101" t="s">
        <v>282</v>
      </c>
      <c r="F141" s="101"/>
      <c r="G141" s="101" t="s">
        <v>146</v>
      </c>
      <c r="H141" s="101" t="s">
        <v>171</v>
      </c>
      <c r="I141" s="102">
        <v>1.1299999999999999</v>
      </c>
      <c r="J141" s="103">
        <v>41026</v>
      </c>
      <c r="K141" s="104">
        <v>40980</v>
      </c>
    </row>
    <row r="142" spans="2:11" s="99" customFormat="1" ht="21" customHeight="1">
      <c r="B142" s="100" t="s">
        <v>229</v>
      </c>
      <c r="C142" s="101" t="s">
        <v>230</v>
      </c>
      <c r="D142" s="101" t="s">
        <v>248</v>
      </c>
      <c r="E142" s="101" t="s">
        <v>283</v>
      </c>
      <c r="F142" s="101"/>
      <c r="G142" s="101" t="s">
        <v>146</v>
      </c>
      <c r="H142" s="101" t="s">
        <v>171</v>
      </c>
      <c r="I142" s="102">
        <v>1.1299999999999999</v>
      </c>
      <c r="J142" s="103">
        <v>39625</v>
      </c>
      <c r="K142" s="104">
        <v>40980</v>
      </c>
    </row>
    <row r="143" spans="2:11" s="99" customFormat="1" ht="21" customHeight="1">
      <c r="B143" s="100" t="s">
        <v>229</v>
      </c>
      <c r="C143" s="101" t="s">
        <v>230</v>
      </c>
      <c r="D143" s="101" t="s">
        <v>248</v>
      </c>
      <c r="E143" s="101" t="s">
        <v>284</v>
      </c>
      <c r="F143" s="101"/>
      <c r="G143" s="101" t="s">
        <v>146</v>
      </c>
      <c r="H143" s="101" t="s">
        <v>171</v>
      </c>
      <c r="I143" s="102">
        <v>1.1299999999999999</v>
      </c>
      <c r="J143" s="103">
        <v>41027</v>
      </c>
      <c r="K143" s="104">
        <v>40980</v>
      </c>
    </row>
    <row r="144" spans="2:11" s="99" customFormat="1" ht="21" customHeight="1">
      <c r="B144" s="100" t="s">
        <v>229</v>
      </c>
      <c r="C144" s="101" t="s">
        <v>230</v>
      </c>
      <c r="D144" s="101" t="s">
        <v>248</v>
      </c>
      <c r="E144" s="101" t="s">
        <v>285</v>
      </c>
      <c r="F144" s="101"/>
      <c r="G144" s="101" t="s">
        <v>146</v>
      </c>
      <c r="H144" s="101" t="s">
        <v>171</v>
      </c>
      <c r="I144" s="102">
        <v>1.1299999999999999</v>
      </c>
      <c r="J144" s="103">
        <v>41027</v>
      </c>
      <c r="K144" s="104">
        <v>40980</v>
      </c>
    </row>
    <row r="145" spans="2:11" s="99" customFormat="1" ht="21" customHeight="1">
      <c r="B145" s="100" t="s">
        <v>229</v>
      </c>
      <c r="C145" s="101" t="s">
        <v>230</v>
      </c>
      <c r="D145" s="101" t="s">
        <v>246</v>
      </c>
      <c r="E145" s="101" t="s">
        <v>286</v>
      </c>
      <c r="F145" s="101"/>
      <c r="G145" s="101" t="s">
        <v>146</v>
      </c>
      <c r="H145" s="101"/>
      <c r="I145" s="102">
        <v>1.1299999999999999</v>
      </c>
      <c r="J145" s="103">
        <v>37622</v>
      </c>
      <c r="K145" s="104">
        <v>37530</v>
      </c>
    </row>
    <row r="146" spans="2:11" s="99" customFormat="1" ht="21" customHeight="1">
      <c r="B146" s="100" t="s">
        <v>229</v>
      </c>
      <c r="C146" s="101" t="s">
        <v>230</v>
      </c>
      <c r="D146" s="101" t="s">
        <v>246</v>
      </c>
      <c r="E146" s="101" t="s">
        <v>287</v>
      </c>
      <c r="F146" s="101"/>
      <c r="G146" s="101" t="s">
        <v>146</v>
      </c>
      <c r="H146" s="101"/>
      <c r="I146" s="102">
        <v>1.1299999999999999</v>
      </c>
      <c r="J146" s="103">
        <v>37622</v>
      </c>
      <c r="K146" s="104">
        <v>37530</v>
      </c>
    </row>
    <row r="147" spans="2:11" s="99" customFormat="1" ht="21" customHeight="1">
      <c r="B147" s="100" t="s">
        <v>229</v>
      </c>
      <c r="C147" s="101" t="s">
        <v>244</v>
      </c>
      <c r="D147" s="101" t="s">
        <v>248</v>
      </c>
      <c r="E147" s="101" t="s">
        <v>280</v>
      </c>
      <c r="F147" s="101"/>
      <c r="G147" s="101" t="s">
        <v>146</v>
      </c>
      <c r="H147" s="101" t="s">
        <v>171</v>
      </c>
      <c r="I147" s="102">
        <v>1.1299999999999999</v>
      </c>
      <c r="J147" s="103">
        <v>40944</v>
      </c>
      <c r="K147" s="104">
        <v>40980</v>
      </c>
    </row>
    <row r="148" spans="2:11" s="99" customFormat="1" ht="21" customHeight="1">
      <c r="B148" s="100" t="s">
        <v>229</v>
      </c>
      <c r="C148" s="101" t="s">
        <v>244</v>
      </c>
      <c r="D148" s="101" t="s">
        <v>248</v>
      </c>
      <c r="E148" s="101" t="s">
        <v>281</v>
      </c>
      <c r="F148" s="101"/>
      <c r="G148" s="101" t="s">
        <v>146</v>
      </c>
      <c r="H148" s="101" t="s">
        <v>171</v>
      </c>
      <c r="I148" s="102">
        <v>1.1299999999999999</v>
      </c>
      <c r="J148" s="103">
        <v>40944</v>
      </c>
      <c r="K148" s="104">
        <v>40980</v>
      </c>
    </row>
    <row r="149" spans="2:11" s="99" customFormat="1" ht="21" customHeight="1">
      <c r="B149" s="100" t="s">
        <v>229</v>
      </c>
      <c r="C149" s="101" t="s">
        <v>244</v>
      </c>
      <c r="D149" s="101" t="s">
        <v>248</v>
      </c>
      <c r="E149" s="101" t="s">
        <v>282</v>
      </c>
      <c r="F149" s="101"/>
      <c r="G149" s="101" t="s">
        <v>146</v>
      </c>
      <c r="H149" s="101" t="s">
        <v>171</v>
      </c>
      <c r="I149" s="102">
        <v>1.1299999999999999</v>
      </c>
      <c r="J149" s="103">
        <v>40944</v>
      </c>
      <c r="K149" s="104">
        <v>40980</v>
      </c>
    </row>
    <row r="150" spans="2:11" s="99" customFormat="1" ht="21" customHeight="1">
      <c r="B150" s="100" t="s">
        <v>229</v>
      </c>
      <c r="C150" s="101" t="s">
        <v>244</v>
      </c>
      <c r="D150" s="101" t="s">
        <v>248</v>
      </c>
      <c r="E150" s="101" t="s">
        <v>283</v>
      </c>
      <c r="F150" s="101"/>
      <c r="G150" s="101" t="s">
        <v>146</v>
      </c>
      <c r="H150" s="101" t="s">
        <v>171</v>
      </c>
      <c r="I150" s="102">
        <v>1.1299999999999999</v>
      </c>
      <c r="J150" s="103">
        <v>40944</v>
      </c>
      <c r="K150" s="104">
        <v>40980</v>
      </c>
    </row>
    <row r="151" spans="2:11" s="99" customFormat="1" ht="21" customHeight="1">
      <c r="B151" s="100" t="s">
        <v>229</v>
      </c>
      <c r="C151" s="101" t="s">
        <v>244</v>
      </c>
      <c r="D151" s="101" t="s">
        <v>248</v>
      </c>
      <c r="E151" s="101" t="s">
        <v>284</v>
      </c>
      <c r="F151" s="101"/>
      <c r="G151" s="101" t="s">
        <v>146</v>
      </c>
      <c r="H151" s="101" t="s">
        <v>171</v>
      </c>
      <c r="I151" s="102">
        <v>1.1299999999999999</v>
      </c>
      <c r="J151" s="103">
        <v>40944</v>
      </c>
      <c r="K151" s="104">
        <v>40980</v>
      </c>
    </row>
    <row r="152" spans="2:11" s="99" customFormat="1" ht="21" customHeight="1">
      <c r="B152" s="100" t="s">
        <v>229</v>
      </c>
      <c r="C152" s="101" t="s">
        <v>244</v>
      </c>
      <c r="D152" s="101" t="s">
        <v>248</v>
      </c>
      <c r="E152" s="101" t="s">
        <v>285</v>
      </c>
      <c r="F152" s="101"/>
      <c r="G152" s="101" t="s">
        <v>146</v>
      </c>
      <c r="H152" s="101" t="s">
        <v>171</v>
      </c>
      <c r="I152" s="102">
        <v>1.1299999999999999</v>
      </c>
      <c r="J152" s="103">
        <v>40944</v>
      </c>
      <c r="K152" s="104">
        <v>40980</v>
      </c>
    </row>
    <row r="153" spans="2:11" s="99" customFormat="1" ht="21" customHeight="1">
      <c r="B153" s="100" t="s">
        <v>229</v>
      </c>
      <c r="C153" s="101" t="s">
        <v>273</v>
      </c>
      <c r="D153" s="101" t="s">
        <v>248</v>
      </c>
      <c r="E153" s="101" t="s">
        <v>288</v>
      </c>
      <c r="F153" s="101"/>
      <c r="G153" s="101" t="s">
        <v>146</v>
      </c>
      <c r="H153" s="101" t="s">
        <v>171</v>
      </c>
      <c r="I153" s="102">
        <v>1.1299999999999999</v>
      </c>
      <c r="J153" s="103">
        <v>40759</v>
      </c>
      <c r="K153" s="104">
        <v>40980</v>
      </c>
    </row>
    <row r="154" spans="2:11" s="99" customFormat="1" ht="21" customHeight="1">
      <c r="B154" s="100" t="s">
        <v>229</v>
      </c>
      <c r="C154" s="101" t="s">
        <v>273</v>
      </c>
      <c r="D154" s="101" t="s">
        <v>248</v>
      </c>
      <c r="E154" s="101" t="s">
        <v>289</v>
      </c>
      <c r="F154" s="101"/>
      <c r="G154" s="101" t="s">
        <v>146</v>
      </c>
      <c r="H154" s="101" t="s">
        <v>171</v>
      </c>
      <c r="I154" s="102">
        <v>1.1299999999999999</v>
      </c>
      <c r="J154" s="103">
        <v>40578</v>
      </c>
      <c r="K154" s="104">
        <v>40980</v>
      </c>
    </row>
    <row r="155" spans="2:11" s="99" customFormat="1" ht="21" customHeight="1">
      <c r="B155" s="100" t="s">
        <v>229</v>
      </c>
      <c r="C155" s="101" t="s">
        <v>273</v>
      </c>
      <c r="D155" s="101" t="s">
        <v>248</v>
      </c>
      <c r="E155" s="101" t="s">
        <v>290</v>
      </c>
      <c r="F155" s="101"/>
      <c r="G155" s="101" t="s">
        <v>146</v>
      </c>
      <c r="H155" s="101" t="s">
        <v>171</v>
      </c>
      <c r="I155" s="102">
        <v>1.1299999999999999</v>
      </c>
      <c r="J155" s="103">
        <v>41025</v>
      </c>
      <c r="K155" s="104">
        <v>40980</v>
      </c>
    </row>
    <row r="156" spans="2:11" s="99" customFormat="1" ht="21" customHeight="1">
      <c r="B156" s="100" t="s">
        <v>229</v>
      </c>
      <c r="C156" s="101" t="s">
        <v>273</v>
      </c>
      <c r="D156" s="101" t="s">
        <v>248</v>
      </c>
      <c r="E156" s="101" t="s">
        <v>291</v>
      </c>
      <c r="F156" s="101"/>
      <c r="G156" s="101" t="s">
        <v>146</v>
      </c>
      <c r="H156" s="101" t="s">
        <v>171</v>
      </c>
      <c r="I156" s="102">
        <v>1.1299999999999999</v>
      </c>
      <c r="J156" s="103">
        <v>40728</v>
      </c>
      <c r="K156" s="104">
        <v>40980</v>
      </c>
    </row>
    <row r="157" spans="2:11" s="99" customFormat="1" ht="21" customHeight="1">
      <c r="B157" s="100" t="s">
        <v>229</v>
      </c>
      <c r="C157" s="101" t="s">
        <v>273</v>
      </c>
      <c r="D157" s="101" t="s">
        <v>248</v>
      </c>
      <c r="E157" s="101" t="s">
        <v>292</v>
      </c>
      <c r="F157" s="101"/>
      <c r="G157" s="101" t="s">
        <v>146</v>
      </c>
      <c r="H157" s="101" t="s">
        <v>171</v>
      </c>
      <c r="I157" s="102">
        <v>1.1299999999999999</v>
      </c>
      <c r="J157" s="103">
        <v>41026</v>
      </c>
      <c r="K157" s="104">
        <v>40980</v>
      </c>
    </row>
    <row r="158" spans="2:11" s="99" customFormat="1" ht="21" customHeight="1">
      <c r="B158" s="100" t="s">
        <v>229</v>
      </c>
      <c r="C158" s="101" t="s">
        <v>273</v>
      </c>
      <c r="D158" s="101" t="s">
        <v>248</v>
      </c>
      <c r="E158" s="101" t="s">
        <v>293</v>
      </c>
      <c r="F158" s="101"/>
      <c r="G158" s="101" t="s">
        <v>146</v>
      </c>
      <c r="H158" s="101" t="s">
        <v>171</v>
      </c>
      <c r="I158" s="102">
        <v>1.1299999999999999</v>
      </c>
      <c r="J158" s="103">
        <v>41027</v>
      </c>
      <c r="K158" s="104">
        <v>40980</v>
      </c>
    </row>
    <row r="159" spans="2:11" s="99" customFormat="1" ht="21" customHeight="1">
      <c r="B159" s="100" t="s">
        <v>229</v>
      </c>
      <c r="C159" s="101" t="s">
        <v>273</v>
      </c>
      <c r="D159" s="101" t="s">
        <v>235</v>
      </c>
      <c r="E159" s="101" t="s">
        <v>294</v>
      </c>
      <c r="F159" s="101"/>
      <c r="G159" s="101" t="s">
        <v>146</v>
      </c>
      <c r="H159" s="101" t="s">
        <v>171</v>
      </c>
      <c r="I159" s="102">
        <v>1.1299999999999999</v>
      </c>
      <c r="J159" s="103">
        <v>40973</v>
      </c>
      <c r="K159" s="104">
        <v>40980</v>
      </c>
    </row>
    <row r="160" spans="2:11" s="99" customFormat="1" ht="21" customHeight="1">
      <c r="B160" s="100" t="s">
        <v>229</v>
      </c>
      <c r="C160" s="101" t="s">
        <v>273</v>
      </c>
      <c r="D160" s="101" t="s">
        <v>235</v>
      </c>
      <c r="E160" s="101" t="s">
        <v>295</v>
      </c>
      <c r="F160" s="101"/>
      <c r="G160" s="101" t="s">
        <v>146</v>
      </c>
      <c r="H160" s="101" t="s">
        <v>171</v>
      </c>
      <c r="I160" s="102">
        <v>1.1299999999999999</v>
      </c>
      <c r="J160" s="103">
        <v>40944</v>
      </c>
      <c r="K160" s="104">
        <v>40980</v>
      </c>
    </row>
    <row r="161" spans="2:11" s="99" customFormat="1" ht="21" customHeight="1">
      <c r="B161" s="100" t="s">
        <v>229</v>
      </c>
      <c r="C161" s="101" t="s">
        <v>245</v>
      </c>
      <c r="D161" s="101" t="s">
        <v>248</v>
      </c>
      <c r="E161" s="101" t="s">
        <v>280</v>
      </c>
      <c r="F161" s="101"/>
      <c r="G161" s="101" t="s">
        <v>146</v>
      </c>
      <c r="H161" s="101" t="s">
        <v>171</v>
      </c>
      <c r="I161" s="102">
        <v>1.1299999999999999</v>
      </c>
      <c r="J161" s="103">
        <v>41027</v>
      </c>
      <c r="K161" s="104">
        <v>40980</v>
      </c>
    </row>
    <row r="162" spans="2:11" s="99" customFormat="1" ht="21" customHeight="1">
      <c r="B162" s="100" t="s">
        <v>229</v>
      </c>
      <c r="C162" s="101" t="s">
        <v>245</v>
      </c>
      <c r="D162" s="101" t="s">
        <v>248</v>
      </c>
      <c r="E162" s="101" t="s">
        <v>281</v>
      </c>
      <c r="F162" s="101"/>
      <c r="G162" s="101" t="s">
        <v>146</v>
      </c>
      <c r="H162" s="101" t="s">
        <v>171</v>
      </c>
      <c r="I162" s="102">
        <v>1.1299999999999999</v>
      </c>
      <c r="J162" s="103">
        <v>41027</v>
      </c>
      <c r="K162" s="104">
        <v>40980</v>
      </c>
    </row>
    <row r="163" spans="2:11" s="99" customFormat="1" ht="21" customHeight="1">
      <c r="B163" s="100" t="s">
        <v>229</v>
      </c>
      <c r="C163" s="101" t="s">
        <v>245</v>
      </c>
      <c r="D163" s="101" t="s">
        <v>248</v>
      </c>
      <c r="E163" s="101" t="s">
        <v>282</v>
      </c>
      <c r="F163" s="101"/>
      <c r="G163" s="101" t="s">
        <v>146</v>
      </c>
      <c r="H163" s="101" t="s">
        <v>171</v>
      </c>
      <c r="I163" s="102">
        <v>1.1299999999999999</v>
      </c>
      <c r="J163" s="103">
        <v>41027</v>
      </c>
      <c r="K163" s="104">
        <v>40980</v>
      </c>
    </row>
    <row r="164" spans="2:11" s="99" customFormat="1" ht="21" customHeight="1">
      <c r="B164" s="100" t="s">
        <v>229</v>
      </c>
      <c r="C164" s="101" t="s">
        <v>245</v>
      </c>
      <c r="D164" s="101" t="s">
        <v>248</v>
      </c>
      <c r="E164" s="101" t="s">
        <v>283</v>
      </c>
      <c r="F164" s="101"/>
      <c r="G164" s="101" t="s">
        <v>146</v>
      </c>
      <c r="H164" s="101" t="s">
        <v>171</v>
      </c>
      <c r="I164" s="102">
        <v>1.1299999999999999</v>
      </c>
      <c r="J164" s="103">
        <v>41027</v>
      </c>
      <c r="K164" s="104">
        <v>40980</v>
      </c>
    </row>
    <row r="165" spans="2:11" s="99" customFormat="1" ht="21" customHeight="1">
      <c r="B165" s="100" t="s">
        <v>229</v>
      </c>
      <c r="C165" s="101" t="s">
        <v>245</v>
      </c>
      <c r="D165" s="101" t="s">
        <v>248</v>
      </c>
      <c r="E165" s="101" t="s">
        <v>284</v>
      </c>
      <c r="F165" s="101"/>
      <c r="G165" s="101" t="s">
        <v>146</v>
      </c>
      <c r="H165" s="101" t="s">
        <v>171</v>
      </c>
      <c r="I165" s="102">
        <v>1.1299999999999999</v>
      </c>
      <c r="J165" s="103">
        <v>41027</v>
      </c>
      <c r="K165" s="104">
        <v>40980</v>
      </c>
    </row>
    <row r="166" spans="2:11" s="99" customFormat="1" ht="21" customHeight="1">
      <c r="B166" s="100" t="s">
        <v>229</v>
      </c>
      <c r="C166" s="101" t="s">
        <v>245</v>
      </c>
      <c r="D166" s="101" t="s">
        <v>248</v>
      </c>
      <c r="E166" s="101" t="s">
        <v>285</v>
      </c>
      <c r="F166" s="101"/>
      <c r="G166" s="101" t="s">
        <v>146</v>
      </c>
      <c r="H166" s="101" t="s">
        <v>171</v>
      </c>
      <c r="I166" s="102">
        <v>1.1299999999999999</v>
      </c>
      <c r="J166" s="103">
        <v>41027</v>
      </c>
      <c r="K166" s="104">
        <v>40980</v>
      </c>
    </row>
    <row r="167" spans="2:11" s="99" customFormat="1" ht="21" customHeight="1">
      <c r="B167" s="100" t="s">
        <v>229</v>
      </c>
      <c r="C167" s="101" t="s">
        <v>273</v>
      </c>
      <c r="D167" s="101" t="s">
        <v>235</v>
      </c>
      <c r="E167" s="101" t="s">
        <v>296</v>
      </c>
      <c r="F167" s="101"/>
      <c r="G167" s="101" t="s">
        <v>146</v>
      </c>
      <c r="H167" s="101" t="s">
        <v>171</v>
      </c>
      <c r="I167" s="102">
        <v>1.1499999999999999</v>
      </c>
      <c r="J167" s="103">
        <v>41029</v>
      </c>
      <c r="K167" s="104">
        <v>40980</v>
      </c>
    </row>
    <row r="168" spans="2:11" s="99" customFormat="1" ht="21" customHeight="1">
      <c r="B168" s="100" t="s">
        <v>229</v>
      </c>
      <c r="C168" s="101" t="s">
        <v>273</v>
      </c>
      <c r="D168" s="101" t="s">
        <v>235</v>
      </c>
      <c r="E168" s="101" t="s">
        <v>297</v>
      </c>
      <c r="F168" s="101"/>
      <c r="G168" s="101" t="s">
        <v>146</v>
      </c>
      <c r="H168" s="101" t="s">
        <v>171</v>
      </c>
      <c r="I168" s="102">
        <v>1.1499999999999999</v>
      </c>
      <c r="J168" s="103">
        <v>41028</v>
      </c>
      <c r="K168" s="104">
        <v>40980</v>
      </c>
    </row>
    <row r="169" spans="2:11" s="99" customFormat="1" ht="21" customHeight="1">
      <c r="B169" s="100" t="s">
        <v>229</v>
      </c>
      <c r="C169" s="101" t="s">
        <v>273</v>
      </c>
      <c r="D169" s="101" t="s">
        <v>248</v>
      </c>
      <c r="E169" s="101" t="s">
        <v>298</v>
      </c>
      <c r="F169" s="101"/>
      <c r="G169" s="101" t="s">
        <v>146</v>
      </c>
      <c r="H169" s="101" t="s">
        <v>171</v>
      </c>
      <c r="I169" s="102">
        <v>1.1599999999999999</v>
      </c>
      <c r="J169" s="103">
        <v>40667</v>
      </c>
      <c r="K169" s="104">
        <v>40980</v>
      </c>
    </row>
    <row r="170" spans="2:11" s="99" customFormat="1" ht="21" customHeight="1">
      <c r="B170" s="100" t="s">
        <v>299</v>
      </c>
      <c r="C170" s="101" t="s">
        <v>300</v>
      </c>
      <c r="D170" s="101" t="s">
        <v>301</v>
      </c>
      <c r="E170" s="101" t="s">
        <v>301</v>
      </c>
      <c r="F170" s="101"/>
      <c r="G170" s="101" t="s">
        <v>146</v>
      </c>
      <c r="H170" s="101" t="s">
        <v>173</v>
      </c>
      <c r="I170" s="102">
        <v>0.93</v>
      </c>
      <c r="J170" s="103">
        <v>40885</v>
      </c>
      <c r="K170" s="104">
        <v>41085</v>
      </c>
    </row>
    <row r="171" spans="2:11" s="99" customFormat="1" ht="21" customHeight="1">
      <c r="B171" s="100" t="s">
        <v>302</v>
      </c>
      <c r="C171" s="101" t="s">
        <v>303</v>
      </c>
      <c r="D171" s="101" t="s">
        <v>304</v>
      </c>
      <c r="E171" s="101" t="s">
        <v>305</v>
      </c>
      <c r="F171" s="101"/>
      <c r="G171" s="101" t="s">
        <v>164</v>
      </c>
      <c r="H171" s="101"/>
      <c r="I171" s="102">
        <v>0.153</v>
      </c>
      <c r="J171" s="103"/>
      <c r="K171" s="104">
        <v>39923</v>
      </c>
    </row>
    <row r="172" spans="2:11" s="99" customFormat="1" ht="21" customHeight="1">
      <c r="B172" s="100" t="s">
        <v>302</v>
      </c>
      <c r="C172" s="101" t="s">
        <v>303</v>
      </c>
      <c r="D172" s="101" t="s">
        <v>306</v>
      </c>
      <c r="E172" s="101" t="s">
        <v>307</v>
      </c>
      <c r="F172" s="101"/>
      <c r="G172" s="101" t="s">
        <v>164</v>
      </c>
      <c r="H172" s="101"/>
      <c r="I172" s="102">
        <v>0.153</v>
      </c>
      <c r="J172" s="103">
        <v>39923</v>
      </c>
      <c r="K172" s="104">
        <v>39923</v>
      </c>
    </row>
    <row r="173" spans="2:11" s="99" customFormat="1" ht="21" customHeight="1">
      <c r="B173" s="100" t="s">
        <v>302</v>
      </c>
      <c r="C173" s="101" t="s">
        <v>303</v>
      </c>
      <c r="D173" s="101" t="s">
        <v>304</v>
      </c>
      <c r="E173" s="101" t="s">
        <v>308</v>
      </c>
      <c r="F173" s="101"/>
      <c r="G173" s="101" t="s">
        <v>164</v>
      </c>
      <c r="H173" s="101"/>
      <c r="I173" s="102">
        <v>0.155</v>
      </c>
      <c r="J173" s="103"/>
      <c r="K173" s="104">
        <v>39923</v>
      </c>
    </row>
    <row r="174" spans="2:11" s="99" customFormat="1" ht="21" customHeight="1">
      <c r="B174" s="100" t="s">
        <v>302</v>
      </c>
      <c r="C174" s="101" t="s">
        <v>303</v>
      </c>
      <c r="D174" s="101" t="s">
        <v>306</v>
      </c>
      <c r="E174" s="101" t="s">
        <v>309</v>
      </c>
      <c r="F174" s="101"/>
      <c r="G174" s="101" t="s">
        <v>164</v>
      </c>
      <c r="H174" s="101"/>
      <c r="I174" s="102">
        <v>0.155</v>
      </c>
      <c r="J174" s="103"/>
      <c r="K174" s="104">
        <v>39923</v>
      </c>
    </row>
    <row r="175" spans="2:11" s="99" customFormat="1" ht="21" customHeight="1">
      <c r="B175" s="100" t="s">
        <v>302</v>
      </c>
      <c r="C175" s="101" t="s">
        <v>303</v>
      </c>
      <c r="D175" s="101" t="s">
        <v>304</v>
      </c>
      <c r="E175" s="101" t="s">
        <v>310</v>
      </c>
      <c r="F175" s="101"/>
      <c r="G175" s="101" t="s">
        <v>164</v>
      </c>
      <c r="H175" s="101"/>
      <c r="I175" s="102">
        <v>0.156</v>
      </c>
      <c r="J175" s="103"/>
      <c r="K175" s="104">
        <v>39923</v>
      </c>
    </row>
    <row r="176" spans="2:11" s="99" customFormat="1" ht="21" customHeight="1">
      <c r="B176" s="100" t="s">
        <v>302</v>
      </c>
      <c r="C176" s="101" t="s">
        <v>303</v>
      </c>
      <c r="D176" s="101" t="s">
        <v>306</v>
      </c>
      <c r="E176" s="101" t="s">
        <v>311</v>
      </c>
      <c r="F176" s="101"/>
      <c r="G176" s="101" t="s">
        <v>164</v>
      </c>
      <c r="H176" s="101"/>
      <c r="I176" s="102">
        <v>0.156</v>
      </c>
      <c r="J176" s="103"/>
      <c r="K176" s="104">
        <v>39923</v>
      </c>
    </row>
    <row r="177" spans="2:11" s="99" customFormat="1" ht="21" customHeight="1">
      <c r="B177" s="100" t="s">
        <v>302</v>
      </c>
      <c r="C177" s="101" t="s">
        <v>303</v>
      </c>
      <c r="D177" s="101" t="s">
        <v>304</v>
      </c>
      <c r="E177" s="101" t="s">
        <v>312</v>
      </c>
      <c r="F177" s="101"/>
      <c r="G177" s="101" t="s">
        <v>146</v>
      </c>
      <c r="H177" s="101"/>
      <c r="I177" s="102">
        <v>1.0129999999999999</v>
      </c>
      <c r="J177" s="103"/>
      <c r="K177" s="104">
        <v>39967</v>
      </c>
    </row>
    <row r="178" spans="2:11" s="99" customFormat="1" ht="21" customHeight="1">
      <c r="B178" s="100" t="s">
        <v>302</v>
      </c>
      <c r="C178" s="101" t="s">
        <v>303</v>
      </c>
      <c r="D178" s="101" t="s">
        <v>306</v>
      </c>
      <c r="E178" s="101" t="s">
        <v>313</v>
      </c>
      <c r="F178" s="101"/>
      <c r="G178" s="101" t="s">
        <v>146</v>
      </c>
      <c r="H178" s="101"/>
      <c r="I178" s="102">
        <v>1.0129999999999999</v>
      </c>
      <c r="J178" s="103"/>
      <c r="K178" s="104">
        <v>39967</v>
      </c>
    </row>
    <row r="179" spans="2:11" s="99" customFormat="1" ht="21" customHeight="1">
      <c r="B179" s="100" t="s">
        <v>302</v>
      </c>
      <c r="C179" s="101" t="s">
        <v>303</v>
      </c>
      <c r="D179" s="101" t="s">
        <v>314</v>
      </c>
      <c r="E179" s="101" t="s">
        <v>315</v>
      </c>
      <c r="F179" s="101"/>
      <c r="G179" s="101" t="s">
        <v>146</v>
      </c>
      <c r="H179" s="101"/>
      <c r="I179" s="102">
        <v>1.097</v>
      </c>
      <c r="J179" s="103"/>
      <c r="K179" s="104">
        <v>40463</v>
      </c>
    </row>
    <row r="180" spans="2:11" s="99" customFormat="1" ht="21" customHeight="1">
      <c r="B180" s="100" t="s">
        <v>302</v>
      </c>
      <c r="C180" s="101" t="s">
        <v>303</v>
      </c>
      <c r="D180" s="101" t="s">
        <v>304</v>
      </c>
      <c r="E180" s="101" t="s">
        <v>316</v>
      </c>
      <c r="F180" s="101"/>
      <c r="G180" s="101" t="s">
        <v>146</v>
      </c>
      <c r="H180" s="101"/>
      <c r="I180" s="102">
        <v>1.145</v>
      </c>
      <c r="J180" s="103"/>
      <c r="K180" s="104">
        <v>39967</v>
      </c>
    </row>
    <row r="181" spans="2:11" s="99" customFormat="1" ht="21" customHeight="1">
      <c r="B181" s="100" t="s">
        <v>302</v>
      </c>
      <c r="C181" s="101" t="s">
        <v>303</v>
      </c>
      <c r="D181" s="101" t="s">
        <v>306</v>
      </c>
      <c r="E181" s="101" t="s">
        <v>317</v>
      </c>
      <c r="F181" s="101"/>
      <c r="G181" s="101" t="s">
        <v>146</v>
      </c>
      <c r="H181" s="101"/>
      <c r="I181" s="102">
        <v>1.145</v>
      </c>
      <c r="J181" s="103"/>
      <c r="K181" s="104">
        <v>39967</v>
      </c>
    </row>
    <row r="182" spans="2:11" s="99" customFormat="1" ht="21" customHeight="1">
      <c r="B182" s="100" t="s">
        <v>302</v>
      </c>
      <c r="C182" s="101" t="s">
        <v>303</v>
      </c>
      <c r="D182" s="101" t="s">
        <v>304</v>
      </c>
      <c r="E182" s="101" t="s">
        <v>318</v>
      </c>
      <c r="F182" s="101"/>
      <c r="G182" s="101" t="s">
        <v>146</v>
      </c>
      <c r="H182" s="101"/>
      <c r="I182" s="102">
        <v>1.1890000000000001</v>
      </c>
      <c r="J182" s="103"/>
      <c r="K182" s="104">
        <v>39967</v>
      </c>
    </row>
    <row r="183" spans="2:11" s="99" customFormat="1" ht="21" customHeight="1">
      <c r="B183" s="100" t="s">
        <v>302</v>
      </c>
      <c r="C183" s="101" t="s">
        <v>303</v>
      </c>
      <c r="D183" s="101" t="s">
        <v>306</v>
      </c>
      <c r="E183" s="101" t="s">
        <v>319</v>
      </c>
      <c r="F183" s="101"/>
      <c r="G183" s="101" t="s">
        <v>146</v>
      </c>
      <c r="H183" s="101"/>
      <c r="I183" s="102">
        <v>1.1890000000000001</v>
      </c>
      <c r="J183" s="103"/>
      <c r="K183" s="104">
        <v>39967</v>
      </c>
    </row>
    <row r="184" spans="2:11" s="99" customFormat="1" ht="21" customHeight="1">
      <c r="B184" s="100" t="s">
        <v>320</v>
      </c>
      <c r="C184" s="101" t="s">
        <v>321</v>
      </c>
      <c r="D184" s="101"/>
      <c r="E184" s="101" t="s">
        <v>322</v>
      </c>
      <c r="F184" s="101"/>
      <c r="G184" s="101" t="s">
        <v>146</v>
      </c>
      <c r="H184" s="101"/>
      <c r="I184" s="102">
        <v>1.1499999999999999</v>
      </c>
      <c r="J184" s="103">
        <v>40452</v>
      </c>
      <c r="K184" s="104">
        <v>40353</v>
      </c>
    </row>
    <row r="185" spans="2:11" s="99" customFormat="1" ht="21" customHeight="1">
      <c r="B185" s="100" t="s">
        <v>320</v>
      </c>
      <c r="C185" s="101" t="s">
        <v>323</v>
      </c>
      <c r="D185" s="101" t="s">
        <v>324</v>
      </c>
      <c r="E185" s="101" t="s">
        <v>325</v>
      </c>
      <c r="F185" s="101"/>
      <c r="G185" s="101" t="s">
        <v>146</v>
      </c>
      <c r="H185" s="101"/>
      <c r="I185" s="102">
        <v>1.1779999999999999</v>
      </c>
      <c r="J185" s="103">
        <v>40513</v>
      </c>
      <c r="K185" s="104">
        <v>40561</v>
      </c>
    </row>
    <row r="186" spans="2:11" s="99" customFormat="1" ht="21" customHeight="1">
      <c r="B186" s="100" t="s">
        <v>320</v>
      </c>
      <c r="C186" s="101" t="s">
        <v>323</v>
      </c>
      <c r="D186" s="101" t="s">
        <v>324</v>
      </c>
      <c r="E186" s="101" t="s">
        <v>326</v>
      </c>
      <c r="F186" s="101"/>
      <c r="G186" s="101" t="s">
        <v>146</v>
      </c>
      <c r="H186" s="101"/>
      <c r="I186" s="102">
        <v>1.18</v>
      </c>
      <c r="J186" s="103">
        <v>40513</v>
      </c>
      <c r="K186" s="104">
        <v>40561</v>
      </c>
    </row>
    <row r="187" spans="2:11" s="99" customFormat="1" ht="21" customHeight="1">
      <c r="B187" s="100" t="s">
        <v>327</v>
      </c>
      <c r="C187" s="101" t="s">
        <v>323</v>
      </c>
      <c r="D187" s="101" t="s">
        <v>324</v>
      </c>
      <c r="E187" s="101" t="s">
        <v>328</v>
      </c>
      <c r="F187" s="101"/>
      <c r="G187" s="101" t="s">
        <v>164</v>
      </c>
      <c r="H187" s="101"/>
      <c r="I187" s="102">
        <v>0.16</v>
      </c>
      <c r="J187" s="103">
        <v>39203</v>
      </c>
      <c r="K187" s="104">
        <v>39141</v>
      </c>
    </row>
    <row r="188" spans="2:11" s="99" customFormat="1" ht="21" customHeight="1">
      <c r="B188" s="100" t="s">
        <v>327</v>
      </c>
      <c r="C188" s="101" t="s">
        <v>329</v>
      </c>
      <c r="D188" s="101" t="s">
        <v>330</v>
      </c>
      <c r="E188" s="101" t="s">
        <v>331</v>
      </c>
      <c r="F188" s="101"/>
      <c r="G188" s="101" t="s">
        <v>146</v>
      </c>
      <c r="H188" s="101"/>
      <c r="I188" s="102">
        <v>1.04</v>
      </c>
      <c r="J188" s="103">
        <v>39600</v>
      </c>
      <c r="K188" s="104">
        <v>39552</v>
      </c>
    </row>
    <row r="189" spans="2:11" s="99" customFormat="1" ht="21" customHeight="1">
      <c r="B189" s="100" t="s">
        <v>327</v>
      </c>
      <c r="C189" s="101" t="s">
        <v>323</v>
      </c>
      <c r="D189" s="101" t="s">
        <v>324</v>
      </c>
      <c r="E189" s="101" t="s">
        <v>326</v>
      </c>
      <c r="F189" s="101"/>
      <c r="G189" s="101" t="s">
        <v>146</v>
      </c>
      <c r="H189" s="101"/>
      <c r="I189" s="102">
        <v>1.08</v>
      </c>
      <c r="J189" s="103">
        <v>39387</v>
      </c>
      <c r="K189" s="104">
        <v>39316</v>
      </c>
    </row>
    <row r="190" spans="2:11" s="99" customFormat="1" ht="21" customHeight="1">
      <c r="B190" s="100" t="s">
        <v>327</v>
      </c>
      <c r="C190" s="101" t="s">
        <v>321</v>
      </c>
      <c r="D190" s="101" t="s">
        <v>332</v>
      </c>
      <c r="E190" s="101" t="s">
        <v>333</v>
      </c>
      <c r="F190" s="101"/>
      <c r="G190" s="101" t="s">
        <v>146</v>
      </c>
      <c r="H190" s="101"/>
      <c r="I190" s="102">
        <v>1.1599999999999999</v>
      </c>
      <c r="J190" s="103">
        <v>39387</v>
      </c>
      <c r="K190" s="104">
        <v>39316</v>
      </c>
    </row>
    <row r="191" spans="2:11" s="99" customFormat="1" ht="21" customHeight="1">
      <c r="B191" s="100" t="s">
        <v>334</v>
      </c>
      <c r="C191" s="101" t="s">
        <v>335</v>
      </c>
      <c r="D191" s="101" t="s">
        <v>336</v>
      </c>
      <c r="E191" s="101" t="s">
        <v>337</v>
      </c>
      <c r="F191" s="101"/>
      <c r="G191" s="101" t="s">
        <v>146</v>
      </c>
      <c r="H191" s="101" t="s">
        <v>171</v>
      </c>
      <c r="I191" s="102">
        <v>0.15</v>
      </c>
      <c r="J191" s="103">
        <v>40909</v>
      </c>
      <c r="K191" s="104">
        <v>41008</v>
      </c>
    </row>
    <row r="192" spans="2:11" s="99" customFormat="1" ht="21" customHeight="1">
      <c r="B192" s="100" t="s">
        <v>334</v>
      </c>
      <c r="C192" s="101" t="s">
        <v>338</v>
      </c>
      <c r="D192" s="101"/>
      <c r="E192" s="101" t="s">
        <v>339</v>
      </c>
      <c r="F192" s="101"/>
      <c r="G192" s="101" t="s">
        <v>164</v>
      </c>
      <c r="H192" s="101"/>
      <c r="I192" s="102">
        <v>0.1515</v>
      </c>
      <c r="J192" s="103">
        <v>39217</v>
      </c>
      <c r="K192" s="104">
        <v>39204</v>
      </c>
    </row>
    <row r="193" spans="2:11" s="99" customFormat="1" ht="21" customHeight="1">
      <c r="B193" s="100" t="s">
        <v>334</v>
      </c>
      <c r="C193" s="101" t="s">
        <v>338</v>
      </c>
      <c r="D193" s="101"/>
      <c r="E193" s="101" t="s">
        <v>340</v>
      </c>
      <c r="F193" s="101"/>
      <c r="G193" s="101" t="s">
        <v>164</v>
      </c>
      <c r="H193" s="101"/>
      <c r="I193" s="102">
        <v>0.15720000000000001</v>
      </c>
      <c r="J193" s="103">
        <v>39217</v>
      </c>
      <c r="K193" s="104">
        <v>39204</v>
      </c>
    </row>
    <row r="194" spans="2:11" s="99" customFormat="1" ht="21" customHeight="1">
      <c r="B194" s="100" t="s">
        <v>334</v>
      </c>
      <c r="C194" s="101" t="s">
        <v>341</v>
      </c>
      <c r="D194" s="101"/>
      <c r="E194" s="101" t="s">
        <v>342</v>
      </c>
      <c r="F194" s="101"/>
      <c r="G194" s="101" t="s">
        <v>164</v>
      </c>
      <c r="H194" s="101"/>
      <c r="I194" s="102">
        <v>0.159</v>
      </c>
      <c r="J194" s="103">
        <v>39258</v>
      </c>
      <c r="K194" s="104">
        <v>39258</v>
      </c>
    </row>
    <row r="195" spans="2:11" s="99" customFormat="1" ht="21" customHeight="1">
      <c r="B195" s="100" t="s">
        <v>334</v>
      </c>
      <c r="C195" s="101" t="s">
        <v>335</v>
      </c>
      <c r="D195" s="101" t="s">
        <v>336</v>
      </c>
      <c r="E195" s="101" t="s">
        <v>343</v>
      </c>
      <c r="F195" s="101"/>
      <c r="G195" s="101" t="s">
        <v>146</v>
      </c>
      <c r="H195" s="101" t="s">
        <v>171</v>
      </c>
      <c r="I195" s="102">
        <v>0.17</v>
      </c>
      <c r="J195" s="103">
        <v>40909</v>
      </c>
      <c r="K195" s="104">
        <v>41008</v>
      </c>
    </row>
    <row r="196" spans="2:11" s="99" customFormat="1" ht="21" customHeight="1">
      <c r="B196" s="100" t="s">
        <v>334</v>
      </c>
      <c r="C196" s="101" t="s">
        <v>344</v>
      </c>
      <c r="D196" s="101" t="s">
        <v>336</v>
      </c>
      <c r="E196" s="101" t="s">
        <v>345</v>
      </c>
      <c r="F196" s="101"/>
      <c r="G196" s="101" t="s">
        <v>146</v>
      </c>
      <c r="H196" s="101" t="s">
        <v>171</v>
      </c>
      <c r="I196" s="102">
        <v>0.19</v>
      </c>
      <c r="J196" s="103">
        <v>40994</v>
      </c>
      <c r="K196" s="104">
        <v>41008</v>
      </c>
    </row>
    <row r="197" spans="2:11" s="99" customFormat="1" ht="21" customHeight="1">
      <c r="B197" s="100" t="s">
        <v>334</v>
      </c>
      <c r="C197" s="101" t="s">
        <v>344</v>
      </c>
      <c r="D197" s="101" t="s">
        <v>336</v>
      </c>
      <c r="E197" s="101" t="s">
        <v>346</v>
      </c>
      <c r="F197" s="101"/>
      <c r="G197" s="101" t="s">
        <v>146</v>
      </c>
      <c r="H197" s="101" t="s">
        <v>171</v>
      </c>
      <c r="I197" s="102">
        <v>0.19</v>
      </c>
      <c r="J197" s="103">
        <v>40862</v>
      </c>
      <c r="K197" s="104">
        <v>40900</v>
      </c>
    </row>
    <row r="198" spans="2:11" s="99" customFormat="1" ht="21" customHeight="1">
      <c r="B198" s="100" t="s">
        <v>334</v>
      </c>
      <c r="C198" s="101" t="s">
        <v>338</v>
      </c>
      <c r="D198" s="101"/>
      <c r="E198" s="101" t="s">
        <v>347</v>
      </c>
      <c r="F198" s="101"/>
      <c r="G198" s="101" t="s">
        <v>146</v>
      </c>
      <c r="H198" s="101"/>
      <c r="I198" s="102">
        <v>0.31109999999999999</v>
      </c>
      <c r="J198" s="103">
        <v>39258</v>
      </c>
      <c r="K198" s="104">
        <v>39258</v>
      </c>
    </row>
    <row r="199" spans="2:11" s="99" customFormat="1" ht="21" customHeight="1">
      <c r="B199" s="100" t="s">
        <v>334</v>
      </c>
      <c r="C199" s="101" t="s">
        <v>348</v>
      </c>
      <c r="D199" s="101"/>
      <c r="E199" s="101" t="s">
        <v>349</v>
      </c>
      <c r="F199" s="101"/>
      <c r="G199" s="101" t="s">
        <v>146</v>
      </c>
      <c r="H199" s="101"/>
      <c r="I199" s="102">
        <v>0.31109999999999999</v>
      </c>
      <c r="J199" s="103">
        <v>39258</v>
      </c>
      <c r="K199" s="104">
        <v>39258</v>
      </c>
    </row>
    <row r="200" spans="2:11" s="99" customFormat="1" ht="21" customHeight="1">
      <c r="B200" s="100" t="s">
        <v>334</v>
      </c>
      <c r="C200" s="101" t="s">
        <v>344</v>
      </c>
      <c r="D200" s="101"/>
      <c r="E200" s="101" t="s">
        <v>350</v>
      </c>
      <c r="F200" s="101"/>
      <c r="G200" s="101" t="s">
        <v>146</v>
      </c>
      <c r="H200" s="101"/>
      <c r="I200" s="102">
        <v>0.31109999999999999</v>
      </c>
      <c r="J200" s="103">
        <v>39258</v>
      </c>
      <c r="K200" s="104">
        <v>39258</v>
      </c>
    </row>
    <row r="201" spans="2:11" s="99" customFormat="1" ht="21" customHeight="1">
      <c r="B201" s="100" t="s">
        <v>334</v>
      </c>
      <c r="C201" s="101" t="s">
        <v>344</v>
      </c>
      <c r="D201" s="101"/>
      <c r="E201" s="101" t="s">
        <v>351</v>
      </c>
      <c r="F201" s="101"/>
      <c r="G201" s="101" t="s">
        <v>146</v>
      </c>
      <c r="H201" s="101"/>
      <c r="I201" s="102">
        <v>0.31530000000000002</v>
      </c>
      <c r="J201" s="103">
        <v>39258</v>
      </c>
      <c r="K201" s="104">
        <v>39258</v>
      </c>
    </row>
    <row r="202" spans="2:11" s="99" customFormat="1" ht="21" customHeight="1">
      <c r="B202" s="100" t="s">
        <v>334</v>
      </c>
      <c r="C202" s="101" t="s">
        <v>344</v>
      </c>
      <c r="D202" s="101"/>
      <c r="E202" s="101" t="s">
        <v>352</v>
      </c>
      <c r="F202" s="101"/>
      <c r="G202" s="101" t="s">
        <v>146</v>
      </c>
      <c r="H202" s="101"/>
      <c r="I202" s="102">
        <v>0.31530000000000002</v>
      </c>
      <c r="J202" s="103">
        <v>39258</v>
      </c>
      <c r="K202" s="104">
        <v>39258</v>
      </c>
    </row>
    <row r="203" spans="2:11" s="99" customFormat="1" ht="21" customHeight="1">
      <c r="B203" s="100" t="s">
        <v>334</v>
      </c>
      <c r="C203" s="101" t="s">
        <v>335</v>
      </c>
      <c r="D203" s="101"/>
      <c r="E203" s="101" t="s">
        <v>353</v>
      </c>
      <c r="F203" s="101"/>
      <c r="G203" s="101" t="s">
        <v>146</v>
      </c>
      <c r="H203" s="101"/>
      <c r="I203" s="102">
        <v>0.32600000000000001</v>
      </c>
      <c r="J203" s="103">
        <v>39258</v>
      </c>
      <c r="K203" s="104">
        <v>39258</v>
      </c>
    </row>
    <row r="204" spans="2:11" s="99" customFormat="1" ht="21" customHeight="1">
      <c r="B204" s="100" t="s">
        <v>334</v>
      </c>
      <c r="C204" s="101" t="s">
        <v>335</v>
      </c>
      <c r="D204" s="101"/>
      <c r="E204" s="101" t="s">
        <v>354</v>
      </c>
      <c r="F204" s="101"/>
      <c r="G204" s="101" t="s">
        <v>146</v>
      </c>
      <c r="H204" s="101"/>
      <c r="I204" s="102">
        <v>0.32600000000000001</v>
      </c>
      <c r="J204" s="103">
        <v>39258</v>
      </c>
      <c r="K204" s="104">
        <v>39258</v>
      </c>
    </row>
    <row r="205" spans="2:11" s="99" customFormat="1" ht="21" customHeight="1">
      <c r="B205" s="100" t="s">
        <v>334</v>
      </c>
      <c r="C205" s="101" t="s">
        <v>338</v>
      </c>
      <c r="D205" s="101"/>
      <c r="E205" s="101" t="s">
        <v>355</v>
      </c>
      <c r="F205" s="101"/>
      <c r="G205" s="101" t="s">
        <v>146</v>
      </c>
      <c r="H205" s="101"/>
      <c r="I205" s="102">
        <v>0.33</v>
      </c>
      <c r="J205" s="103">
        <v>39258</v>
      </c>
      <c r="K205" s="104">
        <v>39258</v>
      </c>
    </row>
    <row r="206" spans="2:11" s="99" customFormat="1" ht="21" customHeight="1">
      <c r="B206" s="100" t="s">
        <v>334</v>
      </c>
      <c r="C206" s="101" t="s">
        <v>338</v>
      </c>
      <c r="D206" s="101"/>
      <c r="E206" s="101" t="s">
        <v>356</v>
      </c>
      <c r="F206" s="101"/>
      <c r="G206" s="101" t="s">
        <v>146</v>
      </c>
      <c r="H206" s="101"/>
      <c r="I206" s="102">
        <v>0.33</v>
      </c>
      <c r="J206" s="103">
        <v>39258</v>
      </c>
      <c r="K206" s="104">
        <v>39258</v>
      </c>
    </row>
    <row r="207" spans="2:11" s="99" customFormat="1" ht="21" customHeight="1">
      <c r="B207" s="100" t="s">
        <v>334</v>
      </c>
      <c r="C207" s="101" t="s">
        <v>344</v>
      </c>
      <c r="D207" s="101"/>
      <c r="E207" s="101" t="s">
        <v>357</v>
      </c>
      <c r="F207" s="101"/>
      <c r="G207" s="101" t="s">
        <v>146</v>
      </c>
      <c r="H207" s="101"/>
      <c r="I207" s="102">
        <v>0.38629999999999998</v>
      </c>
      <c r="J207" s="103">
        <v>39258</v>
      </c>
      <c r="K207" s="104">
        <v>39258</v>
      </c>
    </row>
    <row r="208" spans="2:11" s="99" customFormat="1" ht="21" customHeight="1">
      <c r="B208" s="100" t="s">
        <v>334</v>
      </c>
      <c r="C208" s="101" t="s">
        <v>344</v>
      </c>
      <c r="D208" s="101"/>
      <c r="E208" s="101" t="s">
        <v>358</v>
      </c>
      <c r="F208" s="101"/>
      <c r="G208" s="101" t="s">
        <v>146</v>
      </c>
      <c r="H208" s="101"/>
      <c r="I208" s="102">
        <v>0.38629999999999998</v>
      </c>
      <c r="J208" s="103">
        <v>39258</v>
      </c>
      <c r="K208" s="104">
        <v>39258</v>
      </c>
    </row>
    <row r="209" spans="2:11" s="99" customFormat="1" ht="21" customHeight="1">
      <c r="B209" s="100" t="s">
        <v>334</v>
      </c>
      <c r="C209" s="101" t="s">
        <v>338</v>
      </c>
      <c r="D209" s="101"/>
      <c r="E209" s="101" t="s">
        <v>359</v>
      </c>
      <c r="F209" s="101"/>
      <c r="G209" s="101" t="s">
        <v>146</v>
      </c>
      <c r="H209" s="101"/>
      <c r="I209" s="102">
        <v>0.40629999999999999</v>
      </c>
      <c r="J209" s="103">
        <v>39258</v>
      </c>
      <c r="K209" s="104">
        <v>39258</v>
      </c>
    </row>
    <row r="210" spans="2:11" s="99" customFormat="1" ht="21" customHeight="1">
      <c r="B210" s="100" t="s">
        <v>334</v>
      </c>
      <c r="C210" s="101" t="s">
        <v>338</v>
      </c>
      <c r="D210" s="101"/>
      <c r="E210" s="101" t="s">
        <v>360</v>
      </c>
      <c r="F210" s="101"/>
      <c r="G210" s="101" t="s">
        <v>146</v>
      </c>
      <c r="H210" s="101"/>
      <c r="I210" s="102">
        <v>0.40629999999999999</v>
      </c>
      <c r="J210" s="103">
        <v>39258</v>
      </c>
      <c r="K210" s="104">
        <v>39258</v>
      </c>
    </row>
    <row r="211" spans="2:11" s="99" customFormat="1" ht="21" customHeight="1">
      <c r="B211" s="100" t="s">
        <v>334</v>
      </c>
      <c r="C211" s="101" t="s">
        <v>344</v>
      </c>
      <c r="D211" s="101"/>
      <c r="E211" s="101" t="s">
        <v>361</v>
      </c>
      <c r="F211" s="101"/>
      <c r="G211" s="101" t="s">
        <v>146</v>
      </c>
      <c r="H211" s="101"/>
      <c r="I211" s="102">
        <v>0.4385</v>
      </c>
      <c r="J211" s="103">
        <v>39258</v>
      </c>
      <c r="K211" s="104">
        <v>39258</v>
      </c>
    </row>
    <row r="212" spans="2:11" s="99" customFormat="1" ht="21" customHeight="1">
      <c r="B212" s="100" t="s">
        <v>334</v>
      </c>
      <c r="C212" s="101" t="s">
        <v>344</v>
      </c>
      <c r="D212" s="101"/>
      <c r="E212" s="101" t="s">
        <v>362</v>
      </c>
      <c r="F212" s="101"/>
      <c r="G212" s="101" t="s">
        <v>146</v>
      </c>
      <c r="H212" s="101"/>
      <c r="I212" s="102">
        <v>0.4385</v>
      </c>
      <c r="J212" s="103">
        <v>39258</v>
      </c>
      <c r="K212" s="104">
        <v>39258</v>
      </c>
    </row>
    <row r="213" spans="2:11" s="99" customFormat="1" ht="21" customHeight="1">
      <c r="B213" s="100" t="s">
        <v>334</v>
      </c>
      <c r="C213" s="101" t="s">
        <v>338</v>
      </c>
      <c r="D213" s="101"/>
      <c r="E213" s="101" t="s">
        <v>363</v>
      </c>
      <c r="F213" s="101"/>
      <c r="G213" s="101" t="s">
        <v>146</v>
      </c>
      <c r="H213" s="101"/>
      <c r="I213" s="102">
        <v>0.442</v>
      </c>
      <c r="J213" s="103">
        <v>39258</v>
      </c>
      <c r="K213" s="104">
        <v>39258</v>
      </c>
    </row>
    <row r="214" spans="2:11" s="99" customFormat="1" ht="21" customHeight="1">
      <c r="B214" s="100" t="s">
        <v>334</v>
      </c>
      <c r="C214" s="101" t="s">
        <v>335</v>
      </c>
      <c r="D214" s="101"/>
      <c r="E214" s="101" t="s">
        <v>364</v>
      </c>
      <c r="F214" s="101"/>
      <c r="G214" s="101" t="s">
        <v>146</v>
      </c>
      <c r="H214" s="101"/>
      <c r="I214" s="102">
        <v>0.442</v>
      </c>
      <c r="J214" s="103">
        <v>39258</v>
      </c>
      <c r="K214" s="104">
        <v>39258</v>
      </c>
    </row>
    <row r="215" spans="2:11" s="99" customFormat="1" ht="21" customHeight="1">
      <c r="B215" s="100" t="s">
        <v>334</v>
      </c>
      <c r="C215" s="101" t="s">
        <v>344</v>
      </c>
      <c r="D215" s="101"/>
      <c r="E215" s="101" t="s">
        <v>365</v>
      </c>
      <c r="F215" s="101"/>
      <c r="G215" s="101" t="s">
        <v>146</v>
      </c>
      <c r="H215" s="101"/>
      <c r="I215" s="102">
        <v>0.442</v>
      </c>
      <c r="J215" s="103">
        <v>39258</v>
      </c>
      <c r="K215" s="104">
        <v>39258</v>
      </c>
    </row>
    <row r="216" spans="2:11" s="99" customFormat="1" ht="21" customHeight="1">
      <c r="B216" s="100" t="s">
        <v>334</v>
      </c>
      <c r="C216" s="101" t="s">
        <v>344</v>
      </c>
      <c r="D216" s="101"/>
      <c r="E216" s="101" t="s">
        <v>366</v>
      </c>
      <c r="F216" s="101"/>
      <c r="G216" s="101" t="s">
        <v>146</v>
      </c>
      <c r="H216" s="101"/>
      <c r="I216" s="102">
        <v>0.442</v>
      </c>
      <c r="J216" s="103">
        <v>39258</v>
      </c>
      <c r="K216" s="104">
        <v>39258</v>
      </c>
    </row>
    <row r="217" spans="2:11" s="99" customFormat="1" ht="21" customHeight="1">
      <c r="B217" s="100" t="s">
        <v>334</v>
      </c>
      <c r="C217" s="101" t="s">
        <v>344</v>
      </c>
      <c r="D217" s="101"/>
      <c r="E217" s="101" t="s">
        <v>367</v>
      </c>
      <c r="F217" s="101"/>
      <c r="G217" s="101" t="s">
        <v>146</v>
      </c>
      <c r="H217" s="101"/>
      <c r="I217" s="102">
        <v>0.442</v>
      </c>
      <c r="J217" s="103">
        <v>39258</v>
      </c>
      <c r="K217" s="104">
        <v>39258</v>
      </c>
    </row>
    <row r="218" spans="2:11" s="99" customFormat="1" ht="21" customHeight="1">
      <c r="B218" s="100" t="s">
        <v>334</v>
      </c>
      <c r="C218" s="101" t="s">
        <v>338</v>
      </c>
      <c r="D218" s="101"/>
      <c r="E218" s="101" t="s">
        <v>368</v>
      </c>
      <c r="F218" s="101"/>
      <c r="G218" s="101" t="s">
        <v>146</v>
      </c>
      <c r="H218" s="101"/>
      <c r="I218" s="102">
        <v>0.45150000000000001</v>
      </c>
      <c r="J218" s="103">
        <v>39258</v>
      </c>
      <c r="K218" s="104">
        <v>39258</v>
      </c>
    </row>
    <row r="219" spans="2:11" s="99" customFormat="1" ht="21" customHeight="1">
      <c r="B219" s="100" t="s">
        <v>334</v>
      </c>
      <c r="C219" s="101" t="s">
        <v>344</v>
      </c>
      <c r="D219" s="101"/>
      <c r="E219" s="101" t="s">
        <v>369</v>
      </c>
      <c r="F219" s="101"/>
      <c r="G219" s="101" t="s">
        <v>146</v>
      </c>
      <c r="H219" s="101"/>
      <c r="I219" s="102">
        <v>0.69669999999999999</v>
      </c>
      <c r="J219" s="103">
        <v>39258</v>
      </c>
      <c r="K219" s="104">
        <v>39258</v>
      </c>
    </row>
    <row r="220" spans="2:11" s="99" customFormat="1" ht="21" customHeight="1">
      <c r="B220" s="100" t="s">
        <v>334</v>
      </c>
      <c r="C220" s="101" t="s">
        <v>335</v>
      </c>
      <c r="D220" s="101"/>
      <c r="E220" s="101" t="s">
        <v>370</v>
      </c>
      <c r="F220" s="101"/>
      <c r="G220" s="101" t="s">
        <v>146</v>
      </c>
      <c r="H220" s="101"/>
      <c r="I220" s="102">
        <v>0.7016</v>
      </c>
      <c r="J220" s="103">
        <v>39258</v>
      </c>
      <c r="K220" s="104">
        <v>39258</v>
      </c>
    </row>
    <row r="221" spans="2:11" s="99" customFormat="1" ht="21" customHeight="1">
      <c r="B221" s="100" t="s">
        <v>334</v>
      </c>
      <c r="C221" s="101" t="s">
        <v>335</v>
      </c>
      <c r="D221" s="101"/>
      <c r="E221" s="101" t="s">
        <v>371</v>
      </c>
      <c r="F221" s="101"/>
      <c r="G221" s="101" t="s">
        <v>146</v>
      </c>
      <c r="H221" s="101"/>
      <c r="I221" s="102">
        <v>0.7016</v>
      </c>
      <c r="J221" s="103">
        <v>39258</v>
      </c>
      <c r="K221" s="104">
        <v>39258</v>
      </c>
    </row>
    <row r="222" spans="2:11" s="99" customFormat="1" ht="21" customHeight="1">
      <c r="B222" s="100" t="s">
        <v>334</v>
      </c>
      <c r="C222" s="101" t="s">
        <v>344</v>
      </c>
      <c r="D222" s="101"/>
      <c r="E222" s="101" t="s">
        <v>372</v>
      </c>
      <c r="F222" s="101"/>
      <c r="G222" s="101" t="s">
        <v>146</v>
      </c>
      <c r="H222" s="101"/>
      <c r="I222" s="102">
        <v>0.7016</v>
      </c>
      <c r="J222" s="103">
        <v>39258</v>
      </c>
      <c r="K222" s="104">
        <v>39258</v>
      </c>
    </row>
    <row r="223" spans="2:11" s="99" customFormat="1" ht="21" customHeight="1">
      <c r="B223" s="100" t="s">
        <v>334</v>
      </c>
      <c r="C223" s="101" t="s">
        <v>344</v>
      </c>
      <c r="D223" s="101"/>
      <c r="E223" s="101" t="s">
        <v>373</v>
      </c>
      <c r="F223" s="101"/>
      <c r="G223" s="101" t="s">
        <v>146</v>
      </c>
      <c r="H223" s="101"/>
      <c r="I223" s="102">
        <v>0.78049999999999997</v>
      </c>
      <c r="J223" s="103">
        <v>39258</v>
      </c>
      <c r="K223" s="104">
        <v>39258</v>
      </c>
    </row>
    <row r="224" spans="2:11" s="99" customFormat="1" ht="21" customHeight="1">
      <c r="B224" s="100" t="s">
        <v>334</v>
      </c>
      <c r="C224" s="101" t="s">
        <v>335</v>
      </c>
      <c r="D224" s="101" t="s">
        <v>336</v>
      </c>
      <c r="E224" s="101" t="s">
        <v>374</v>
      </c>
      <c r="F224" s="101"/>
      <c r="G224" s="101" t="s">
        <v>146</v>
      </c>
      <c r="H224" s="101" t="s">
        <v>171</v>
      </c>
      <c r="I224" s="102">
        <v>0.79</v>
      </c>
      <c r="J224" s="103">
        <v>40909</v>
      </c>
      <c r="K224" s="104">
        <v>41008</v>
      </c>
    </row>
    <row r="225" spans="2:11" s="99" customFormat="1" ht="21" customHeight="1">
      <c r="B225" s="100" t="s">
        <v>334</v>
      </c>
      <c r="C225" s="101" t="s">
        <v>375</v>
      </c>
      <c r="D225" s="101" t="s">
        <v>336</v>
      </c>
      <c r="E225" s="101" t="s">
        <v>376</v>
      </c>
      <c r="F225" s="101"/>
      <c r="G225" s="101" t="s">
        <v>146</v>
      </c>
      <c r="H225" s="101" t="s">
        <v>171</v>
      </c>
      <c r="I225" s="102">
        <v>0.81</v>
      </c>
      <c r="J225" s="103">
        <v>40862</v>
      </c>
      <c r="K225" s="104">
        <v>40900</v>
      </c>
    </row>
    <row r="226" spans="2:11" s="99" customFormat="1" ht="21" customHeight="1">
      <c r="B226" s="100" t="s">
        <v>334</v>
      </c>
      <c r="C226" s="101" t="s">
        <v>375</v>
      </c>
      <c r="D226" s="101" t="s">
        <v>336</v>
      </c>
      <c r="E226" s="101" t="s">
        <v>377</v>
      </c>
      <c r="F226" s="101"/>
      <c r="G226" s="101" t="s">
        <v>146</v>
      </c>
      <c r="H226" s="101" t="s">
        <v>171</v>
      </c>
      <c r="I226" s="102">
        <v>0.81</v>
      </c>
      <c r="J226" s="103">
        <v>40862</v>
      </c>
      <c r="K226" s="104">
        <v>40900</v>
      </c>
    </row>
    <row r="227" spans="2:11" s="99" customFormat="1" ht="21" customHeight="1">
      <c r="B227" s="100" t="s">
        <v>334</v>
      </c>
      <c r="C227" s="101" t="s">
        <v>338</v>
      </c>
      <c r="D227" s="101"/>
      <c r="E227" s="101" t="s">
        <v>378</v>
      </c>
      <c r="F227" s="101"/>
      <c r="G227" s="101" t="s">
        <v>146</v>
      </c>
      <c r="H227" s="101"/>
      <c r="I227" s="102">
        <v>0.83</v>
      </c>
      <c r="J227" s="103"/>
      <c r="K227" s="104">
        <v>38652</v>
      </c>
    </row>
    <row r="228" spans="2:11" s="99" customFormat="1" ht="21" customHeight="1">
      <c r="B228" s="100" t="s">
        <v>334</v>
      </c>
      <c r="C228" s="101" t="s">
        <v>335</v>
      </c>
      <c r="D228" s="101"/>
      <c r="E228" s="101" t="s">
        <v>379</v>
      </c>
      <c r="F228" s="101"/>
      <c r="G228" s="101" t="s">
        <v>146</v>
      </c>
      <c r="H228" s="101"/>
      <c r="I228" s="102">
        <v>0.83</v>
      </c>
      <c r="J228" s="103"/>
      <c r="K228" s="104">
        <v>38652</v>
      </c>
    </row>
    <row r="229" spans="2:11" s="99" customFormat="1" ht="21" customHeight="1">
      <c r="B229" s="100" t="s">
        <v>334</v>
      </c>
      <c r="C229" s="101" t="s">
        <v>338</v>
      </c>
      <c r="D229" s="101"/>
      <c r="E229" s="101" t="s">
        <v>380</v>
      </c>
      <c r="F229" s="101"/>
      <c r="G229" s="101" t="s">
        <v>146</v>
      </c>
      <c r="H229" s="101"/>
      <c r="I229" s="102">
        <v>1.05</v>
      </c>
      <c r="J229" s="103"/>
      <c r="K229" s="104">
        <v>38652</v>
      </c>
    </row>
    <row r="230" spans="2:11" s="99" customFormat="1" ht="21" customHeight="1">
      <c r="B230" s="100" t="s">
        <v>334</v>
      </c>
      <c r="C230" s="101" t="s">
        <v>344</v>
      </c>
      <c r="D230" s="101"/>
      <c r="E230" s="101" t="s">
        <v>381</v>
      </c>
      <c r="F230" s="101"/>
      <c r="G230" s="101" t="s">
        <v>146</v>
      </c>
      <c r="H230" s="101"/>
      <c r="I230" s="102">
        <v>1.05</v>
      </c>
      <c r="J230" s="103"/>
      <c r="K230" s="104">
        <v>38652</v>
      </c>
    </row>
    <row r="231" spans="2:11" s="99" customFormat="1" ht="21" customHeight="1">
      <c r="B231" s="100" t="s">
        <v>334</v>
      </c>
      <c r="C231" s="101" t="s">
        <v>335</v>
      </c>
      <c r="D231" s="101"/>
      <c r="E231" s="101" t="s">
        <v>382</v>
      </c>
      <c r="F231" s="101"/>
      <c r="G231" s="101" t="s">
        <v>146</v>
      </c>
      <c r="H231" s="101"/>
      <c r="I231" s="102">
        <v>1.06</v>
      </c>
      <c r="J231" s="103"/>
      <c r="K231" s="104">
        <v>38652</v>
      </c>
    </row>
    <row r="232" spans="2:11" s="99" customFormat="1" ht="21" customHeight="1">
      <c r="B232" s="100" t="s">
        <v>334</v>
      </c>
      <c r="C232" s="101" t="s">
        <v>344</v>
      </c>
      <c r="D232" s="101" t="s">
        <v>336</v>
      </c>
      <c r="E232" s="101" t="s">
        <v>383</v>
      </c>
      <c r="F232" s="101"/>
      <c r="G232" s="101" t="s">
        <v>146</v>
      </c>
      <c r="H232" s="101" t="s">
        <v>171</v>
      </c>
      <c r="I232" s="102">
        <v>1.1100000000000001</v>
      </c>
      <c r="J232" s="103">
        <v>40994</v>
      </c>
      <c r="K232" s="104">
        <v>41008</v>
      </c>
    </row>
    <row r="233" spans="2:11" s="99" customFormat="1" ht="21" customHeight="1">
      <c r="B233" s="100" t="s">
        <v>334</v>
      </c>
      <c r="C233" s="101" t="s">
        <v>335</v>
      </c>
      <c r="D233" s="101"/>
      <c r="E233" s="101" t="s">
        <v>384</v>
      </c>
      <c r="F233" s="101"/>
      <c r="G233" s="101" t="s">
        <v>146</v>
      </c>
      <c r="H233" s="101"/>
      <c r="I233" s="102">
        <v>1.1399999999999999</v>
      </c>
      <c r="J233" s="103"/>
      <c r="K233" s="104">
        <v>38652</v>
      </c>
    </row>
    <row r="234" spans="2:11" s="99" customFormat="1" ht="21" customHeight="1">
      <c r="B234" s="100" t="s">
        <v>385</v>
      </c>
      <c r="C234" s="101" t="s">
        <v>386</v>
      </c>
      <c r="D234" s="101" t="s">
        <v>387</v>
      </c>
      <c r="E234" s="101" t="s">
        <v>388</v>
      </c>
      <c r="F234" s="101"/>
      <c r="G234" s="101" t="s">
        <v>146</v>
      </c>
      <c r="H234" s="101"/>
      <c r="I234" s="102">
        <v>0.54</v>
      </c>
      <c r="J234" s="103">
        <v>39173</v>
      </c>
      <c r="K234" s="104">
        <v>39126</v>
      </c>
    </row>
    <row r="235" spans="2:11" s="99" customFormat="1" ht="21" customHeight="1">
      <c r="B235" s="100" t="s">
        <v>385</v>
      </c>
      <c r="C235" s="101" t="s">
        <v>386</v>
      </c>
      <c r="D235" s="101"/>
      <c r="E235" s="101" t="s">
        <v>389</v>
      </c>
      <c r="F235" s="101"/>
      <c r="G235" s="101" t="s">
        <v>146</v>
      </c>
      <c r="H235" s="101"/>
      <c r="I235" s="102">
        <v>0.54</v>
      </c>
      <c r="J235" s="103">
        <v>39173</v>
      </c>
      <c r="K235" s="104">
        <v>39126</v>
      </c>
    </row>
    <row r="236" spans="2:11" s="99" customFormat="1" ht="21" customHeight="1">
      <c r="B236" s="100" t="s">
        <v>385</v>
      </c>
      <c r="C236" s="101" t="s">
        <v>386</v>
      </c>
      <c r="D236" s="101" t="s">
        <v>387</v>
      </c>
      <c r="E236" s="101" t="s">
        <v>390</v>
      </c>
      <c r="F236" s="101"/>
      <c r="G236" s="101" t="s">
        <v>146</v>
      </c>
      <c r="H236" s="101"/>
      <c r="I236" s="102">
        <v>0.54</v>
      </c>
      <c r="J236" s="103">
        <v>39173</v>
      </c>
      <c r="K236" s="104">
        <v>39126</v>
      </c>
    </row>
    <row r="237" spans="2:11" s="99" customFormat="1" ht="21" customHeight="1">
      <c r="B237" s="100" t="s">
        <v>385</v>
      </c>
      <c r="C237" s="101" t="s">
        <v>386</v>
      </c>
      <c r="D237" s="101"/>
      <c r="E237" s="101" t="s">
        <v>391</v>
      </c>
      <c r="F237" s="101"/>
      <c r="G237" s="101" t="s">
        <v>146</v>
      </c>
      <c r="H237" s="101"/>
      <c r="I237" s="102">
        <v>0.88600000000000001</v>
      </c>
      <c r="J237" s="103">
        <v>40357</v>
      </c>
      <c r="K237" s="104">
        <v>40357</v>
      </c>
    </row>
    <row r="238" spans="2:11" s="99" customFormat="1" ht="21" customHeight="1">
      <c r="B238" s="100" t="s">
        <v>385</v>
      </c>
      <c r="C238" s="101" t="s">
        <v>386</v>
      </c>
      <c r="D238" s="101"/>
      <c r="E238" s="101" t="s">
        <v>392</v>
      </c>
      <c r="F238" s="101"/>
      <c r="G238" s="101" t="s">
        <v>146</v>
      </c>
      <c r="H238" s="101"/>
      <c r="I238" s="102">
        <v>0.95599999999999996</v>
      </c>
      <c r="J238" s="103">
        <v>40357</v>
      </c>
      <c r="K238" s="104">
        <v>40357</v>
      </c>
    </row>
    <row r="239" spans="2:11" s="99" customFormat="1" ht="21" customHeight="1">
      <c r="B239" s="100" t="s">
        <v>385</v>
      </c>
      <c r="C239" s="101" t="s">
        <v>386</v>
      </c>
      <c r="D239" s="101"/>
      <c r="E239" s="101" t="s">
        <v>393</v>
      </c>
      <c r="F239" s="101"/>
      <c r="G239" s="101" t="s">
        <v>146</v>
      </c>
      <c r="H239" s="101"/>
      <c r="I239" s="102">
        <v>1.135</v>
      </c>
      <c r="J239" s="103">
        <v>39448</v>
      </c>
      <c r="K239" s="104">
        <v>39423</v>
      </c>
    </row>
    <row r="240" spans="2:11" s="99" customFormat="1" ht="21" customHeight="1">
      <c r="B240" s="100" t="s">
        <v>385</v>
      </c>
      <c r="C240" s="101" t="s">
        <v>386</v>
      </c>
      <c r="D240" s="101"/>
      <c r="E240" s="101" t="s">
        <v>394</v>
      </c>
      <c r="F240" s="101"/>
      <c r="G240" s="101" t="s">
        <v>146</v>
      </c>
      <c r="H240" s="101"/>
      <c r="I240" s="102">
        <v>1.135</v>
      </c>
      <c r="J240" s="103">
        <v>39448</v>
      </c>
      <c r="K240" s="104">
        <v>39423</v>
      </c>
    </row>
    <row r="241" spans="2:11" s="99" customFormat="1" ht="21" customHeight="1">
      <c r="B241" s="100" t="s">
        <v>395</v>
      </c>
      <c r="C241" s="101" t="s">
        <v>396</v>
      </c>
      <c r="D241" s="101" t="s">
        <v>397</v>
      </c>
      <c r="E241" s="101" t="s">
        <v>397</v>
      </c>
      <c r="F241" s="101"/>
      <c r="G241" s="101" t="s">
        <v>146</v>
      </c>
      <c r="H241" s="101"/>
      <c r="I241" s="102">
        <v>1.1200000000000001</v>
      </c>
      <c r="J241" s="103">
        <v>40200</v>
      </c>
      <c r="K241" s="104">
        <v>40205</v>
      </c>
    </row>
    <row r="242" spans="2:11" s="99" customFormat="1" ht="21" customHeight="1">
      <c r="B242" s="100" t="s">
        <v>395</v>
      </c>
      <c r="C242" s="101" t="s">
        <v>396</v>
      </c>
      <c r="D242" s="101" t="s">
        <v>398</v>
      </c>
      <c r="E242" s="101" t="s">
        <v>398</v>
      </c>
      <c r="F242" s="101"/>
      <c r="G242" s="101" t="s">
        <v>146</v>
      </c>
      <c r="H242" s="101"/>
      <c r="I242" s="102">
        <v>1.1499999999999999</v>
      </c>
      <c r="J242" s="103">
        <v>40200</v>
      </c>
      <c r="K242" s="104">
        <v>40205</v>
      </c>
    </row>
    <row r="243" spans="2:11" s="99" customFormat="1" ht="21" customHeight="1">
      <c r="B243" s="100" t="s">
        <v>395</v>
      </c>
      <c r="C243" s="101" t="s">
        <v>396</v>
      </c>
      <c r="D243" s="101" t="s">
        <v>399</v>
      </c>
      <c r="E243" s="101" t="s">
        <v>399</v>
      </c>
      <c r="F243" s="101"/>
      <c r="G243" s="101" t="s">
        <v>146</v>
      </c>
      <c r="H243" s="101"/>
      <c r="I243" s="102">
        <v>1.18</v>
      </c>
      <c r="J243" s="103">
        <v>40200</v>
      </c>
      <c r="K243" s="104">
        <v>40205</v>
      </c>
    </row>
    <row r="244" spans="2:11" s="99" customFormat="1" ht="21" customHeight="1">
      <c r="B244" s="100" t="s">
        <v>400</v>
      </c>
      <c r="C244" s="101" t="s">
        <v>401</v>
      </c>
      <c r="D244" s="101" t="s">
        <v>402</v>
      </c>
      <c r="E244" s="101" t="s">
        <v>403</v>
      </c>
      <c r="F244" s="101"/>
      <c r="G244" s="101" t="s">
        <v>146</v>
      </c>
      <c r="H244" s="101" t="s">
        <v>171</v>
      </c>
      <c r="I244" s="102">
        <v>0.84</v>
      </c>
      <c r="J244" s="103">
        <v>40610</v>
      </c>
      <c r="K244" s="104">
        <v>41085</v>
      </c>
    </row>
    <row r="245" spans="2:11" s="99" customFormat="1" ht="21" customHeight="1">
      <c r="B245" s="100" t="s">
        <v>400</v>
      </c>
      <c r="C245" s="101" t="s">
        <v>401</v>
      </c>
      <c r="D245" s="101" t="s">
        <v>402</v>
      </c>
      <c r="E245" s="101" t="s">
        <v>404</v>
      </c>
      <c r="F245" s="101"/>
      <c r="G245" s="101" t="s">
        <v>146</v>
      </c>
      <c r="H245" s="101" t="s">
        <v>171</v>
      </c>
      <c r="I245" s="102">
        <v>1.04</v>
      </c>
      <c r="J245" s="103">
        <v>41032</v>
      </c>
      <c r="K245" s="104">
        <v>41085</v>
      </c>
    </row>
    <row r="246" spans="2:11" s="99" customFormat="1" ht="21" customHeight="1">
      <c r="B246" s="100" t="s">
        <v>400</v>
      </c>
      <c r="C246" s="101" t="s">
        <v>401</v>
      </c>
      <c r="D246" s="101" t="s">
        <v>405</v>
      </c>
      <c r="E246" s="101" t="s">
        <v>406</v>
      </c>
      <c r="F246" s="101" t="s">
        <v>407</v>
      </c>
      <c r="G246" s="101" t="s">
        <v>146</v>
      </c>
      <c r="H246" s="101" t="s">
        <v>171</v>
      </c>
      <c r="I246" s="102">
        <v>1.1000000000000001</v>
      </c>
      <c r="J246" s="103">
        <v>40604</v>
      </c>
      <c r="K246" s="104">
        <v>41085</v>
      </c>
    </row>
    <row r="247" spans="2:11" s="99" customFormat="1" ht="21" customHeight="1">
      <c r="B247" s="100" t="s">
        <v>400</v>
      </c>
      <c r="C247" s="101" t="s">
        <v>401</v>
      </c>
      <c r="D247" s="101" t="s">
        <v>408</v>
      </c>
      <c r="E247" s="101" t="s">
        <v>406</v>
      </c>
      <c r="F247" s="101" t="s">
        <v>409</v>
      </c>
      <c r="G247" s="101" t="s">
        <v>233</v>
      </c>
      <c r="H247" s="101" t="s">
        <v>171</v>
      </c>
      <c r="I247" s="102">
        <v>1.1100000000000001</v>
      </c>
      <c r="J247" s="103">
        <v>40604</v>
      </c>
      <c r="K247" s="104">
        <v>41085</v>
      </c>
    </row>
    <row r="248" spans="2:11" s="99" customFormat="1" ht="21" customHeight="1">
      <c r="B248" s="100" t="s">
        <v>410</v>
      </c>
      <c r="C248" s="101" t="s">
        <v>411</v>
      </c>
      <c r="D248" s="101" t="s">
        <v>412</v>
      </c>
      <c r="E248" s="101" t="s">
        <v>412</v>
      </c>
      <c r="F248" s="101"/>
      <c r="G248" s="101" t="s">
        <v>233</v>
      </c>
      <c r="H248" s="101" t="s">
        <v>171</v>
      </c>
      <c r="I248" s="102">
        <v>0.15</v>
      </c>
      <c r="J248" s="103">
        <v>40861</v>
      </c>
      <c r="K248" s="104">
        <v>41085</v>
      </c>
    </row>
    <row r="249" spans="2:11" s="99" customFormat="1" ht="21" customHeight="1">
      <c r="B249" s="100" t="s">
        <v>413</v>
      </c>
      <c r="C249" s="101" t="s">
        <v>414</v>
      </c>
      <c r="D249" s="101" t="s">
        <v>415</v>
      </c>
      <c r="E249" s="101" t="s">
        <v>416</v>
      </c>
      <c r="F249" s="101"/>
      <c r="G249" s="101" t="s">
        <v>146</v>
      </c>
      <c r="H249" s="101"/>
      <c r="I249" s="102">
        <v>0.91</v>
      </c>
      <c r="J249" s="103">
        <v>40148</v>
      </c>
      <c r="K249" s="104">
        <v>40169</v>
      </c>
    </row>
    <row r="250" spans="2:11" s="99" customFormat="1" ht="21" customHeight="1">
      <c r="B250" s="100" t="s">
        <v>413</v>
      </c>
      <c r="C250" s="101" t="s">
        <v>414</v>
      </c>
      <c r="D250" s="101" t="s">
        <v>417</v>
      </c>
      <c r="E250" s="101" t="s">
        <v>418</v>
      </c>
      <c r="F250" s="101"/>
      <c r="G250" s="101" t="s">
        <v>146</v>
      </c>
      <c r="H250" s="101"/>
      <c r="I250" s="102">
        <v>0.93</v>
      </c>
      <c r="J250" s="103">
        <v>40150</v>
      </c>
      <c r="K250" s="104">
        <v>40169</v>
      </c>
    </row>
    <row r="251" spans="2:11" s="99" customFormat="1" ht="21" customHeight="1">
      <c r="B251" s="100" t="s">
        <v>413</v>
      </c>
      <c r="C251" s="101" t="s">
        <v>414</v>
      </c>
      <c r="D251" s="101" t="s">
        <v>419</v>
      </c>
      <c r="E251" s="101" t="s">
        <v>420</v>
      </c>
      <c r="F251" s="101"/>
      <c r="G251" s="101" t="s">
        <v>146</v>
      </c>
      <c r="H251" s="101"/>
      <c r="I251" s="102">
        <v>1.04</v>
      </c>
      <c r="J251" s="103">
        <v>40150</v>
      </c>
      <c r="K251" s="104">
        <v>40169</v>
      </c>
    </row>
    <row r="252" spans="2:11" s="99" customFormat="1" ht="21" customHeight="1">
      <c r="B252" s="100" t="s">
        <v>421</v>
      </c>
      <c r="C252" s="101" t="s">
        <v>422</v>
      </c>
      <c r="D252" s="101" t="s">
        <v>423</v>
      </c>
      <c r="E252" s="101" t="s">
        <v>424</v>
      </c>
      <c r="F252" s="101"/>
      <c r="G252" s="101" t="s">
        <v>164</v>
      </c>
      <c r="H252" s="101"/>
      <c r="I252" s="102">
        <v>0.154</v>
      </c>
      <c r="J252" s="103">
        <v>40203</v>
      </c>
      <c r="K252" s="104">
        <v>40203</v>
      </c>
    </row>
    <row r="253" spans="2:11" s="99" customFormat="1" ht="21" customHeight="1">
      <c r="B253" s="100" t="s">
        <v>421</v>
      </c>
      <c r="C253" s="101" t="s">
        <v>422</v>
      </c>
      <c r="D253" s="101" t="s">
        <v>425</v>
      </c>
      <c r="E253" s="101" t="s">
        <v>426</v>
      </c>
      <c r="F253" s="101"/>
      <c r="G253" s="101" t="s">
        <v>164</v>
      </c>
      <c r="H253" s="101"/>
      <c r="I253" s="102">
        <v>0.154</v>
      </c>
      <c r="J253" s="103">
        <v>40203</v>
      </c>
      <c r="K253" s="104">
        <v>40203</v>
      </c>
    </row>
    <row r="254" spans="2:11" s="99" customFormat="1" ht="21" customHeight="1">
      <c r="B254" s="100" t="s">
        <v>421</v>
      </c>
      <c r="C254" s="101" t="s">
        <v>422</v>
      </c>
      <c r="D254" s="101" t="s">
        <v>427</v>
      </c>
      <c r="E254" s="101" t="s">
        <v>426</v>
      </c>
      <c r="F254" s="101"/>
      <c r="G254" s="101" t="s">
        <v>164</v>
      </c>
      <c r="H254" s="101"/>
      <c r="I254" s="102">
        <v>0.154</v>
      </c>
      <c r="J254" s="103">
        <v>40203</v>
      </c>
      <c r="K254" s="104">
        <v>40203</v>
      </c>
    </row>
    <row r="255" spans="2:11" s="99" customFormat="1" ht="21" customHeight="1">
      <c r="B255" s="100" t="s">
        <v>421</v>
      </c>
      <c r="C255" s="101" t="s">
        <v>422</v>
      </c>
      <c r="D255" s="101" t="s">
        <v>428</v>
      </c>
      <c r="E255" s="101" t="s">
        <v>429</v>
      </c>
      <c r="F255" s="101"/>
      <c r="G255" s="101" t="s">
        <v>146</v>
      </c>
      <c r="H255" s="101"/>
      <c r="I255" s="102">
        <v>0.95050000000000001</v>
      </c>
      <c r="J255" s="103">
        <v>40203</v>
      </c>
      <c r="K255" s="104">
        <v>40203</v>
      </c>
    </row>
    <row r="256" spans="2:11" s="99" customFormat="1" ht="21" customHeight="1">
      <c r="B256" s="100" t="s">
        <v>421</v>
      </c>
      <c r="C256" s="101" t="s">
        <v>422</v>
      </c>
      <c r="D256" s="101" t="s">
        <v>430</v>
      </c>
      <c r="E256" s="101" t="s">
        <v>424</v>
      </c>
      <c r="F256" s="101"/>
      <c r="G256" s="101" t="s">
        <v>146</v>
      </c>
      <c r="H256" s="101"/>
      <c r="I256" s="102">
        <v>0.95899999999999996</v>
      </c>
      <c r="J256" s="103">
        <v>40203</v>
      </c>
      <c r="K256" s="104">
        <v>40203</v>
      </c>
    </row>
    <row r="257" spans="2:11" s="99" customFormat="1" ht="21" customHeight="1">
      <c r="B257" s="100" t="s">
        <v>431</v>
      </c>
      <c r="C257" s="101" t="s">
        <v>432</v>
      </c>
      <c r="D257" s="101" t="s">
        <v>433</v>
      </c>
      <c r="E257" s="101" t="s">
        <v>434</v>
      </c>
      <c r="F257" s="101"/>
      <c r="G257" s="101" t="s">
        <v>164</v>
      </c>
      <c r="H257" s="101"/>
      <c r="I257" s="102">
        <v>0.04</v>
      </c>
      <c r="J257" s="103">
        <v>40549</v>
      </c>
      <c r="K257" s="104">
        <v>40557</v>
      </c>
    </row>
    <row r="258" spans="2:11" s="99" customFormat="1" ht="21" customHeight="1">
      <c r="B258" s="100" t="s">
        <v>431</v>
      </c>
      <c r="C258" s="101" t="s">
        <v>432</v>
      </c>
      <c r="D258" s="101" t="s">
        <v>433</v>
      </c>
      <c r="E258" s="101" t="s">
        <v>435</v>
      </c>
      <c r="F258" s="101"/>
      <c r="G258" s="101" t="s">
        <v>164</v>
      </c>
      <c r="H258" s="101"/>
      <c r="I258" s="102">
        <v>0.04</v>
      </c>
      <c r="J258" s="103">
        <v>40549</v>
      </c>
      <c r="K258" s="104">
        <v>40557</v>
      </c>
    </row>
    <row r="259" spans="2:11" s="99" customFormat="1" ht="21" customHeight="1">
      <c r="B259" s="100" t="s">
        <v>431</v>
      </c>
      <c r="C259" s="101" t="s">
        <v>432</v>
      </c>
      <c r="D259" s="101" t="s">
        <v>433</v>
      </c>
      <c r="E259" s="101" t="s">
        <v>436</v>
      </c>
      <c r="F259" s="101"/>
      <c r="G259" s="101" t="s">
        <v>146</v>
      </c>
      <c r="H259" s="101"/>
      <c r="I259" s="102">
        <v>0.87</v>
      </c>
      <c r="J259" s="103">
        <v>40549</v>
      </c>
      <c r="K259" s="104">
        <v>40557</v>
      </c>
    </row>
    <row r="260" spans="2:11" s="99" customFormat="1" ht="21" customHeight="1">
      <c r="B260" s="100" t="s">
        <v>431</v>
      </c>
      <c r="C260" s="101" t="s">
        <v>432</v>
      </c>
      <c r="D260" s="101" t="s">
        <v>433</v>
      </c>
      <c r="E260" s="101" t="s">
        <v>437</v>
      </c>
      <c r="F260" s="101"/>
      <c r="G260" s="101" t="s">
        <v>146</v>
      </c>
      <c r="H260" s="101"/>
      <c r="I260" s="102">
        <v>0.87</v>
      </c>
      <c r="J260" s="103">
        <v>40549</v>
      </c>
      <c r="K260" s="104">
        <v>40557</v>
      </c>
    </row>
    <row r="261" spans="2:11" s="99" customFormat="1" ht="21" customHeight="1">
      <c r="B261" s="100" t="s">
        <v>431</v>
      </c>
      <c r="C261" s="101" t="s">
        <v>432</v>
      </c>
      <c r="D261" s="101" t="s">
        <v>433</v>
      </c>
      <c r="E261" s="101" t="s">
        <v>438</v>
      </c>
      <c r="F261" s="101"/>
      <c r="G261" s="101" t="s">
        <v>146</v>
      </c>
      <c r="H261" s="101"/>
      <c r="I261" s="102">
        <v>0.87</v>
      </c>
      <c r="J261" s="103">
        <v>40549</v>
      </c>
      <c r="K261" s="104">
        <v>40557</v>
      </c>
    </row>
    <row r="262" spans="2:11" s="99" customFormat="1" ht="21" customHeight="1">
      <c r="B262" s="100" t="s">
        <v>439</v>
      </c>
      <c r="C262" s="101" t="s">
        <v>440</v>
      </c>
      <c r="D262" s="101" t="s">
        <v>441</v>
      </c>
      <c r="E262" s="101" t="s">
        <v>442</v>
      </c>
      <c r="F262" s="101"/>
      <c r="G262" s="101" t="s">
        <v>233</v>
      </c>
      <c r="H262" s="101" t="s">
        <v>171</v>
      </c>
      <c r="I262" s="102">
        <v>0.16</v>
      </c>
      <c r="J262" s="103">
        <v>41014</v>
      </c>
      <c r="K262" s="104">
        <v>40995</v>
      </c>
    </row>
    <row r="263" spans="2:11" s="99" customFormat="1" ht="21" customHeight="1">
      <c r="B263" s="100" t="s">
        <v>439</v>
      </c>
      <c r="C263" s="101" t="s">
        <v>440</v>
      </c>
      <c r="D263" s="101" t="s">
        <v>441</v>
      </c>
      <c r="E263" s="101" t="s">
        <v>443</v>
      </c>
      <c r="F263" s="101"/>
      <c r="G263" s="101" t="s">
        <v>233</v>
      </c>
      <c r="H263" s="101" t="s">
        <v>171</v>
      </c>
      <c r="I263" s="102">
        <v>0.16</v>
      </c>
      <c r="J263" s="103">
        <v>40634</v>
      </c>
      <c r="K263" s="104">
        <v>40571</v>
      </c>
    </row>
    <row r="264" spans="2:11" s="99" customFormat="1" ht="21" customHeight="1">
      <c r="B264" s="100" t="s">
        <v>439</v>
      </c>
      <c r="C264" s="101" t="s">
        <v>440</v>
      </c>
      <c r="D264" s="101" t="s">
        <v>441</v>
      </c>
      <c r="E264" s="101" t="s">
        <v>444</v>
      </c>
      <c r="F264" s="101"/>
      <c r="G264" s="101" t="s">
        <v>146</v>
      </c>
      <c r="H264" s="101" t="s">
        <v>171</v>
      </c>
      <c r="I264" s="102">
        <v>1.1000000000000001</v>
      </c>
      <c r="J264" s="103">
        <v>40634</v>
      </c>
      <c r="K264" s="104">
        <v>40571</v>
      </c>
    </row>
    <row r="265" spans="2:11" s="99" customFormat="1" ht="21" customHeight="1">
      <c r="B265" s="100" t="s">
        <v>439</v>
      </c>
      <c r="C265" s="101" t="s">
        <v>440</v>
      </c>
      <c r="D265" s="101" t="s">
        <v>441</v>
      </c>
      <c r="E265" s="101" t="s">
        <v>445</v>
      </c>
      <c r="F265" s="101"/>
      <c r="G265" s="101" t="s">
        <v>146</v>
      </c>
      <c r="H265" s="101" t="s">
        <v>171</v>
      </c>
      <c r="I265" s="102">
        <v>1.1000000000000001</v>
      </c>
      <c r="J265" s="103">
        <v>40634</v>
      </c>
      <c r="K265" s="104">
        <v>40571</v>
      </c>
    </row>
    <row r="266" spans="2:11" s="99" customFormat="1" ht="21" customHeight="1">
      <c r="B266" s="100" t="s">
        <v>439</v>
      </c>
      <c r="C266" s="101" t="s">
        <v>440</v>
      </c>
      <c r="D266" s="101" t="s">
        <v>441</v>
      </c>
      <c r="E266" s="101" t="s">
        <v>446</v>
      </c>
      <c r="F266" s="101"/>
      <c r="G266" s="101" t="s">
        <v>146</v>
      </c>
      <c r="H266" s="101" t="s">
        <v>171</v>
      </c>
      <c r="I266" s="102">
        <v>1.1000000000000001</v>
      </c>
      <c r="J266" s="103">
        <v>41014</v>
      </c>
      <c r="K266" s="104">
        <v>40995</v>
      </c>
    </row>
    <row r="267" spans="2:11" s="99" customFormat="1" ht="21" customHeight="1">
      <c r="B267" s="100" t="s">
        <v>439</v>
      </c>
      <c r="C267" s="101" t="s">
        <v>440</v>
      </c>
      <c r="D267" s="101" t="s">
        <v>441</v>
      </c>
      <c r="E267" s="101" t="s">
        <v>447</v>
      </c>
      <c r="F267" s="101"/>
      <c r="G267" s="101" t="s">
        <v>146</v>
      </c>
      <c r="H267" s="101" t="s">
        <v>171</v>
      </c>
      <c r="I267" s="102">
        <v>1.1200000000000001</v>
      </c>
      <c r="J267" s="103">
        <v>41014</v>
      </c>
      <c r="K267" s="104">
        <v>40995</v>
      </c>
    </row>
    <row r="268" spans="2:11" s="99" customFormat="1" ht="21" customHeight="1">
      <c r="B268" s="100" t="s">
        <v>439</v>
      </c>
      <c r="C268" s="101" t="s">
        <v>440</v>
      </c>
      <c r="D268" s="101" t="s">
        <v>441</v>
      </c>
      <c r="E268" s="101" t="s">
        <v>448</v>
      </c>
      <c r="F268" s="101"/>
      <c r="G268" s="101" t="s">
        <v>146</v>
      </c>
      <c r="H268" s="101" t="s">
        <v>171</v>
      </c>
      <c r="I268" s="102">
        <v>1.1200000000000001</v>
      </c>
      <c r="J268" s="103">
        <v>40634</v>
      </c>
      <c r="K268" s="104">
        <v>40571</v>
      </c>
    </row>
    <row r="269" spans="2:11" s="99" customFormat="1" ht="21" customHeight="1">
      <c r="B269" s="100" t="s">
        <v>449</v>
      </c>
      <c r="C269" s="101" t="s">
        <v>450</v>
      </c>
      <c r="D269" s="101"/>
      <c r="E269" s="101" t="s">
        <v>451</v>
      </c>
      <c r="F269" s="101"/>
      <c r="G269" s="101" t="s">
        <v>233</v>
      </c>
      <c r="H269" s="101"/>
      <c r="I269" s="102">
        <v>0.12</v>
      </c>
      <c r="J269" s="103"/>
      <c r="K269" s="104">
        <v>39296</v>
      </c>
    </row>
    <row r="270" spans="2:11" s="99" customFormat="1" ht="21" customHeight="1">
      <c r="B270" s="100" t="s">
        <v>449</v>
      </c>
      <c r="C270" s="101" t="s">
        <v>450</v>
      </c>
      <c r="D270" s="101"/>
      <c r="E270" s="101" t="s">
        <v>452</v>
      </c>
      <c r="F270" s="101"/>
      <c r="G270" s="101" t="s">
        <v>146</v>
      </c>
      <c r="H270" s="101"/>
      <c r="I270" s="102">
        <v>1.0900000000000001</v>
      </c>
      <c r="J270" s="103"/>
      <c r="K270" s="104">
        <v>39296</v>
      </c>
    </row>
    <row r="271" spans="2:11" s="99" customFormat="1" ht="21" customHeight="1">
      <c r="B271" s="100" t="s">
        <v>449</v>
      </c>
      <c r="C271" s="101" t="s">
        <v>450</v>
      </c>
      <c r="D271" s="101"/>
      <c r="E271" s="101" t="s">
        <v>453</v>
      </c>
      <c r="F271" s="101"/>
      <c r="G271" s="101" t="s">
        <v>146</v>
      </c>
      <c r="H271" s="101"/>
      <c r="I271" s="102">
        <v>1.1299999999999999</v>
      </c>
      <c r="J271" s="103"/>
      <c r="K271" s="104">
        <v>39296</v>
      </c>
    </row>
    <row r="272" spans="2:11" s="99" customFormat="1" ht="21" customHeight="1">
      <c r="B272" s="100" t="s">
        <v>449</v>
      </c>
      <c r="C272" s="101" t="s">
        <v>450</v>
      </c>
      <c r="D272" s="101"/>
      <c r="E272" s="101" t="s">
        <v>454</v>
      </c>
      <c r="F272" s="101"/>
      <c r="G272" s="101" t="s">
        <v>146</v>
      </c>
      <c r="H272" s="101"/>
      <c r="I272" s="102">
        <v>1.1299999999999999</v>
      </c>
      <c r="J272" s="103"/>
      <c r="K272" s="104">
        <v>39296</v>
      </c>
    </row>
    <row r="273" spans="2:11" s="99" customFormat="1" ht="21" customHeight="1">
      <c r="B273" s="100" t="s">
        <v>455</v>
      </c>
      <c r="C273" s="101" t="s">
        <v>456</v>
      </c>
      <c r="D273" s="101"/>
      <c r="E273" s="101" t="s">
        <v>457</v>
      </c>
      <c r="F273" s="101"/>
      <c r="G273" s="101" t="s">
        <v>164</v>
      </c>
      <c r="H273" s="101"/>
      <c r="I273" s="102">
        <v>0.121</v>
      </c>
      <c r="J273" s="103">
        <v>40322</v>
      </c>
      <c r="K273" s="104">
        <v>40332</v>
      </c>
    </row>
    <row r="274" spans="2:11" s="99" customFormat="1" ht="21" customHeight="1">
      <c r="B274" s="100" t="s">
        <v>455</v>
      </c>
      <c r="C274" s="101" t="s">
        <v>456</v>
      </c>
      <c r="D274" s="101"/>
      <c r="E274" s="101" t="s">
        <v>458</v>
      </c>
      <c r="F274" s="101"/>
      <c r="G274" s="101" t="s">
        <v>164</v>
      </c>
      <c r="H274" s="101"/>
      <c r="I274" s="102">
        <v>0.13600000000000001</v>
      </c>
      <c r="J274" s="103">
        <v>39473</v>
      </c>
      <c r="K274" s="104">
        <v>39482</v>
      </c>
    </row>
    <row r="275" spans="2:11" s="99" customFormat="1" ht="21" customHeight="1">
      <c r="B275" s="100" t="s">
        <v>455</v>
      </c>
      <c r="C275" s="101" t="s">
        <v>456</v>
      </c>
      <c r="D275" s="101"/>
      <c r="E275" s="101" t="s">
        <v>459</v>
      </c>
      <c r="F275" s="101"/>
      <c r="G275" s="101" t="s">
        <v>164</v>
      </c>
      <c r="H275" s="101"/>
      <c r="I275" s="102">
        <v>0.13600000000000001</v>
      </c>
      <c r="J275" s="103">
        <v>39468</v>
      </c>
      <c r="K275" s="104">
        <v>39482</v>
      </c>
    </row>
    <row r="276" spans="2:11" s="99" customFormat="1" ht="21" customHeight="1">
      <c r="B276" s="100" t="s">
        <v>455</v>
      </c>
      <c r="C276" s="101" t="s">
        <v>456</v>
      </c>
      <c r="D276" s="101"/>
      <c r="E276" s="101" t="s">
        <v>460</v>
      </c>
      <c r="F276" s="101"/>
      <c r="G276" s="101" t="s">
        <v>164</v>
      </c>
      <c r="H276" s="101"/>
      <c r="I276" s="102">
        <v>0.13600000000000001</v>
      </c>
      <c r="J276" s="103">
        <v>39468</v>
      </c>
      <c r="K276" s="104">
        <v>39482</v>
      </c>
    </row>
    <row r="277" spans="2:11" s="99" customFormat="1" ht="21" customHeight="1">
      <c r="B277" s="100" t="s">
        <v>455</v>
      </c>
      <c r="C277" s="101" t="s">
        <v>456</v>
      </c>
      <c r="D277" s="101"/>
      <c r="E277" s="101" t="s">
        <v>461</v>
      </c>
      <c r="F277" s="101"/>
      <c r="G277" s="101" t="s">
        <v>164</v>
      </c>
      <c r="H277" s="101"/>
      <c r="I277" s="102">
        <v>0.13600000000000001</v>
      </c>
      <c r="J277" s="103">
        <v>39468</v>
      </c>
      <c r="K277" s="104">
        <v>39482</v>
      </c>
    </row>
    <row r="278" spans="2:11" s="99" customFormat="1" ht="21" customHeight="1">
      <c r="B278" s="100" t="s">
        <v>455</v>
      </c>
      <c r="C278" s="101" t="s">
        <v>456</v>
      </c>
      <c r="D278" s="101"/>
      <c r="E278" s="101" t="s">
        <v>462</v>
      </c>
      <c r="F278" s="101"/>
      <c r="G278" s="101" t="s">
        <v>164</v>
      </c>
      <c r="H278" s="101"/>
      <c r="I278" s="102">
        <v>0.158</v>
      </c>
      <c r="J278" s="103">
        <v>40210</v>
      </c>
      <c r="K278" s="104">
        <v>40326</v>
      </c>
    </row>
    <row r="279" spans="2:11" s="99" customFormat="1" ht="21" customHeight="1">
      <c r="B279" s="100" t="s">
        <v>455</v>
      </c>
      <c r="C279" s="101" t="s">
        <v>456</v>
      </c>
      <c r="D279" s="101"/>
      <c r="E279" s="101" t="s">
        <v>463</v>
      </c>
      <c r="F279" s="101"/>
      <c r="G279" s="101" t="s">
        <v>146</v>
      </c>
      <c r="H279" s="101"/>
      <c r="I279" s="102">
        <v>0.54600000000000004</v>
      </c>
      <c r="J279" s="103">
        <v>40210</v>
      </c>
      <c r="K279" s="104">
        <v>40394</v>
      </c>
    </row>
    <row r="280" spans="2:11" s="99" customFormat="1" ht="21" customHeight="1">
      <c r="B280" s="100" t="s">
        <v>455</v>
      </c>
      <c r="C280" s="101" t="s">
        <v>456</v>
      </c>
      <c r="D280" s="101"/>
      <c r="E280" s="101" t="s">
        <v>464</v>
      </c>
      <c r="F280" s="101"/>
      <c r="G280" s="101" t="s">
        <v>146</v>
      </c>
      <c r="H280" s="101"/>
      <c r="I280" s="102">
        <v>0.628</v>
      </c>
      <c r="J280" s="103">
        <v>40225</v>
      </c>
      <c r="K280" s="104">
        <v>40326</v>
      </c>
    </row>
    <row r="281" spans="2:11" s="99" customFormat="1" ht="21" customHeight="1">
      <c r="B281" s="100" t="s">
        <v>455</v>
      </c>
      <c r="C281" s="101" t="s">
        <v>456</v>
      </c>
      <c r="D281" s="101"/>
      <c r="E281" s="101" t="s">
        <v>465</v>
      </c>
      <c r="F281" s="101"/>
      <c r="G281" s="101" t="s">
        <v>146</v>
      </c>
      <c r="H281" s="101"/>
      <c r="I281" s="102">
        <v>0.67800000000000005</v>
      </c>
      <c r="J281" s="103">
        <v>40210</v>
      </c>
      <c r="K281" s="104">
        <v>40326</v>
      </c>
    </row>
    <row r="282" spans="2:11" s="99" customFormat="1" ht="21" customHeight="1">
      <c r="B282" s="100" t="s">
        <v>455</v>
      </c>
      <c r="C282" s="101" t="s">
        <v>456</v>
      </c>
      <c r="D282" s="101"/>
      <c r="E282" s="101" t="s">
        <v>466</v>
      </c>
      <c r="F282" s="101"/>
      <c r="G282" s="101" t="s">
        <v>146</v>
      </c>
      <c r="H282" s="101"/>
      <c r="I282" s="102">
        <v>0.67800000000000005</v>
      </c>
      <c r="J282" s="103">
        <v>40210</v>
      </c>
      <c r="K282" s="104">
        <v>40326</v>
      </c>
    </row>
    <row r="283" spans="2:11" s="99" customFormat="1" ht="21" customHeight="1">
      <c r="B283" s="100" t="s">
        <v>455</v>
      </c>
      <c r="C283" s="101" t="s">
        <v>456</v>
      </c>
      <c r="D283" s="101"/>
      <c r="E283" s="101" t="s">
        <v>467</v>
      </c>
      <c r="F283" s="101"/>
      <c r="G283" s="101" t="s">
        <v>146</v>
      </c>
      <c r="H283" s="101"/>
      <c r="I283" s="102">
        <v>0.67800000000000005</v>
      </c>
      <c r="J283" s="103">
        <v>40210</v>
      </c>
      <c r="K283" s="104">
        <v>40326</v>
      </c>
    </row>
    <row r="284" spans="2:11" s="99" customFormat="1" ht="21" customHeight="1">
      <c r="B284" s="100" t="s">
        <v>455</v>
      </c>
      <c r="C284" s="101" t="s">
        <v>456</v>
      </c>
      <c r="D284" s="101"/>
      <c r="E284" s="101" t="s">
        <v>468</v>
      </c>
      <c r="F284" s="101"/>
      <c r="G284" s="101" t="s">
        <v>146</v>
      </c>
      <c r="H284" s="101"/>
      <c r="I284" s="102">
        <v>0.72499999999999998</v>
      </c>
      <c r="J284" s="103">
        <v>38796</v>
      </c>
      <c r="K284" s="104">
        <v>38803</v>
      </c>
    </row>
    <row r="285" spans="2:11" s="99" customFormat="1" ht="21" customHeight="1">
      <c r="B285" s="100" t="s">
        <v>455</v>
      </c>
      <c r="C285" s="101" t="s">
        <v>456</v>
      </c>
      <c r="D285" s="101"/>
      <c r="E285" s="101" t="s">
        <v>469</v>
      </c>
      <c r="F285" s="101"/>
      <c r="G285" s="101" t="s">
        <v>146</v>
      </c>
      <c r="H285" s="101"/>
      <c r="I285" s="102">
        <v>0.72499999999999998</v>
      </c>
      <c r="J285" s="103">
        <v>39482</v>
      </c>
      <c r="K285" s="104">
        <v>39482</v>
      </c>
    </row>
    <row r="286" spans="2:11" s="99" customFormat="1" ht="21" customHeight="1">
      <c r="B286" s="100" t="s">
        <v>455</v>
      </c>
      <c r="C286" s="101" t="s">
        <v>456</v>
      </c>
      <c r="D286" s="101"/>
      <c r="E286" s="101" t="s">
        <v>470</v>
      </c>
      <c r="F286" s="101"/>
      <c r="G286" s="101" t="s">
        <v>146</v>
      </c>
      <c r="H286" s="101"/>
      <c r="I286" s="102">
        <v>0.72499999999999998</v>
      </c>
      <c r="J286" s="103">
        <v>38796</v>
      </c>
      <c r="K286" s="104">
        <v>38803</v>
      </c>
    </row>
    <row r="287" spans="2:11" s="99" customFormat="1" ht="21" customHeight="1">
      <c r="B287" s="100" t="s">
        <v>455</v>
      </c>
      <c r="C287" s="101" t="s">
        <v>471</v>
      </c>
      <c r="D287" s="101"/>
      <c r="E287" s="101" t="s">
        <v>472</v>
      </c>
      <c r="F287" s="101"/>
      <c r="G287" s="101" t="s">
        <v>146</v>
      </c>
      <c r="H287" s="101"/>
      <c r="I287" s="102">
        <v>0.72499999999999998</v>
      </c>
      <c r="J287" s="103">
        <v>38716</v>
      </c>
      <c r="K287" s="104">
        <v>38716</v>
      </c>
    </row>
    <row r="288" spans="2:11" s="99" customFormat="1" ht="21" customHeight="1">
      <c r="B288" s="100" t="s">
        <v>455</v>
      </c>
      <c r="C288" s="101" t="s">
        <v>471</v>
      </c>
      <c r="D288" s="101"/>
      <c r="E288" s="101" t="s">
        <v>473</v>
      </c>
      <c r="F288" s="101"/>
      <c r="G288" s="101" t="s">
        <v>146</v>
      </c>
      <c r="H288" s="101"/>
      <c r="I288" s="102">
        <v>0.72499999999999998</v>
      </c>
      <c r="J288" s="103">
        <v>38716</v>
      </c>
      <c r="K288" s="104">
        <v>38716</v>
      </c>
    </row>
    <row r="289" spans="2:11" s="99" customFormat="1" ht="21" customHeight="1">
      <c r="B289" s="100" t="s">
        <v>455</v>
      </c>
      <c r="C289" s="101" t="s">
        <v>471</v>
      </c>
      <c r="D289" s="101"/>
      <c r="E289" s="101" t="s">
        <v>474</v>
      </c>
      <c r="F289" s="101"/>
      <c r="G289" s="101" t="s">
        <v>146</v>
      </c>
      <c r="H289" s="101"/>
      <c r="I289" s="102">
        <v>0.72499999999999998</v>
      </c>
      <c r="J289" s="103">
        <v>39454</v>
      </c>
      <c r="K289" s="104">
        <v>39455</v>
      </c>
    </row>
    <row r="290" spans="2:11" s="99" customFormat="1" ht="21" customHeight="1">
      <c r="B290" s="100" t="s">
        <v>455</v>
      </c>
      <c r="C290" s="101" t="s">
        <v>471</v>
      </c>
      <c r="D290" s="101"/>
      <c r="E290" s="101" t="s">
        <v>475</v>
      </c>
      <c r="F290" s="101"/>
      <c r="G290" s="101" t="s">
        <v>146</v>
      </c>
      <c r="H290" s="101"/>
      <c r="I290" s="102">
        <v>0.72499999999999998</v>
      </c>
      <c r="J290" s="103">
        <v>39173</v>
      </c>
      <c r="K290" s="104">
        <v>39178</v>
      </c>
    </row>
    <row r="291" spans="2:11" s="99" customFormat="1" ht="21" customHeight="1">
      <c r="B291" s="100" t="s">
        <v>455</v>
      </c>
      <c r="C291" s="101" t="s">
        <v>456</v>
      </c>
      <c r="D291" s="101"/>
      <c r="E291" s="101" t="s">
        <v>476</v>
      </c>
      <c r="F291" s="101"/>
      <c r="G291" s="101" t="s">
        <v>146</v>
      </c>
      <c r="H291" s="101"/>
      <c r="I291" s="102">
        <v>0.72599999999999998</v>
      </c>
      <c r="J291" s="103">
        <v>39468</v>
      </c>
      <c r="K291" s="104">
        <v>39482</v>
      </c>
    </row>
    <row r="292" spans="2:11" s="99" customFormat="1" ht="21" customHeight="1">
      <c r="B292" s="100" t="s">
        <v>455</v>
      </c>
      <c r="C292" s="101" t="s">
        <v>471</v>
      </c>
      <c r="D292" s="101"/>
      <c r="E292" s="101" t="s">
        <v>477</v>
      </c>
      <c r="F292" s="101"/>
      <c r="G292" s="101" t="s">
        <v>146</v>
      </c>
      <c r="H292" s="101"/>
      <c r="I292" s="102">
        <v>0.72599999999999998</v>
      </c>
      <c r="J292" s="103">
        <v>38716</v>
      </c>
      <c r="K292" s="104">
        <v>38716</v>
      </c>
    </row>
    <row r="293" spans="2:11" s="99" customFormat="1" ht="21" customHeight="1">
      <c r="B293" s="100" t="s">
        <v>455</v>
      </c>
      <c r="C293" s="101" t="s">
        <v>471</v>
      </c>
      <c r="D293" s="101"/>
      <c r="E293" s="101" t="s">
        <v>478</v>
      </c>
      <c r="F293" s="101"/>
      <c r="G293" s="101" t="s">
        <v>146</v>
      </c>
      <c r="H293" s="101"/>
      <c r="I293" s="102">
        <v>0.72599999999999998</v>
      </c>
      <c r="J293" s="103">
        <v>38716</v>
      </c>
      <c r="K293" s="104">
        <v>38716</v>
      </c>
    </row>
    <row r="294" spans="2:11" s="99" customFormat="1" ht="21" customHeight="1">
      <c r="B294" s="100" t="s">
        <v>455</v>
      </c>
      <c r="C294" s="101" t="s">
        <v>456</v>
      </c>
      <c r="D294" s="101"/>
      <c r="E294" s="101" t="s">
        <v>479</v>
      </c>
      <c r="F294" s="101"/>
      <c r="G294" s="101" t="s">
        <v>146</v>
      </c>
      <c r="H294" s="101"/>
      <c r="I294" s="102">
        <v>0.96799999999999997</v>
      </c>
      <c r="J294" s="103">
        <v>40322</v>
      </c>
      <c r="K294" s="104">
        <v>40326</v>
      </c>
    </row>
    <row r="295" spans="2:11" s="99" customFormat="1" ht="21" customHeight="1">
      <c r="B295" s="100" t="s">
        <v>455</v>
      </c>
      <c r="C295" s="101" t="s">
        <v>471</v>
      </c>
      <c r="D295" s="101"/>
      <c r="E295" s="101" t="s">
        <v>480</v>
      </c>
      <c r="F295" s="101"/>
      <c r="G295" s="101" t="s">
        <v>146</v>
      </c>
      <c r="H295" s="101"/>
      <c r="I295" s="102">
        <v>0.995</v>
      </c>
      <c r="J295" s="103">
        <v>38899</v>
      </c>
      <c r="K295" s="104">
        <v>38891</v>
      </c>
    </row>
    <row r="296" spans="2:11" s="99" customFormat="1" ht="21" customHeight="1">
      <c r="B296" s="100" t="s">
        <v>455</v>
      </c>
      <c r="C296" s="101" t="s">
        <v>456</v>
      </c>
      <c r="D296" s="101"/>
      <c r="E296" s="101" t="s">
        <v>481</v>
      </c>
      <c r="F296" s="101"/>
      <c r="G296" s="101" t="s">
        <v>146</v>
      </c>
      <c r="H296" s="101"/>
      <c r="I296" s="102">
        <v>1.0720000000000001</v>
      </c>
      <c r="J296" s="103">
        <v>39965</v>
      </c>
      <c r="K296" s="104">
        <v>40029</v>
      </c>
    </row>
    <row r="297" spans="2:11" s="99" customFormat="1" ht="21" customHeight="1">
      <c r="B297" s="100" t="s">
        <v>455</v>
      </c>
      <c r="C297" s="101" t="s">
        <v>471</v>
      </c>
      <c r="D297" s="101"/>
      <c r="E297" s="101" t="s">
        <v>482</v>
      </c>
      <c r="F297" s="101"/>
      <c r="G297" s="101" t="s">
        <v>146</v>
      </c>
      <c r="H297" s="101"/>
      <c r="I297" s="102">
        <v>1.0900000000000001</v>
      </c>
      <c r="J297" s="103">
        <v>38899</v>
      </c>
      <c r="K297" s="104">
        <v>38891</v>
      </c>
    </row>
    <row r="298" spans="2:11" s="99" customFormat="1" ht="21" customHeight="1">
      <c r="B298" s="100" t="s">
        <v>455</v>
      </c>
      <c r="C298" s="101" t="s">
        <v>456</v>
      </c>
      <c r="D298" s="101"/>
      <c r="E298" s="101" t="s">
        <v>483</v>
      </c>
      <c r="F298" s="101"/>
      <c r="G298" s="101" t="s">
        <v>146</v>
      </c>
      <c r="H298" s="101"/>
      <c r="I298" s="102">
        <v>1.1539999999999999</v>
      </c>
      <c r="J298" s="103">
        <v>40299</v>
      </c>
      <c r="K298" s="104">
        <v>40326</v>
      </c>
    </row>
    <row r="299" spans="2:11" s="99" customFormat="1" ht="21" customHeight="1">
      <c r="B299" s="100" t="s">
        <v>455</v>
      </c>
      <c r="C299" s="101" t="s">
        <v>456</v>
      </c>
      <c r="D299" s="101"/>
      <c r="E299" s="101" t="s">
        <v>484</v>
      </c>
      <c r="F299" s="101"/>
      <c r="G299" s="101" t="s">
        <v>146</v>
      </c>
      <c r="H299" s="101"/>
      <c r="I299" s="102">
        <v>1.1579999999999999</v>
      </c>
      <c r="J299" s="103">
        <v>40210</v>
      </c>
      <c r="K299" s="104">
        <v>40326</v>
      </c>
    </row>
    <row r="300" spans="2:11" s="99" customFormat="1" ht="21" customHeight="1">
      <c r="B300" s="100" t="s">
        <v>455</v>
      </c>
      <c r="C300" s="101" t="s">
        <v>456</v>
      </c>
      <c r="D300" s="101"/>
      <c r="E300" s="101" t="s">
        <v>485</v>
      </c>
      <c r="F300" s="101"/>
      <c r="G300" s="101" t="s">
        <v>146</v>
      </c>
      <c r="H300" s="101"/>
      <c r="I300" s="102">
        <v>1.2</v>
      </c>
      <c r="J300" s="103">
        <v>38796</v>
      </c>
      <c r="K300" s="104">
        <v>38803</v>
      </c>
    </row>
    <row r="301" spans="2:11" s="99" customFormat="1" ht="21" customHeight="1">
      <c r="B301" s="100" t="s">
        <v>486</v>
      </c>
      <c r="C301" s="101" t="s">
        <v>487</v>
      </c>
      <c r="D301" s="101"/>
      <c r="E301" s="101" t="s">
        <v>488</v>
      </c>
      <c r="F301" s="101"/>
      <c r="G301" s="101" t="s">
        <v>164</v>
      </c>
      <c r="H301" s="101"/>
      <c r="I301" s="102">
        <v>0.16</v>
      </c>
      <c r="J301" s="103">
        <v>40441</v>
      </c>
      <c r="K301" s="104">
        <v>40431</v>
      </c>
    </row>
    <row r="302" spans="2:11" s="99" customFormat="1" ht="21" customHeight="1">
      <c r="B302" s="100" t="s">
        <v>486</v>
      </c>
      <c r="C302" s="101" t="s">
        <v>487</v>
      </c>
      <c r="D302" s="101" t="s">
        <v>489</v>
      </c>
      <c r="E302" s="101" t="s">
        <v>489</v>
      </c>
      <c r="F302" s="101" t="s">
        <v>490</v>
      </c>
      <c r="G302" s="101" t="s">
        <v>146</v>
      </c>
      <c r="H302" s="101" t="s">
        <v>171</v>
      </c>
      <c r="I302" s="102">
        <v>0.82</v>
      </c>
      <c r="J302" s="103">
        <v>41059</v>
      </c>
      <c r="K302" s="104">
        <v>41085</v>
      </c>
    </row>
    <row r="303" spans="2:11" s="99" customFormat="1" ht="21" customHeight="1">
      <c r="B303" s="100" t="s">
        <v>486</v>
      </c>
      <c r="C303" s="101" t="s">
        <v>487</v>
      </c>
      <c r="D303" s="101"/>
      <c r="E303" s="101" t="s">
        <v>491</v>
      </c>
      <c r="F303" s="101"/>
      <c r="G303" s="101" t="s">
        <v>146</v>
      </c>
      <c r="H303" s="101"/>
      <c r="I303" s="102">
        <v>0.82599999999999996</v>
      </c>
      <c r="J303" s="103">
        <v>40542</v>
      </c>
      <c r="K303" s="104">
        <v>40557</v>
      </c>
    </row>
    <row r="304" spans="2:11" s="99" customFormat="1" ht="21" customHeight="1">
      <c r="B304" s="100" t="s">
        <v>486</v>
      </c>
      <c r="C304" s="101" t="s">
        <v>487</v>
      </c>
      <c r="D304" s="101"/>
      <c r="E304" s="101" t="s">
        <v>492</v>
      </c>
      <c r="F304" s="101"/>
      <c r="G304" s="101" t="s">
        <v>146</v>
      </c>
      <c r="H304" s="101"/>
      <c r="I304" s="102">
        <v>0.82599999999999996</v>
      </c>
      <c r="J304" s="103">
        <v>40542</v>
      </c>
      <c r="K304" s="104">
        <v>40557</v>
      </c>
    </row>
    <row r="305" spans="2:11" s="99" customFormat="1" ht="21" customHeight="1">
      <c r="B305" s="100" t="s">
        <v>486</v>
      </c>
      <c r="C305" s="101" t="s">
        <v>487</v>
      </c>
      <c r="D305" s="101"/>
      <c r="E305" s="101" t="s">
        <v>493</v>
      </c>
      <c r="F305" s="101"/>
      <c r="G305" s="101" t="s">
        <v>146</v>
      </c>
      <c r="H305" s="101"/>
      <c r="I305" s="102">
        <v>0.82599999999999996</v>
      </c>
      <c r="J305" s="103">
        <v>40542</v>
      </c>
      <c r="K305" s="104">
        <v>40557</v>
      </c>
    </row>
    <row r="306" spans="2:11" s="99" customFormat="1" ht="21" customHeight="1">
      <c r="B306" s="100" t="s">
        <v>486</v>
      </c>
      <c r="C306" s="101" t="s">
        <v>487</v>
      </c>
      <c r="D306" s="101"/>
      <c r="E306" s="101" t="s">
        <v>494</v>
      </c>
      <c r="F306" s="101"/>
      <c r="G306" s="101" t="s">
        <v>146</v>
      </c>
      <c r="H306" s="101"/>
      <c r="I306" s="102">
        <v>0.82599999999999996</v>
      </c>
      <c r="J306" s="103">
        <v>40542</v>
      </c>
      <c r="K306" s="104">
        <v>40557</v>
      </c>
    </row>
    <row r="307" spans="2:11" s="99" customFormat="1" ht="21" customHeight="1">
      <c r="B307" s="100" t="s">
        <v>486</v>
      </c>
      <c r="C307" s="101" t="s">
        <v>487</v>
      </c>
      <c r="D307" s="101"/>
      <c r="E307" s="101" t="s">
        <v>495</v>
      </c>
      <c r="F307" s="101"/>
      <c r="G307" s="101" t="s">
        <v>146</v>
      </c>
      <c r="H307" s="101"/>
      <c r="I307" s="102">
        <v>0.82599999999999996</v>
      </c>
      <c r="J307" s="103">
        <v>40542</v>
      </c>
      <c r="K307" s="104">
        <v>40557</v>
      </c>
    </row>
    <row r="308" spans="2:11" s="99" customFormat="1" ht="21" customHeight="1">
      <c r="B308" s="100" t="s">
        <v>486</v>
      </c>
      <c r="C308" s="101" t="s">
        <v>487</v>
      </c>
      <c r="D308" s="101"/>
      <c r="E308" s="101" t="s">
        <v>496</v>
      </c>
      <c r="F308" s="101"/>
      <c r="G308" s="101" t="s">
        <v>146</v>
      </c>
      <c r="H308" s="101"/>
      <c r="I308" s="102">
        <v>0.82599999999999996</v>
      </c>
      <c r="J308" s="103">
        <v>40542</v>
      </c>
      <c r="K308" s="104">
        <v>40557</v>
      </c>
    </row>
    <row r="309" spans="2:11" s="99" customFormat="1" ht="21" customHeight="1">
      <c r="B309" s="100" t="s">
        <v>486</v>
      </c>
      <c r="C309" s="101" t="s">
        <v>487</v>
      </c>
      <c r="D309" s="101" t="s">
        <v>497</v>
      </c>
      <c r="E309" s="101" t="s">
        <v>497</v>
      </c>
      <c r="F309" s="101"/>
      <c r="G309" s="101" t="s">
        <v>146</v>
      </c>
      <c r="H309" s="101" t="s">
        <v>171</v>
      </c>
      <c r="I309" s="102">
        <v>0.83</v>
      </c>
      <c r="J309" s="103">
        <v>41059</v>
      </c>
      <c r="K309" s="104">
        <v>41085</v>
      </c>
    </row>
    <row r="310" spans="2:11" s="99" customFormat="1" ht="21" customHeight="1">
      <c r="B310" s="100" t="s">
        <v>486</v>
      </c>
      <c r="C310" s="101" t="s">
        <v>487</v>
      </c>
      <c r="D310" s="101" t="s">
        <v>248</v>
      </c>
      <c r="E310" s="101" t="s">
        <v>498</v>
      </c>
      <c r="F310" s="101"/>
      <c r="G310" s="101" t="s">
        <v>146</v>
      </c>
      <c r="H310" s="101"/>
      <c r="I310" s="102">
        <v>0.85519999999999996</v>
      </c>
      <c r="J310" s="103">
        <v>40238</v>
      </c>
      <c r="K310" s="104">
        <v>40200</v>
      </c>
    </row>
    <row r="311" spans="2:11" s="99" customFormat="1" ht="21" customHeight="1">
      <c r="B311" s="100" t="s">
        <v>486</v>
      </c>
      <c r="C311" s="101" t="s">
        <v>487</v>
      </c>
      <c r="D311" s="101" t="s">
        <v>248</v>
      </c>
      <c r="E311" s="101" t="s">
        <v>499</v>
      </c>
      <c r="F311" s="101"/>
      <c r="G311" s="101" t="s">
        <v>146</v>
      </c>
      <c r="H311" s="101"/>
      <c r="I311" s="102">
        <v>0.85519999999999996</v>
      </c>
      <c r="J311" s="103">
        <v>40238</v>
      </c>
      <c r="K311" s="104">
        <v>40200</v>
      </c>
    </row>
    <row r="312" spans="2:11" s="99" customFormat="1" ht="21" customHeight="1">
      <c r="B312" s="100" t="s">
        <v>486</v>
      </c>
      <c r="C312" s="101" t="s">
        <v>487</v>
      </c>
      <c r="D312" s="101" t="s">
        <v>248</v>
      </c>
      <c r="E312" s="101" t="s">
        <v>500</v>
      </c>
      <c r="F312" s="101"/>
      <c r="G312" s="101" t="s">
        <v>146</v>
      </c>
      <c r="H312" s="101"/>
      <c r="I312" s="102">
        <v>0.85519999999999996</v>
      </c>
      <c r="J312" s="103">
        <v>40238</v>
      </c>
      <c r="K312" s="104">
        <v>40200</v>
      </c>
    </row>
    <row r="313" spans="2:11" s="99" customFormat="1" ht="21" customHeight="1">
      <c r="B313" s="100" t="s">
        <v>486</v>
      </c>
      <c r="C313" s="101" t="s">
        <v>487</v>
      </c>
      <c r="D313" s="101" t="s">
        <v>235</v>
      </c>
      <c r="E313" s="101" t="s">
        <v>501</v>
      </c>
      <c r="F313" s="101"/>
      <c r="G313" s="101" t="s">
        <v>146</v>
      </c>
      <c r="H313" s="101"/>
      <c r="I313" s="102">
        <v>0.88829999999999998</v>
      </c>
      <c r="J313" s="103">
        <v>40238</v>
      </c>
      <c r="K313" s="104">
        <v>40200</v>
      </c>
    </row>
    <row r="314" spans="2:11" s="99" customFormat="1" ht="21" customHeight="1">
      <c r="B314" s="100" t="s">
        <v>486</v>
      </c>
      <c r="C314" s="101" t="s">
        <v>487</v>
      </c>
      <c r="D314" s="101" t="s">
        <v>235</v>
      </c>
      <c r="E314" s="101" t="s">
        <v>502</v>
      </c>
      <c r="F314" s="101"/>
      <c r="G314" s="101" t="s">
        <v>146</v>
      </c>
      <c r="H314" s="101"/>
      <c r="I314" s="102">
        <v>0.88829999999999998</v>
      </c>
      <c r="J314" s="103">
        <v>40238</v>
      </c>
      <c r="K314" s="104">
        <v>40200</v>
      </c>
    </row>
    <row r="315" spans="2:11" s="99" customFormat="1" ht="21" customHeight="1">
      <c r="B315" s="100" t="s">
        <v>486</v>
      </c>
      <c r="C315" s="101" t="s">
        <v>487</v>
      </c>
      <c r="D315" s="101" t="s">
        <v>235</v>
      </c>
      <c r="E315" s="101" t="s">
        <v>503</v>
      </c>
      <c r="F315" s="101"/>
      <c r="G315" s="101" t="s">
        <v>146</v>
      </c>
      <c r="H315" s="101"/>
      <c r="I315" s="102">
        <v>0.88829999999999998</v>
      </c>
      <c r="J315" s="103">
        <v>40238</v>
      </c>
      <c r="K315" s="104">
        <v>40200</v>
      </c>
    </row>
    <row r="316" spans="2:11" s="99" customFormat="1" ht="21" customHeight="1">
      <c r="B316" s="100" t="s">
        <v>486</v>
      </c>
      <c r="C316" s="101" t="s">
        <v>487</v>
      </c>
      <c r="D316" s="101" t="s">
        <v>235</v>
      </c>
      <c r="E316" s="101" t="s">
        <v>504</v>
      </c>
      <c r="F316" s="101"/>
      <c r="G316" s="101" t="s">
        <v>146</v>
      </c>
      <c r="H316" s="101"/>
      <c r="I316" s="102">
        <v>0.88829999999999998</v>
      </c>
      <c r="J316" s="103">
        <v>40238</v>
      </c>
      <c r="K316" s="104">
        <v>40200</v>
      </c>
    </row>
    <row r="317" spans="2:11" s="99" customFormat="1" ht="21" customHeight="1">
      <c r="B317" s="100" t="s">
        <v>486</v>
      </c>
      <c r="C317" s="101" t="s">
        <v>487</v>
      </c>
      <c r="D317" s="101" t="s">
        <v>235</v>
      </c>
      <c r="E317" s="101" t="s">
        <v>505</v>
      </c>
      <c r="F317" s="101"/>
      <c r="G317" s="101" t="s">
        <v>146</v>
      </c>
      <c r="H317" s="101"/>
      <c r="I317" s="102">
        <v>0.88829999999999998</v>
      </c>
      <c r="J317" s="103">
        <v>40238</v>
      </c>
      <c r="K317" s="104">
        <v>40200</v>
      </c>
    </row>
    <row r="318" spans="2:11" s="99" customFormat="1" ht="21" customHeight="1">
      <c r="B318" s="100" t="s">
        <v>486</v>
      </c>
      <c r="C318" s="101" t="s">
        <v>487</v>
      </c>
      <c r="D318" s="101" t="s">
        <v>506</v>
      </c>
      <c r="E318" s="101" t="s">
        <v>506</v>
      </c>
      <c r="F318" s="101"/>
      <c r="G318" s="101" t="s">
        <v>146</v>
      </c>
      <c r="H318" s="101" t="s">
        <v>171</v>
      </c>
      <c r="I318" s="102">
        <v>0.93</v>
      </c>
      <c r="J318" s="103">
        <v>40612</v>
      </c>
      <c r="K318" s="104">
        <v>41085</v>
      </c>
    </row>
    <row r="319" spans="2:11" s="99" customFormat="1" ht="21" customHeight="1">
      <c r="B319" s="100" t="s">
        <v>486</v>
      </c>
      <c r="C319" s="101" t="s">
        <v>487</v>
      </c>
      <c r="D319" s="101" t="s">
        <v>248</v>
      </c>
      <c r="E319" s="101" t="s">
        <v>507</v>
      </c>
      <c r="F319" s="101"/>
      <c r="G319" s="101" t="s">
        <v>146</v>
      </c>
      <c r="H319" s="101"/>
      <c r="I319" s="102">
        <v>0.94450000000000001</v>
      </c>
      <c r="J319" s="103"/>
      <c r="K319" s="104">
        <v>40484</v>
      </c>
    </row>
    <row r="320" spans="2:11" s="99" customFormat="1" ht="21" customHeight="1">
      <c r="B320" s="100" t="s">
        <v>486</v>
      </c>
      <c r="C320" s="101" t="s">
        <v>234</v>
      </c>
      <c r="D320" s="101" t="s">
        <v>248</v>
      </c>
      <c r="E320" s="101" t="s">
        <v>508</v>
      </c>
      <c r="F320" s="101"/>
      <c r="G320" s="101" t="s">
        <v>146</v>
      </c>
      <c r="H320" s="101"/>
      <c r="I320" s="102">
        <v>0.97</v>
      </c>
      <c r="J320" s="103"/>
      <c r="K320" s="104">
        <v>39770</v>
      </c>
    </row>
    <row r="321" spans="2:11" s="99" customFormat="1" ht="21" customHeight="1">
      <c r="B321" s="100" t="s">
        <v>486</v>
      </c>
      <c r="C321" s="101" t="s">
        <v>487</v>
      </c>
      <c r="D321" s="101"/>
      <c r="E321" s="101" t="s">
        <v>509</v>
      </c>
      <c r="F321" s="101"/>
      <c r="G321" s="101" t="s">
        <v>146</v>
      </c>
      <c r="H321" s="101"/>
      <c r="I321" s="102">
        <v>0.97</v>
      </c>
      <c r="J321" s="103">
        <v>39873</v>
      </c>
      <c r="K321" s="104">
        <v>39884</v>
      </c>
    </row>
    <row r="322" spans="2:11" s="99" customFormat="1" ht="21" customHeight="1">
      <c r="B322" s="100" t="s">
        <v>486</v>
      </c>
      <c r="C322" s="101" t="s">
        <v>487</v>
      </c>
      <c r="D322" s="101" t="s">
        <v>510</v>
      </c>
      <c r="E322" s="101" t="s">
        <v>511</v>
      </c>
      <c r="F322" s="101"/>
      <c r="G322" s="101" t="s">
        <v>146</v>
      </c>
      <c r="H322" s="101"/>
      <c r="I322" s="102">
        <v>0.97</v>
      </c>
      <c r="J322" s="103"/>
      <c r="K322" s="104">
        <v>39770</v>
      </c>
    </row>
    <row r="323" spans="2:11" s="99" customFormat="1" ht="21" customHeight="1">
      <c r="B323" s="100" t="s">
        <v>486</v>
      </c>
      <c r="C323" s="101" t="s">
        <v>487</v>
      </c>
      <c r="D323" s="101"/>
      <c r="E323" s="101" t="s">
        <v>512</v>
      </c>
      <c r="F323" s="101"/>
      <c r="G323" s="101" t="s">
        <v>146</v>
      </c>
      <c r="H323" s="101"/>
      <c r="I323" s="102">
        <v>1.006</v>
      </c>
      <c r="J323" s="103">
        <v>40542</v>
      </c>
      <c r="K323" s="104">
        <v>40557</v>
      </c>
    </row>
    <row r="324" spans="2:11" s="99" customFormat="1" ht="21" customHeight="1">
      <c r="B324" s="100" t="s">
        <v>486</v>
      </c>
      <c r="C324" s="101" t="s">
        <v>487</v>
      </c>
      <c r="D324" s="101"/>
      <c r="E324" s="101" t="s">
        <v>488</v>
      </c>
      <c r="F324" s="101"/>
      <c r="G324" s="101" t="s">
        <v>146</v>
      </c>
      <c r="H324" s="101"/>
      <c r="I324" s="102">
        <v>1.006</v>
      </c>
      <c r="J324" s="103">
        <v>40542</v>
      </c>
      <c r="K324" s="104">
        <v>40557</v>
      </c>
    </row>
    <row r="325" spans="2:11" s="99" customFormat="1" ht="21" customHeight="1">
      <c r="B325" s="100" t="s">
        <v>486</v>
      </c>
      <c r="C325" s="101" t="s">
        <v>234</v>
      </c>
      <c r="D325" s="101" t="s">
        <v>248</v>
      </c>
      <c r="E325" s="101" t="s">
        <v>513</v>
      </c>
      <c r="F325" s="101"/>
      <c r="G325" s="101" t="s">
        <v>146</v>
      </c>
      <c r="H325" s="101"/>
      <c r="I325" s="102">
        <v>1.03</v>
      </c>
      <c r="J325" s="103">
        <v>39479</v>
      </c>
      <c r="K325" s="104">
        <v>39451</v>
      </c>
    </row>
    <row r="326" spans="2:11" s="99" customFormat="1" ht="21" customHeight="1">
      <c r="B326" s="100" t="s">
        <v>486</v>
      </c>
      <c r="C326" s="101" t="s">
        <v>487</v>
      </c>
      <c r="D326" s="101" t="s">
        <v>248</v>
      </c>
      <c r="E326" s="101" t="s">
        <v>514</v>
      </c>
      <c r="F326" s="101"/>
      <c r="G326" s="101" t="s">
        <v>146</v>
      </c>
      <c r="H326" s="101"/>
      <c r="I326" s="102">
        <v>1.03</v>
      </c>
      <c r="J326" s="103">
        <v>39479</v>
      </c>
      <c r="K326" s="104">
        <v>39451</v>
      </c>
    </row>
    <row r="327" spans="2:11" s="99" customFormat="1" ht="21" customHeight="1">
      <c r="B327" s="100" t="s">
        <v>486</v>
      </c>
      <c r="C327" s="101" t="s">
        <v>487</v>
      </c>
      <c r="D327" s="101" t="s">
        <v>248</v>
      </c>
      <c r="E327" s="101" t="s">
        <v>515</v>
      </c>
      <c r="F327" s="101"/>
      <c r="G327" s="101" t="s">
        <v>146</v>
      </c>
      <c r="H327" s="101"/>
      <c r="I327" s="102">
        <v>1.03</v>
      </c>
      <c r="J327" s="103">
        <v>39479</v>
      </c>
      <c r="K327" s="104">
        <v>39451</v>
      </c>
    </row>
    <row r="328" spans="2:11" s="99" customFormat="1" ht="21" customHeight="1">
      <c r="B328" s="100" t="s">
        <v>486</v>
      </c>
      <c r="C328" s="101" t="s">
        <v>487</v>
      </c>
      <c r="D328" s="101" t="s">
        <v>248</v>
      </c>
      <c r="E328" s="101" t="s">
        <v>516</v>
      </c>
      <c r="F328" s="101"/>
      <c r="G328" s="101" t="s">
        <v>146</v>
      </c>
      <c r="H328" s="101"/>
      <c r="I328" s="102">
        <v>1.03</v>
      </c>
      <c r="J328" s="103">
        <v>39479</v>
      </c>
      <c r="K328" s="104">
        <v>39451</v>
      </c>
    </row>
    <row r="329" spans="2:11" s="99" customFormat="1" ht="21" customHeight="1">
      <c r="B329" s="100" t="s">
        <v>486</v>
      </c>
      <c r="C329" s="101" t="s">
        <v>487</v>
      </c>
      <c r="D329" s="101" t="s">
        <v>517</v>
      </c>
      <c r="E329" s="101" t="s">
        <v>518</v>
      </c>
      <c r="F329" s="101"/>
      <c r="G329" s="101" t="s">
        <v>146</v>
      </c>
      <c r="H329" s="101"/>
      <c r="I329" s="102">
        <v>1.03</v>
      </c>
      <c r="J329" s="103">
        <v>39479</v>
      </c>
      <c r="K329" s="104">
        <v>39510</v>
      </c>
    </row>
    <row r="330" spans="2:11" s="99" customFormat="1" ht="21" customHeight="1">
      <c r="B330" s="100" t="s">
        <v>486</v>
      </c>
      <c r="C330" s="101" t="s">
        <v>234</v>
      </c>
      <c r="D330" s="101" t="s">
        <v>519</v>
      </c>
      <c r="E330" s="101" t="s">
        <v>520</v>
      </c>
      <c r="F330" s="101"/>
      <c r="G330" s="101" t="s">
        <v>146</v>
      </c>
      <c r="H330" s="101"/>
      <c r="I330" s="102">
        <v>1.05</v>
      </c>
      <c r="J330" s="103"/>
      <c r="K330" s="104">
        <v>39770</v>
      </c>
    </row>
    <row r="331" spans="2:11" s="99" customFormat="1" ht="21" customHeight="1">
      <c r="B331" s="100" t="s">
        <v>486</v>
      </c>
      <c r="C331" s="101" t="s">
        <v>487</v>
      </c>
      <c r="D331" s="101" t="s">
        <v>235</v>
      </c>
      <c r="E331" s="101" t="s">
        <v>521</v>
      </c>
      <c r="F331" s="101"/>
      <c r="G331" s="101" t="s">
        <v>146</v>
      </c>
      <c r="H331" s="101"/>
      <c r="I331" s="102">
        <v>1.05</v>
      </c>
      <c r="J331" s="103"/>
      <c r="K331" s="104">
        <v>39770</v>
      </c>
    </row>
    <row r="332" spans="2:11" s="99" customFormat="1" ht="21" customHeight="1">
      <c r="B332" s="100" t="s">
        <v>486</v>
      </c>
      <c r="C332" s="101" t="s">
        <v>487</v>
      </c>
      <c r="D332" s="101" t="s">
        <v>235</v>
      </c>
      <c r="E332" s="101" t="s">
        <v>522</v>
      </c>
      <c r="F332" s="101"/>
      <c r="G332" s="101" t="s">
        <v>146</v>
      </c>
      <c r="H332" s="101"/>
      <c r="I332" s="102">
        <v>1.05</v>
      </c>
      <c r="J332" s="103"/>
      <c r="K332" s="104">
        <v>39770</v>
      </c>
    </row>
    <row r="333" spans="2:11" s="99" customFormat="1" ht="21" customHeight="1">
      <c r="B333" s="100" t="s">
        <v>486</v>
      </c>
      <c r="C333" s="101" t="s">
        <v>234</v>
      </c>
      <c r="D333" s="101" t="s">
        <v>519</v>
      </c>
      <c r="E333" s="101" t="s">
        <v>523</v>
      </c>
      <c r="F333" s="101"/>
      <c r="G333" s="101" t="s">
        <v>146</v>
      </c>
      <c r="H333" s="101"/>
      <c r="I333" s="102">
        <v>1.1499999999999999</v>
      </c>
      <c r="J333" s="103">
        <v>39479</v>
      </c>
      <c r="K333" s="104">
        <v>39451</v>
      </c>
    </row>
    <row r="334" spans="2:11" s="99" customFormat="1" ht="21" customHeight="1">
      <c r="B334" s="100" t="s">
        <v>486</v>
      </c>
      <c r="C334" s="101" t="s">
        <v>487</v>
      </c>
      <c r="D334" s="101" t="s">
        <v>524</v>
      </c>
      <c r="E334" s="101" t="s">
        <v>525</v>
      </c>
      <c r="F334" s="101"/>
      <c r="G334" s="101" t="s">
        <v>146</v>
      </c>
      <c r="H334" s="101"/>
      <c r="I334" s="102">
        <v>1.1499999999999999</v>
      </c>
      <c r="J334" s="103">
        <v>39479</v>
      </c>
      <c r="K334" s="104">
        <v>39510</v>
      </c>
    </row>
    <row r="335" spans="2:11" s="99" customFormat="1" ht="21" customHeight="1">
      <c r="B335" s="100" t="s">
        <v>486</v>
      </c>
      <c r="C335" s="101" t="s">
        <v>487</v>
      </c>
      <c r="D335" s="101" t="s">
        <v>235</v>
      </c>
      <c r="E335" s="101" t="s">
        <v>526</v>
      </c>
      <c r="F335" s="101"/>
      <c r="G335" s="101" t="s">
        <v>146</v>
      </c>
      <c r="H335" s="101"/>
      <c r="I335" s="102">
        <v>1.1499999999999999</v>
      </c>
      <c r="J335" s="103">
        <v>39479</v>
      </c>
      <c r="K335" s="104">
        <v>39451</v>
      </c>
    </row>
    <row r="336" spans="2:11" s="99" customFormat="1" ht="21" customHeight="1">
      <c r="B336" s="100" t="s">
        <v>486</v>
      </c>
      <c r="C336" s="101" t="s">
        <v>487</v>
      </c>
      <c r="D336" s="101" t="s">
        <v>235</v>
      </c>
      <c r="E336" s="101" t="s">
        <v>527</v>
      </c>
      <c r="F336" s="101"/>
      <c r="G336" s="101" t="s">
        <v>146</v>
      </c>
      <c r="H336" s="101"/>
      <c r="I336" s="102">
        <v>1.1499999999999999</v>
      </c>
      <c r="J336" s="103">
        <v>39479</v>
      </c>
      <c r="K336" s="104">
        <v>39451</v>
      </c>
    </row>
    <row r="337" spans="2:11" s="99" customFormat="1" ht="21" customHeight="1">
      <c r="B337" s="100" t="s">
        <v>486</v>
      </c>
      <c r="C337" s="101" t="s">
        <v>487</v>
      </c>
      <c r="D337" s="101"/>
      <c r="E337" s="101" t="s">
        <v>528</v>
      </c>
      <c r="F337" s="101"/>
      <c r="G337" s="101" t="s">
        <v>146</v>
      </c>
      <c r="H337" s="101"/>
      <c r="I337" s="102">
        <v>1.2</v>
      </c>
      <c r="J337" s="103">
        <v>40441</v>
      </c>
      <c r="K337" s="104">
        <v>40431</v>
      </c>
    </row>
    <row r="338" spans="2:11" s="99" customFormat="1" ht="21" customHeight="1">
      <c r="B338" s="100" t="s">
        <v>486</v>
      </c>
      <c r="C338" s="101" t="s">
        <v>487</v>
      </c>
      <c r="D338" s="101"/>
      <c r="E338" s="101" t="s">
        <v>529</v>
      </c>
      <c r="F338" s="101"/>
      <c r="G338" s="101" t="s">
        <v>146</v>
      </c>
      <c r="H338" s="101"/>
      <c r="I338" s="102">
        <v>1.2</v>
      </c>
      <c r="J338" s="103">
        <v>40441</v>
      </c>
      <c r="K338" s="104">
        <v>40431</v>
      </c>
    </row>
    <row r="339" spans="2:11" s="99" customFormat="1" ht="21" customHeight="1">
      <c r="B339" s="100" t="s">
        <v>486</v>
      </c>
      <c r="C339" s="101" t="s">
        <v>487</v>
      </c>
      <c r="D339" s="101"/>
      <c r="E339" s="101" t="s">
        <v>530</v>
      </c>
      <c r="F339" s="101"/>
      <c r="G339" s="101" t="s">
        <v>146</v>
      </c>
      <c r="H339" s="101"/>
      <c r="I339" s="102">
        <v>1.2</v>
      </c>
      <c r="J339" s="103">
        <v>40441</v>
      </c>
      <c r="K339" s="104">
        <v>40431</v>
      </c>
    </row>
    <row r="340" spans="2:11" s="99" customFormat="1" ht="21" customHeight="1">
      <c r="B340" s="100" t="s">
        <v>486</v>
      </c>
      <c r="C340" s="101" t="s">
        <v>487</v>
      </c>
      <c r="D340" s="101"/>
      <c r="E340" s="101" t="s">
        <v>531</v>
      </c>
      <c r="F340" s="101"/>
      <c r="G340" s="101" t="s">
        <v>146</v>
      </c>
      <c r="H340" s="101"/>
      <c r="I340" s="102">
        <v>1.2</v>
      </c>
      <c r="J340" s="103">
        <v>40441</v>
      </c>
      <c r="K340" s="104">
        <v>40431</v>
      </c>
    </row>
    <row r="341" spans="2:11" s="99" customFormat="1" ht="21" customHeight="1">
      <c r="B341" s="100" t="s">
        <v>486</v>
      </c>
      <c r="C341" s="101" t="s">
        <v>487</v>
      </c>
      <c r="D341" s="101"/>
      <c r="E341" s="101" t="s">
        <v>532</v>
      </c>
      <c r="F341" s="101"/>
      <c r="G341" s="101" t="s">
        <v>146</v>
      </c>
      <c r="H341" s="101"/>
      <c r="I341" s="102">
        <v>1.2</v>
      </c>
      <c r="J341" s="103">
        <v>40441</v>
      </c>
      <c r="K341" s="104">
        <v>40431</v>
      </c>
    </row>
    <row r="342" spans="2:11" s="99" customFormat="1" ht="21" customHeight="1">
      <c r="B342" s="100" t="s">
        <v>486</v>
      </c>
      <c r="C342" s="101" t="s">
        <v>487</v>
      </c>
      <c r="D342" s="101"/>
      <c r="E342" s="101" t="s">
        <v>533</v>
      </c>
      <c r="F342" s="101"/>
      <c r="G342" s="101" t="s">
        <v>146</v>
      </c>
      <c r="H342" s="101"/>
      <c r="I342" s="102">
        <v>1.2</v>
      </c>
      <c r="J342" s="103">
        <v>40441</v>
      </c>
      <c r="K342" s="104">
        <v>40431</v>
      </c>
    </row>
    <row r="343" spans="2:11" s="99" customFormat="1" ht="21" customHeight="1">
      <c r="B343" s="100" t="s">
        <v>486</v>
      </c>
      <c r="C343" s="101" t="s">
        <v>487</v>
      </c>
      <c r="D343" s="101"/>
      <c r="E343" s="101" t="s">
        <v>534</v>
      </c>
      <c r="F343" s="101"/>
      <c r="G343" s="101" t="s">
        <v>146</v>
      </c>
      <c r="H343" s="101"/>
      <c r="I343" s="102">
        <v>1.2</v>
      </c>
      <c r="J343" s="103">
        <v>40441</v>
      </c>
      <c r="K343" s="104">
        <v>40431</v>
      </c>
    </row>
    <row r="344" spans="2:11" s="99" customFormat="1" ht="21" customHeight="1">
      <c r="B344" s="100" t="s">
        <v>486</v>
      </c>
      <c r="C344" s="101" t="s">
        <v>487</v>
      </c>
      <c r="D344" s="101"/>
      <c r="E344" s="101" t="s">
        <v>535</v>
      </c>
      <c r="F344" s="101"/>
      <c r="G344" s="101" t="s">
        <v>146</v>
      </c>
      <c r="H344" s="101"/>
      <c r="I344" s="102">
        <v>1.2</v>
      </c>
      <c r="J344" s="103">
        <v>40441</v>
      </c>
      <c r="K344" s="104">
        <v>40431</v>
      </c>
    </row>
    <row r="345" spans="2:11" s="99" customFormat="1" ht="21" customHeight="1">
      <c r="B345" s="100" t="s">
        <v>486</v>
      </c>
      <c r="C345" s="101" t="s">
        <v>487</v>
      </c>
      <c r="D345" s="101"/>
      <c r="E345" s="101" t="s">
        <v>536</v>
      </c>
      <c r="F345" s="101"/>
      <c r="G345" s="101" t="s">
        <v>146</v>
      </c>
      <c r="H345" s="101"/>
      <c r="I345" s="102">
        <v>1.2</v>
      </c>
      <c r="J345" s="103">
        <v>40441</v>
      </c>
      <c r="K345" s="104">
        <v>40431</v>
      </c>
    </row>
    <row r="346" spans="2:11" s="99" customFormat="1" ht="21" customHeight="1">
      <c r="B346" s="100" t="s">
        <v>537</v>
      </c>
      <c r="C346" s="101" t="s">
        <v>538</v>
      </c>
      <c r="D346" s="101" t="s">
        <v>539</v>
      </c>
      <c r="E346" s="101" t="s">
        <v>540</v>
      </c>
      <c r="F346" s="101"/>
      <c r="G346" s="101" t="s">
        <v>146</v>
      </c>
      <c r="H346" s="101"/>
      <c r="I346" s="102">
        <v>0.54</v>
      </c>
      <c r="J346" s="103">
        <v>40375</v>
      </c>
      <c r="K346" s="104">
        <v>40381</v>
      </c>
    </row>
    <row r="347" spans="2:11" s="99" customFormat="1" ht="21" customHeight="1">
      <c r="B347" s="100" t="s">
        <v>537</v>
      </c>
      <c r="C347" s="101" t="s">
        <v>538</v>
      </c>
      <c r="D347" s="101" t="s">
        <v>539</v>
      </c>
      <c r="E347" s="101" t="s">
        <v>541</v>
      </c>
      <c r="F347" s="101"/>
      <c r="G347" s="101" t="s">
        <v>146</v>
      </c>
      <c r="H347" s="101"/>
      <c r="I347" s="102">
        <v>0.64</v>
      </c>
      <c r="J347" s="103">
        <v>40375</v>
      </c>
      <c r="K347" s="104">
        <v>40381</v>
      </c>
    </row>
    <row r="348" spans="2:11" s="99" customFormat="1" ht="21" customHeight="1">
      <c r="B348" s="100" t="s">
        <v>537</v>
      </c>
      <c r="C348" s="101" t="s">
        <v>538</v>
      </c>
      <c r="D348" s="101" t="s">
        <v>542</v>
      </c>
      <c r="E348" s="101" t="s">
        <v>543</v>
      </c>
      <c r="F348" s="101"/>
      <c r="G348" s="101" t="s">
        <v>146</v>
      </c>
      <c r="H348" s="101"/>
      <c r="I348" s="102">
        <v>0.7</v>
      </c>
      <c r="J348" s="103">
        <v>40375</v>
      </c>
      <c r="K348" s="104">
        <v>40381</v>
      </c>
    </row>
    <row r="349" spans="2:11" s="99" customFormat="1" ht="21" customHeight="1">
      <c r="B349" s="100" t="s">
        <v>537</v>
      </c>
      <c r="C349" s="101" t="s">
        <v>538</v>
      </c>
      <c r="D349" s="101" t="s">
        <v>542</v>
      </c>
      <c r="E349" s="101" t="s">
        <v>544</v>
      </c>
      <c r="F349" s="101"/>
      <c r="G349" s="101" t="s">
        <v>146</v>
      </c>
      <c r="H349" s="101"/>
      <c r="I349" s="102">
        <v>0.85</v>
      </c>
      <c r="J349" s="103">
        <v>40375</v>
      </c>
      <c r="K349" s="104">
        <v>40381</v>
      </c>
    </row>
    <row r="350" spans="2:11" s="99" customFormat="1" ht="21" customHeight="1">
      <c r="B350" s="100" t="s">
        <v>537</v>
      </c>
      <c r="C350" s="101" t="s">
        <v>545</v>
      </c>
      <c r="D350" s="101" t="s">
        <v>546</v>
      </c>
      <c r="E350" s="101" t="s">
        <v>547</v>
      </c>
      <c r="F350" s="101"/>
      <c r="G350" s="101" t="s">
        <v>146</v>
      </c>
      <c r="H350" s="101"/>
      <c r="I350" s="102">
        <v>1.1499999999999999</v>
      </c>
      <c r="J350" s="103">
        <v>40375</v>
      </c>
      <c r="K350" s="104">
        <v>40381</v>
      </c>
    </row>
    <row r="351" spans="2:11" s="99" customFormat="1" ht="21" customHeight="1">
      <c r="B351" s="100" t="s">
        <v>537</v>
      </c>
      <c r="C351" s="101" t="s">
        <v>545</v>
      </c>
      <c r="D351" s="101" t="s">
        <v>546</v>
      </c>
      <c r="E351" s="101" t="s">
        <v>548</v>
      </c>
      <c r="F351" s="101"/>
      <c r="G351" s="101" t="s">
        <v>146</v>
      </c>
      <c r="H351" s="101"/>
      <c r="I351" s="102">
        <v>1.1499999999999999</v>
      </c>
      <c r="J351" s="103">
        <v>40375</v>
      </c>
      <c r="K351" s="104">
        <v>40381</v>
      </c>
    </row>
    <row r="352" spans="2:11" s="99" customFormat="1" ht="21" customHeight="1">
      <c r="B352" s="100" t="s">
        <v>537</v>
      </c>
      <c r="C352" s="101" t="s">
        <v>545</v>
      </c>
      <c r="D352" s="101" t="s">
        <v>546</v>
      </c>
      <c r="E352" s="101" t="s">
        <v>549</v>
      </c>
      <c r="F352" s="101"/>
      <c r="G352" s="101" t="s">
        <v>146</v>
      </c>
      <c r="H352" s="101"/>
      <c r="I352" s="102">
        <v>1.1499999999999999</v>
      </c>
      <c r="J352" s="103">
        <v>40375</v>
      </c>
      <c r="K352" s="104">
        <v>40381</v>
      </c>
    </row>
    <row r="353" spans="2:11" s="99" customFormat="1" ht="21" customHeight="1">
      <c r="B353" s="100" t="s">
        <v>537</v>
      </c>
      <c r="C353" s="101" t="s">
        <v>545</v>
      </c>
      <c r="D353" s="101" t="s">
        <v>546</v>
      </c>
      <c r="E353" s="101" t="s">
        <v>550</v>
      </c>
      <c r="F353" s="101"/>
      <c r="G353" s="101" t="s">
        <v>146</v>
      </c>
      <c r="H353" s="101"/>
      <c r="I353" s="102">
        <v>1.1499999999999999</v>
      </c>
      <c r="J353" s="103">
        <v>40375</v>
      </c>
      <c r="K353" s="104">
        <v>40381</v>
      </c>
    </row>
    <row r="354" spans="2:11" s="99" customFormat="1" ht="21" customHeight="1">
      <c r="B354" s="100" t="s">
        <v>551</v>
      </c>
      <c r="C354" s="101" t="s">
        <v>552</v>
      </c>
      <c r="D354" s="101" t="s">
        <v>553</v>
      </c>
      <c r="E354" s="101" t="s">
        <v>554</v>
      </c>
      <c r="F354" s="101"/>
      <c r="G354" s="101" t="s">
        <v>164</v>
      </c>
      <c r="H354" s="101"/>
      <c r="I354" s="102">
        <v>0.15</v>
      </c>
      <c r="J354" s="103">
        <v>39113</v>
      </c>
      <c r="K354" s="104">
        <v>39112</v>
      </c>
    </row>
    <row r="355" spans="2:11" s="99" customFormat="1" ht="21" customHeight="1">
      <c r="B355" s="100" t="s">
        <v>551</v>
      </c>
      <c r="C355" s="101" t="s">
        <v>552</v>
      </c>
      <c r="D355" s="101" t="s">
        <v>553</v>
      </c>
      <c r="E355" s="101" t="s">
        <v>555</v>
      </c>
      <c r="F355" s="101"/>
      <c r="G355" s="101" t="s">
        <v>164</v>
      </c>
      <c r="H355" s="101"/>
      <c r="I355" s="102">
        <v>0.15</v>
      </c>
      <c r="J355" s="103">
        <v>39113</v>
      </c>
      <c r="K355" s="104">
        <v>39112</v>
      </c>
    </row>
    <row r="356" spans="2:11" s="99" customFormat="1" ht="21" customHeight="1">
      <c r="B356" s="100" t="s">
        <v>551</v>
      </c>
      <c r="C356" s="101" t="s">
        <v>552</v>
      </c>
      <c r="D356" s="101" t="s">
        <v>556</v>
      </c>
      <c r="E356" s="101" t="s">
        <v>557</v>
      </c>
      <c r="F356" s="101"/>
      <c r="G356" s="101" t="s">
        <v>146</v>
      </c>
      <c r="H356" s="101"/>
      <c r="I356" s="102">
        <v>0.73</v>
      </c>
      <c r="J356" s="103">
        <v>37926</v>
      </c>
      <c r="K356" s="104">
        <v>37926</v>
      </c>
    </row>
    <row r="357" spans="2:11" s="99" customFormat="1" ht="21" customHeight="1">
      <c r="B357" s="100" t="s">
        <v>551</v>
      </c>
      <c r="C357" s="101" t="s">
        <v>552</v>
      </c>
      <c r="D357" s="101" t="s">
        <v>553</v>
      </c>
      <c r="E357" s="101" t="s">
        <v>558</v>
      </c>
      <c r="F357" s="101"/>
      <c r="G357" s="101" t="s">
        <v>146</v>
      </c>
      <c r="H357" s="101"/>
      <c r="I357" s="102">
        <v>0.81</v>
      </c>
      <c r="J357" s="103">
        <v>37926</v>
      </c>
      <c r="K357" s="104">
        <v>37926</v>
      </c>
    </row>
    <row r="358" spans="2:11" s="99" customFormat="1" ht="21" customHeight="1">
      <c r="B358" s="100" t="s">
        <v>551</v>
      </c>
      <c r="C358" s="101" t="s">
        <v>552</v>
      </c>
      <c r="D358" s="101" t="s">
        <v>553</v>
      </c>
      <c r="E358" s="101" t="s">
        <v>559</v>
      </c>
      <c r="F358" s="101"/>
      <c r="G358" s="101" t="s">
        <v>146</v>
      </c>
      <c r="H358" s="101"/>
      <c r="I358" s="102">
        <v>0.99</v>
      </c>
      <c r="J358" s="103">
        <v>39659</v>
      </c>
      <c r="K358" s="104">
        <v>39631</v>
      </c>
    </row>
    <row r="359" spans="2:11" s="99" customFormat="1" ht="21" customHeight="1">
      <c r="B359" s="100" t="s">
        <v>551</v>
      </c>
      <c r="C359" s="101" t="s">
        <v>552</v>
      </c>
      <c r="D359" s="101"/>
      <c r="E359" s="101" t="s">
        <v>560</v>
      </c>
      <c r="F359" s="101"/>
      <c r="G359" s="101" t="s">
        <v>146</v>
      </c>
      <c r="H359" s="101"/>
      <c r="I359" s="102">
        <v>0.99</v>
      </c>
      <c r="J359" s="103">
        <v>39112</v>
      </c>
      <c r="K359" s="104">
        <v>39100</v>
      </c>
    </row>
    <row r="360" spans="2:11" s="99" customFormat="1" ht="21" customHeight="1">
      <c r="B360" s="100" t="s">
        <v>551</v>
      </c>
      <c r="C360" s="101" t="s">
        <v>552</v>
      </c>
      <c r="D360" s="101"/>
      <c r="E360" s="101" t="s">
        <v>561</v>
      </c>
      <c r="F360" s="101"/>
      <c r="G360" s="101" t="s">
        <v>146</v>
      </c>
      <c r="H360" s="101"/>
      <c r="I360" s="102">
        <v>0.99</v>
      </c>
      <c r="J360" s="103">
        <v>39112</v>
      </c>
      <c r="K360" s="104">
        <v>39100</v>
      </c>
    </row>
    <row r="361" spans="2:11" s="99" customFormat="1" ht="21" customHeight="1">
      <c r="B361" s="100" t="s">
        <v>562</v>
      </c>
      <c r="C361" s="101" t="s">
        <v>563</v>
      </c>
      <c r="D361" s="101" t="s">
        <v>564</v>
      </c>
      <c r="E361" s="101" t="s">
        <v>565</v>
      </c>
      <c r="F361" s="101"/>
      <c r="G361" s="101" t="s">
        <v>146</v>
      </c>
      <c r="H361" s="101"/>
      <c r="I361" s="102">
        <v>1.03</v>
      </c>
      <c r="J361" s="103"/>
      <c r="K361" s="104">
        <v>40408</v>
      </c>
    </row>
    <row r="362" spans="2:11" s="99" customFormat="1" ht="21" customHeight="1">
      <c r="B362" s="100" t="s">
        <v>566</v>
      </c>
      <c r="C362" s="101" t="s">
        <v>567</v>
      </c>
      <c r="D362" s="101" t="s">
        <v>568</v>
      </c>
      <c r="E362" s="101" t="s">
        <v>569</v>
      </c>
      <c r="F362" s="101"/>
      <c r="G362" s="101" t="s">
        <v>146</v>
      </c>
      <c r="H362" s="101"/>
      <c r="I362" s="102">
        <v>0.92500000000000004</v>
      </c>
      <c r="J362" s="103">
        <v>40554</v>
      </c>
      <c r="K362" s="104">
        <v>40557</v>
      </c>
    </row>
    <row r="363" spans="2:11" s="99" customFormat="1" ht="21" customHeight="1">
      <c r="B363" s="100" t="s">
        <v>566</v>
      </c>
      <c r="C363" s="101" t="s">
        <v>567</v>
      </c>
      <c r="D363" s="101" t="s">
        <v>570</v>
      </c>
      <c r="E363" s="101" t="s">
        <v>569</v>
      </c>
      <c r="F363" s="101"/>
      <c r="G363" s="101" t="s">
        <v>146</v>
      </c>
      <c r="H363" s="101"/>
      <c r="I363" s="102">
        <v>0.92500000000000004</v>
      </c>
      <c r="J363" s="103">
        <v>40532</v>
      </c>
      <c r="K363" s="104">
        <v>40532</v>
      </c>
    </row>
    <row r="364" spans="2:11" s="99" customFormat="1" ht="21" customHeight="1">
      <c r="B364" s="100" t="s">
        <v>566</v>
      </c>
      <c r="C364" s="101" t="s">
        <v>567</v>
      </c>
      <c r="D364" s="101" t="s">
        <v>568</v>
      </c>
      <c r="E364" s="101" t="s">
        <v>571</v>
      </c>
      <c r="F364" s="101"/>
      <c r="G364" s="101" t="s">
        <v>146</v>
      </c>
      <c r="H364" s="101"/>
      <c r="I364" s="102">
        <v>0.92700000000000005</v>
      </c>
      <c r="J364" s="103"/>
      <c r="K364" s="104">
        <v>40399</v>
      </c>
    </row>
    <row r="365" spans="2:11" s="99" customFormat="1" ht="21" customHeight="1">
      <c r="B365" s="100" t="s">
        <v>566</v>
      </c>
      <c r="C365" s="101" t="s">
        <v>567</v>
      </c>
      <c r="D365" s="101" t="s">
        <v>568</v>
      </c>
      <c r="E365" s="101" t="s">
        <v>572</v>
      </c>
      <c r="F365" s="101"/>
      <c r="G365" s="101" t="s">
        <v>146</v>
      </c>
      <c r="H365" s="101"/>
      <c r="I365" s="102">
        <v>0.99399999999999999</v>
      </c>
      <c r="J365" s="103">
        <v>40368</v>
      </c>
      <c r="K365" s="104">
        <v>40368</v>
      </c>
    </row>
    <row r="366" spans="2:11" s="99" customFormat="1" ht="21" customHeight="1">
      <c r="B366" s="100" t="s">
        <v>566</v>
      </c>
      <c r="C366" s="101" t="s">
        <v>567</v>
      </c>
      <c r="D366" s="101" t="s">
        <v>568</v>
      </c>
      <c r="E366" s="101" t="s">
        <v>573</v>
      </c>
      <c r="F366" s="101"/>
      <c r="G366" s="101" t="s">
        <v>146</v>
      </c>
      <c r="H366" s="101"/>
      <c r="I366" s="102">
        <v>1.038</v>
      </c>
      <c r="J366" s="103">
        <v>40554</v>
      </c>
      <c r="K366" s="104">
        <v>40557</v>
      </c>
    </row>
    <row r="367" spans="2:11" s="99" customFormat="1" ht="21" customHeight="1">
      <c r="B367" s="100" t="s">
        <v>566</v>
      </c>
      <c r="C367" s="101" t="s">
        <v>567</v>
      </c>
      <c r="D367" s="101" t="s">
        <v>568</v>
      </c>
      <c r="E367" s="101" t="s">
        <v>574</v>
      </c>
      <c r="F367" s="101"/>
      <c r="G367" s="101" t="s">
        <v>146</v>
      </c>
      <c r="H367" s="101"/>
      <c r="I367" s="102">
        <v>1.04</v>
      </c>
      <c r="J367" s="103"/>
      <c r="K367" s="104">
        <v>40399</v>
      </c>
    </row>
    <row r="368" spans="2:11" s="99" customFormat="1" ht="21" customHeight="1">
      <c r="B368" s="100" t="s">
        <v>566</v>
      </c>
      <c r="C368" s="101" t="s">
        <v>567</v>
      </c>
      <c r="D368" s="101" t="s">
        <v>568</v>
      </c>
      <c r="E368" s="101" t="s">
        <v>575</v>
      </c>
      <c r="F368" s="101"/>
      <c r="G368" s="101" t="s">
        <v>146</v>
      </c>
      <c r="H368" s="101"/>
      <c r="I368" s="102">
        <v>1.0429999999999999</v>
      </c>
      <c r="J368" s="103">
        <v>40554</v>
      </c>
      <c r="K368" s="104">
        <v>40557</v>
      </c>
    </row>
    <row r="369" spans="2:11" s="99" customFormat="1" ht="21" customHeight="1">
      <c r="B369" s="100" t="s">
        <v>566</v>
      </c>
      <c r="C369" s="101" t="s">
        <v>567</v>
      </c>
      <c r="D369" s="101" t="s">
        <v>568</v>
      </c>
      <c r="E369" s="101" t="s">
        <v>576</v>
      </c>
      <c r="F369" s="101"/>
      <c r="G369" s="101" t="s">
        <v>146</v>
      </c>
      <c r="H369" s="101"/>
      <c r="I369" s="102">
        <v>1.05</v>
      </c>
      <c r="J369" s="103"/>
      <c r="K369" s="104">
        <v>40399</v>
      </c>
    </row>
    <row r="370" spans="2:11" s="99" customFormat="1" ht="21" customHeight="1">
      <c r="B370" s="100" t="s">
        <v>566</v>
      </c>
      <c r="C370" s="101" t="s">
        <v>567</v>
      </c>
      <c r="D370" s="101" t="s">
        <v>568</v>
      </c>
      <c r="E370" s="101" t="s">
        <v>577</v>
      </c>
      <c r="F370" s="101"/>
      <c r="G370" s="101" t="s">
        <v>146</v>
      </c>
      <c r="H370" s="101"/>
      <c r="I370" s="102">
        <v>1.07</v>
      </c>
      <c r="J370" s="103">
        <v>40554</v>
      </c>
      <c r="K370" s="104">
        <v>40557</v>
      </c>
    </row>
    <row r="371" spans="2:11" s="99" customFormat="1" ht="21" customHeight="1">
      <c r="B371" s="100" t="s">
        <v>566</v>
      </c>
      <c r="C371" s="101" t="s">
        <v>567</v>
      </c>
      <c r="D371" s="101" t="s">
        <v>568</v>
      </c>
      <c r="E371" s="101" t="s">
        <v>578</v>
      </c>
      <c r="F371" s="101"/>
      <c r="G371" s="101" t="s">
        <v>146</v>
      </c>
      <c r="H371" s="101"/>
      <c r="I371" s="102">
        <v>1.117</v>
      </c>
      <c r="J371" s="103">
        <v>40554</v>
      </c>
      <c r="K371" s="104">
        <v>40557</v>
      </c>
    </row>
    <row r="372" spans="2:11" s="99" customFormat="1" ht="21" customHeight="1">
      <c r="B372" s="100" t="s">
        <v>579</v>
      </c>
      <c r="C372" s="101" t="s">
        <v>580</v>
      </c>
      <c r="D372" s="101" t="s">
        <v>581</v>
      </c>
      <c r="E372" s="101" t="s">
        <v>582</v>
      </c>
      <c r="F372" s="101"/>
      <c r="G372" s="101" t="s">
        <v>164</v>
      </c>
      <c r="H372" s="101"/>
      <c r="I372" s="102">
        <v>0.12</v>
      </c>
      <c r="J372" s="103">
        <v>38718</v>
      </c>
      <c r="K372" s="104">
        <v>38716</v>
      </c>
    </row>
    <row r="373" spans="2:11" s="99" customFormat="1" ht="21" customHeight="1">
      <c r="B373" s="100" t="s">
        <v>579</v>
      </c>
      <c r="C373" s="101" t="s">
        <v>580</v>
      </c>
      <c r="D373" s="101" t="s">
        <v>583</v>
      </c>
      <c r="E373" s="101" t="s">
        <v>584</v>
      </c>
      <c r="F373" s="101"/>
      <c r="G373" s="101" t="s">
        <v>164</v>
      </c>
      <c r="H373" s="101"/>
      <c r="I373" s="102">
        <v>0.12</v>
      </c>
      <c r="J373" s="103">
        <v>38718</v>
      </c>
      <c r="K373" s="104">
        <v>38716</v>
      </c>
    </row>
    <row r="374" spans="2:11" s="99" customFormat="1" ht="21" customHeight="1">
      <c r="B374" s="100" t="s">
        <v>579</v>
      </c>
      <c r="C374" s="101" t="s">
        <v>580</v>
      </c>
      <c r="D374" s="101" t="s">
        <v>581</v>
      </c>
      <c r="E374" s="101" t="s">
        <v>585</v>
      </c>
      <c r="F374" s="101"/>
      <c r="G374" s="101" t="s">
        <v>164</v>
      </c>
      <c r="H374" s="101"/>
      <c r="I374" s="102">
        <v>0.14000000000000001</v>
      </c>
      <c r="J374" s="103">
        <v>38991</v>
      </c>
      <c r="K374" s="104">
        <v>39017</v>
      </c>
    </row>
    <row r="375" spans="2:11" s="99" customFormat="1" ht="21" customHeight="1">
      <c r="B375" s="100" t="s">
        <v>579</v>
      </c>
      <c r="C375" s="101" t="s">
        <v>580</v>
      </c>
      <c r="D375" s="101"/>
      <c r="E375" s="101" t="s">
        <v>586</v>
      </c>
      <c r="F375" s="101"/>
      <c r="G375" s="101" t="s">
        <v>164</v>
      </c>
      <c r="H375" s="101"/>
      <c r="I375" s="102">
        <v>0.151</v>
      </c>
      <c r="J375" s="103">
        <v>40387</v>
      </c>
      <c r="K375" s="104">
        <v>40403</v>
      </c>
    </row>
    <row r="376" spans="2:11" s="99" customFormat="1" ht="21" customHeight="1">
      <c r="B376" s="100" t="s">
        <v>579</v>
      </c>
      <c r="C376" s="101" t="s">
        <v>580</v>
      </c>
      <c r="D376" s="101"/>
      <c r="E376" s="101" t="s">
        <v>587</v>
      </c>
      <c r="F376" s="101"/>
      <c r="G376" s="101" t="s">
        <v>164</v>
      </c>
      <c r="H376" s="101"/>
      <c r="I376" s="102">
        <v>0.151</v>
      </c>
      <c r="J376" s="103">
        <v>40387</v>
      </c>
      <c r="K376" s="104">
        <v>40403</v>
      </c>
    </row>
    <row r="377" spans="2:11" s="99" customFormat="1" ht="21" customHeight="1">
      <c r="B377" s="100" t="s">
        <v>579</v>
      </c>
      <c r="C377" s="101" t="s">
        <v>588</v>
      </c>
      <c r="D377" s="101"/>
      <c r="E377" s="101" t="s">
        <v>589</v>
      </c>
      <c r="F377" s="101"/>
      <c r="G377" s="101" t="s">
        <v>164</v>
      </c>
      <c r="H377" s="101"/>
      <c r="I377" s="102">
        <v>0.151</v>
      </c>
      <c r="J377" s="103">
        <v>40387</v>
      </c>
      <c r="K377" s="104">
        <v>40403</v>
      </c>
    </row>
    <row r="378" spans="2:11" s="99" customFormat="1" ht="21" customHeight="1">
      <c r="B378" s="100" t="s">
        <v>579</v>
      </c>
      <c r="C378" s="101" t="s">
        <v>588</v>
      </c>
      <c r="D378" s="101"/>
      <c r="E378" s="101" t="s">
        <v>590</v>
      </c>
      <c r="F378" s="101"/>
      <c r="G378" s="101" t="s">
        <v>164</v>
      </c>
      <c r="H378" s="101"/>
      <c r="I378" s="102">
        <v>0.151</v>
      </c>
      <c r="J378" s="103">
        <v>40387</v>
      </c>
      <c r="K378" s="104">
        <v>40403</v>
      </c>
    </row>
    <row r="379" spans="2:11" s="99" customFormat="1" ht="21" customHeight="1">
      <c r="B379" s="100" t="s">
        <v>579</v>
      </c>
      <c r="C379" s="101" t="s">
        <v>588</v>
      </c>
      <c r="D379" s="101"/>
      <c r="E379" s="101" t="s">
        <v>591</v>
      </c>
      <c r="F379" s="101"/>
      <c r="G379" s="101" t="s">
        <v>164</v>
      </c>
      <c r="H379" s="101"/>
      <c r="I379" s="102">
        <v>0.151</v>
      </c>
      <c r="J379" s="103">
        <v>40387</v>
      </c>
      <c r="K379" s="104">
        <v>40403</v>
      </c>
    </row>
    <row r="380" spans="2:11" s="99" customFormat="1" ht="21" customHeight="1">
      <c r="B380" s="100" t="s">
        <v>579</v>
      </c>
      <c r="C380" s="101" t="s">
        <v>588</v>
      </c>
      <c r="D380" s="101"/>
      <c r="E380" s="101" t="s">
        <v>592</v>
      </c>
      <c r="F380" s="101"/>
      <c r="G380" s="101" t="s">
        <v>164</v>
      </c>
      <c r="H380" s="101"/>
      <c r="I380" s="102">
        <v>0.151</v>
      </c>
      <c r="J380" s="103">
        <v>40387</v>
      </c>
      <c r="K380" s="104">
        <v>40403</v>
      </c>
    </row>
    <row r="381" spans="2:11" s="99" customFormat="1" ht="21" customHeight="1">
      <c r="B381" s="100" t="s">
        <v>579</v>
      </c>
      <c r="C381" s="101" t="s">
        <v>588</v>
      </c>
      <c r="D381" s="101"/>
      <c r="E381" s="101" t="s">
        <v>593</v>
      </c>
      <c r="F381" s="101"/>
      <c r="G381" s="101" t="s">
        <v>164</v>
      </c>
      <c r="H381" s="101"/>
      <c r="I381" s="102">
        <v>0.151</v>
      </c>
      <c r="J381" s="103">
        <v>40387</v>
      </c>
      <c r="K381" s="104">
        <v>40403</v>
      </c>
    </row>
    <row r="382" spans="2:11" s="99" customFormat="1" ht="21" customHeight="1">
      <c r="B382" s="100" t="s">
        <v>579</v>
      </c>
      <c r="C382" s="101" t="s">
        <v>588</v>
      </c>
      <c r="D382" s="101"/>
      <c r="E382" s="101" t="s">
        <v>594</v>
      </c>
      <c r="F382" s="101"/>
      <c r="G382" s="101" t="s">
        <v>164</v>
      </c>
      <c r="H382" s="101"/>
      <c r="I382" s="102">
        <v>0.151</v>
      </c>
      <c r="J382" s="103">
        <v>40387</v>
      </c>
      <c r="K382" s="104">
        <v>40403</v>
      </c>
    </row>
    <row r="383" spans="2:11" s="99" customFormat="1" ht="21" customHeight="1">
      <c r="B383" s="100" t="s">
        <v>579</v>
      </c>
      <c r="C383" s="101" t="s">
        <v>588</v>
      </c>
      <c r="D383" s="101"/>
      <c r="E383" s="101" t="s">
        <v>595</v>
      </c>
      <c r="F383" s="101"/>
      <c r="G383" s="101" t="s">
        <v>164</v>
      </c>
      <c r="H383" s="101"/>
      <c r="I383" s="102">
        <v>0.151</v>
      </c>
      <c r="J383" s="103">
        <v>40387</v>
      </c>
      <c r="K383" s="104">
        <v>40403</v>
      </c>
    </row>
    <row r="384" spans="2:11" s="99" customFormat="1" ht="21" customHeight="1">
      <c r="B384" s="100" t="s">
        <v>579</v>
      </c>
      <c r="C384" s="101" t="s">
        <v>588</v>
      </c>
      <c r="D384" s="101"/>
      <c r="E384" s="101" t="s">
        <v>596</v>
      </c>
      <c r="F384" s="101"/>
      <c r="G384" s="101" t="s">
        <v>164</v>
      </c>
      <c r="H384" s="101"/>
      <c r="I384" s="102">
        <v>0.151</v>
      </c>
      <c r="J384" s="103">
        <v>40387</v>
      </c>
      <c r="K384" s="104">
        <v>40403</v>
      </c>
    </row>
    <row r="385" spans="2:11" s="99" customFormat="1" ht="21" customHeight="1">
      <c r="B385" s="100" t="s">
        <v>579</v>
      </c>
      <c r="C385" s="101" t="s">
        <v>597</v>
      </c>
      <c r="D385" s="101"/>
      <c r="E385" s="101" t="s">
        <v>598</v>
      </c>
      <c r="F385" s="101"/>
      <c r="G385" s="101" t="s">
        <v>164</v>
      </c>
      <c r="H385" s="101"/>
      <c r="I385" s="102">
        <v>0.151</v>
      </c>
      <c r="J385" s="103">
        <v>40387</v>
      </c>
      <c r="K385" s="104">
        <v>40403</v>
      </c>
    </row>
    <row r="386" spans="2:11" s="99" customFormat="1" ht="21" customHeight="1">
      <c r="B386" s="100" t="s">
        <v>579</v>
      </c>
      <c r="C386" s="101" t="s">
        <v>597</v>
      </c>
      <c r="D386" s="101"/>
      <c r="E386" s="101" t="s">
        <v>599</v>
      </c>
      <c r="F386" s="101"/>
      <c r="G386" s="101" t="s">
        <v>164</v>
      </c>
      <c r="H386" s="101"/>
      <c r="I386" s="102">
        <v>0.151</v>
      </c>
      <c r="J386" s="103">
        <v>40387</v>
      </c>
      <c r="K386" s="104">
        <v>40403</v>
      </c>
    </row>
    <row r="387" spans="2:11" s="99" customFormat="1" ht="21" customHeight="1">
      <c r="B387" s="100" t="s">
        <v>579</v>
      </c>
      <c r="C387" s="101" t="s">
        <v>597</v>
      </c>
      <c r="D387" s="101"/>
      <c r="E387" s="101" t="s">
        <v>600</v>
      </c>
      <c r="F387" s="101"/>
      <c r="G387" s="101" t="s">
        <v>164</v>
      </c>
      <c r="H387" s="101"/>
      <c r="I387" s="102">
        <v>0.151</v>
      </c>
      <c r="J387" s="103">
        <v>40387</v>
      </c>
      <c r="K387" s="104">
        <v>40403</v>
      </c>
    </row>
    <row r="388" spans="2:11" s="99" customFormat="1" ht="21" customHeight="1">
      <c r="B388" s="100" t="s">
        <v>579</v>
      </c>
      <c r="C388" s="101" t="s">
        <v>597</v>
      </c>
      <c r="D388" s="101"/>
      <c r="E388" s="101" t="s">
        <v>601</v>
      </c>
      <c r="F388" s="101"/>
      <c r="G388" s="101" t="s">
        <v>164</v>
      </c>
      <c r="H388" s="101"/>
      <c r="I388" s="102">
        <v>0.151</v>
      </c>
      <c r="J388" s="103">
        <v>40387</v>
      </c>
      <c r="K388" s="104">
        <v>40403</v>
      </c>
    </row>
    <row r="389" spans="2:11" s="99" customFormat="1" ht="21" customHeight="1">
      <c r="B389" s="100" t="s">
        <v>579</v>
      </c>
      <c r="C389" s="101" t="s">
        <v>597</v>
      </c>
      <c r="D389" s="101"/>
      <c r="E389" s="101" t="s">
        <v>602</v>
      </c>
      <c r="F389" s="101"/>
      <c r="G389" s="101" t="s">
        <v>164</v>
      </c>
      <c r="H389" s="101"/>
      <c r="I389" s="102">
        <v>0.151</v>
      </c>
      <c r="J389" s="103">
        <v>40387</v>
      </c>
      <c r="K389" s="104">
        <v>40403</v>
      </c>
    </row>
    <row r="390" spans="2:11" s="99" customFormat="1" ht="21" customHeight="1">
      <c r="B390" s="100" t="s">
        <v>579</v>
      </c>
      <c r="C390" s="101" t="s">
        <v>597</v>
      </c>
      <c r="D390" s="101"/>
      <c r="E390" s="101" t="s">
        <v>603</v>
      </c>
      <c r="F390" s="101"/>
      <c r="G390" s="101" t="s">
        <v>164</v>
      </c>
      <c r="H390" s="101"/>
      <c r="I390" s="102">
        <v>0.151</v>
      </c>
      <c r="J390" s="103">
        <v>40387</v>
      </c>
      <c r="K390" s="104">
        <v>40403</v>
      </c>
    </row>
    <row r="391" spans="2:11" s="99" customFormat="1" ht="21" customHeight="1">
      <c r="B391" s="100" t="s">
        <v>579</v>
      </c>
      <c r="C391" s="101" t="s">
        <v>604</v>
      </c>
      <c r="D391" s="101"/>
      <c r="E391" s="101" t="s">
        <v>605</v>
      </c>
      <c r="F391" s="101"/>
      <c r="G391" s="101" t="s">
        <v>164</v>
      </c>
      <c r="H391" s="101"/>
      <c r="I391" s="102">
        <v>0.151</v>
      </c>
      <c r="J391" s="103">
        <v>40387</v>
      </c>
      <c r="K391" s="104">
        <v>40403</v>
      </c>
    </row>
    <row r="392" spans="2:11" s="99" customFormat="1" ht="21" customHeight="1">
      <c r="B392" s="100" t="s">
        <v>579</v>
      </c>
      <c r="C392" s="101" t="s">
        <v>604</v>
      </c>
      <c r="D392" s="101"/>
      <c r="E392" s="101" t="s">
        <v>606</v>
      </c>
      <c r="F392" s="101"/>
      <c r="G392" s="101" t="s">
        <v>164</v>
      </c>
      <c r="H392" s="101"/>
      <c r="I392" s="102">
        <v>0.151</v>
      </c>
      <c r="J392" s="103">
        <v>40387</v>
      </c>
      <c r="K392" s="104">
        <v>40403</v>
      </c>
    </row>
    <row r="393" spans="2:11" s="99" customFormat="1" ht="21" customHeight="1">
      <c r="B393" s="100" t="s">
        <v>579</v>
      </c>
      <c r="C393" s="101" t="s">
        <v>604</v>
      </c>
      <c r="D393" s="101"/>
      <c r="E393" s="101" t="s">
        <v>607</v>
      </c>
      <c r="F393" s="101"/>
      <c r="G393" s="101" t="s">
        <v>164</v>
      </c>
      <c r="H393" s="101"/>
      <c r="I393" s="102">
        <v>0.151</v>
      </c>
      <c r="J393" s="103">
        <v>40387</v>
      </c>
      <c r="K393" s="104">
        <v>40403</v>
      </c>
    </row>
    <row r="394" spans="2:11" s="99" customFormat="1" ht="21" customHeight="1">
      <c r="B394" s="100" t="s">
        <v>579</v>
      </c>
      <c r="C394" s="101" t="s">
        <v>604</v>
      </c>
      <c r="D394" s="101"/>
      <c r="E394" s="101" t="s">
        <v>608</v>
      </c>
      <c r="F394" s="101"/>
      <c r="G394" s="101" t="s">
        <v>164</v>
      </c>
      <c r="H394" s="101"/>
      <c r="I394" s="102">
        <v>0.151</v>
      </c>
      <c r="J394" s="103">
        <v>40387</v>
      </c>
      <c r="K394" s="104">
        <v>40403</v>
      </c>
    </row>
    <row r="395" spans="2:11" s="99" customFormat="1" ht="21" customHeight="1">
      <c r="B395" s="100" t="s">
        <v>579</v>
      </c>
      <c r="C395" s="101" t="s">
        <v>604</v>
      </c>
      <c r="D395" s="101"/>
      <c r="E395" s="101" t="s">
        <v>609</v>
      </c>
      <c r="F395" s="101"/>
      <c r="G395" s="101" t="s">
        <v>164</v>
      </c>
      <c r="H395" s="101"/>
      <c r="I395" s="102">
        <v>0.151</v>
      </c>
      <c r="J395" s="103">
        <v>40387</v>
      </c>
      <c r="K395" s="104">
        <v>40403</v>
      </c>
    </row>
    <row r="396" spans="2:11" s="99" customFormat="1" ht="21" customHeight="1">
      <c r="B396" s="100" t="s">
        <v>579</v>
      </c>
      <c r="C396" s="101" t="s">
        <v>604</v>
      </c>
      <c r="D396" s="101"/>
      <c r="E396" s="101" t="s">
        <v>443</v>
      </c>
      <c r="F396" s="101"/>
      <c r="G396" s="101" t="s">
        <v>164</v>
      </c>
      <c r="H396" s="101"/>
      <c r="I396" s="102">
        <v>0.151</v>
      </c>
      <c r="J396" s="103">
        <v>40387</v>
      </c>
      <c r="K396" s="104">
        <v>40403</v>
      </c>
    </row>
    <row r="397" spans="2:11" s="99" customFormat="1" ht="21" customHeight="1">
      <c r="B397" s="100" t="s">
        <v>579</v>
      </c>
      <c r="C397" s="101" t="s">
        <v>604</v>
      </c>
      <c r="D397" s="101"/>
      <c r="E397" s="101" t="s">
        <v>610</v>
      </c>
      <c r="F397" s="101"/>
      <c r="G397" s="101" t="s">
        <v>164</v>
      </c>
      <c r="H397" s="101"/>
      <c r="I397" s="102">
        <v>0.151</v>
      </c>
      <c r="J397" s="103">
        <v>40387</v>
      </c>
      <c r="K397" s="104">
        <v>40403</v>
      </c>
    </row>
    <row r="398" spans="2:11" s="99" customFormat="1" ht="21" customHeight="1">
      <c r="B398" s="100" t="s">
        <v>579</v>
      </c>
      <c r="C398" s="101" t="s">
        <v>604</v>
      </c>
      <c r="D398" s="101"/>
      <c r="E398" s="101" t="s">
        <v>611</v>
      </c>
      <c r="F398" s="101"/>
      <c r="G398" s="101" t="s">
        <v>164</v>
      </c>
      <c r="H398" s="101"/>
      <c r="I398" s="102">
        <v>0.151</v>
      </c>
      <c r="J398" s="103">
        <v>40387</v>
      </c>
      <c r="K398" s="104">
        <v>40403</v>
      </c>
    </row>
    <row r="399" spans="2:11" s="99" customFormat="1" ht="21" customHeight="1">
      <c r="B399" s="100" t="s">
        <v>579</v>
      </c>
      <c r="C399" s="101" t="s">
        <v>604</v>
      </c>
      <c r="D399" s="101"/>
      <c r="E399" s="101" t="s">
        <v>612</v>
      </c>
      <c r="F399" s="101"/>
      <c r="G399" s="101" t="s">
        <v>164</v>
      </c>
      <c r="H399" s="101"/>
      <c r="I399" s="102">
        <v>0.151</v>
      </c>
      <c r="J399" s="103">
        <v>40387</v>
      </c>
      <c r="K399" s="104">
        <v>40403</v>
      </c>
    </row>
    <row r="400" spans="2:11" s="99" customFormat="1" ht="21" customHeight="1">
      <c r="B400" s="100" t="s">
        <v>579</v>
      </c>
      <c r="C400" s="101" t="s">
        <v>579</v>
      </c>
      <c r="D400" s="101" t="s">
        <v>613</v>
      </c>
      <c r="E400" s="101" t="s">
        <v>613</v>
      </c>
      <c r="F400" s="101" t="s">
        <v>614</v>
      </c>
      <c r="G400" s="101" t="s">
        <v>146</v>
      </c>
      <c r="H400" s="101" t="s">
        <v>171</v>
      </c>
      <c r="I400" s="102">
        <v>0.69</v>
      </c>
      <c r="J400" s="103">
        <v>40887</v>
      </c>
      <c r="K400" s="104">
        <v>41085</v>
      </c>
    </row>
    <row r="401" spans="2:11" s="99" customFormat="1" ht="21" customHeight="1">
      <c r="B401" s="100" t="s">
        <v>579</v>
      </c>
      <c r="C401" s="101" t="s">
        <v>579</v>
      </c>
      <c r="D401" s="101" t="s">
        <v>615</v>
      </c>
      <c r="E401" s="101" t="s">
        <v>615</v>
      </c>
      <c r="F401" s="101" t="s">
        <v>616</v>
      </c>
      <c r="G401" s="101" t="s">
        <v>146</v>
      </c>
      <c r="H401" s="101" t="s">
        <v>173</v>
      </c>
      <c r="I401" s="102">
        <v>0.7</v>
      </c>
      <c r="J401" s="103">
        <v>40887</v>
      </c>
      <c r="K401" s="104">
        <v>41085</v>
      </c>
    </row>
    <row r="402" spans="2:11" s="99" customFormat="1" ht="21" customHeight="1">
      <c r="B402" s="100" t="s">
        <v>579</v>
      </c>
      <c r="C402" s="101" t="s">
        <v>579</v>
      </c>
      <c r="D402" s="101" t="s">
        <v>617</v>
      </c>
      <c r="E402" s="101" t="s">
        <v>617</v>
      </c>
      <c r="F402" s="101" t="s">
        <v>618</v>
      </c>
      <c r="G402" s="101" t="s">
        <v>146</v>
      </c>
      <c r="H402" s="101" t="s">
        <v>171</v>
      </c>
      <c r="I402" s="102">
        <v>0.74</v>
      </c>
      <c r="J402" s="103">
        <v>40887</v>
      </c>
      <c r="K402" s="104">
        <v>41085</v>
      </c>
    </row>
    <row r="403" spans="2:11" s="99" customFormat="1" ht="21" customHeight="1">
      <c r="B403" s="100" t="s">
        <v>579</v>
      </c>
      <c r="C403" s="101" t="s">
        <v>580</v>
      </c>
      <c r="D403" s="101" t="s">
        <v>619</v>
      </c>
      <c r="E403" s="101" t="s">
        <v>619</v>
      </c>
      <c r="F403" s="101" t="s">
        <v>620</v>
      </c>
      <c r="G403" s="101" t="s">
        <v>146</v>
      </c>
      <c r="H403" s="101" t="s">
        <v>173</v>
      </c>
      <c r="I403" s="102">
        <v>0.81</v>
      </c>
      <c r="J403" s="103">
        <v>40568</v>
      </c>
      <c r="K403" s="104">
        <v>41085</v>
      </c>
    </row>
    <row r="404" spans="2:11" s="99" customFormat="1" ht="21" customHeight="1">
      <c r="B404" s="100" t="s">
        <v>579</v>
      </c>
      <c r="C404" s="101" t="s">
        <v>579</v>
      </c>
      <c r="D404" s="101" t="s">
        <v>621</v>
      </c>
      <c r="E404" s="101" t="s">
        <v>621</v>
      </c>
      <c r="F404" s="101" t="s">
        <v>622</v>
      </c>
      <c r="G404" s="101" t="s">
        <v>146</v>
      </c>
      <c r="H404" s="101" t="s">
        <v>171</v>
      </c>
      <c r="I404" s="102">
        <v>0.83</v>
      </c>
      <c r="J404" s="103">
        <v>40887</v>
      </c>
      <c r="K404" s="104">
        <v>41085</v>
      </c>
    </row>
    <row r="405" spans="2:11" s="99" customFormat="1" ht="21" customHeight="1">
      <c r="B405" s="100" t="s">
        <v>579</v>
      </c>
      <c r="C405" s="101" t="s">
        <v>580</v>
      </c>
      <c r="D405" s="101"/>
      <c r="E405" s="101" t="s">
        <v>623</v>
      </c>
      <c r="F405" s="101"/>
      <c r="G405" s="101" t="s">
        <v>146</v>
      </c>
      <c r="H405" s="101"/>
      <c r="I405" s="102">
        <v>1.1080000000000001</v>
      </c>
      <c r="J405" s="103">
        <v>40179</v>
      </c>
      <c r="K405" s="104">
        <v>40406</v>
      </c>
    </row>
    <row r="406" spans="2:11" s="99" customFormat="1" ht="21" customHeight="1">
      <c r="B406" s="100" t="s">
        <v>579</v>
      </c>
      <c r="C406" s="101" t="s">
        <v>588</v>
      </c>
      <c r="D406" s="101"/>
      <c r="E406" s="101" t="s">
        <v>624</v>
      </c>
      <c r="F406" s="101"/>
      <c r="G406" s="101" t="s">
        <v>146</v>
      </c>
      <c r="H406" s="101"/>
      <c r="I406" s="102">
        <v>1.1080000000000001</v>
      </c>
      <c r="J406" s="103">
        <v>40179</v>
      </c>
      <c r="K406" s="104">
        <v>40406</v>
      </c>
    </row>
    <row r="407" spans="2:11" s="99" customFormat="1" ht="21" customHeight="1">
      <c r="B407" s="100" t="s">
        <v>579</v>
      </c>
      <c r="C407" s="101" t="s">
        <v>588</v>
      </c>
      <c r="D407" s="101"/>
      <c r="E407" s="101" t="s">
        <v>625</v>
      </c>
      <c r="F407" s="101"/>
      <c r="G407" s="101" t="s">
        <v>146</v>
      </c>
      <c r="H407" s="101"/>
      <c r="I407" s="102">
        <v>1.1080000000000001</v>
      </c>
      <c r="J407" s="103">
        <v>40179</v>
      </c>
      <c r="K407" s="104">
        <v>40406</v>
      </c>
    </row>
    <row r="408" spans="2:11" s="99" customFormat="1" ht="21" customHeight="1">
      <c r="B408" s="100" t="s">
        <v>579</v>
      </c>
      <c r="C408" s="101" t="s">
        <v>588</v>
      </c>
      <c r="D408" s="101"/>
      <c r="E408" s="101" t="s">
        <v>626</v>
      </c>
      <c r="F408" s="101"/>
      <c r="G408" s="101" t="s">
        <v>146</v>
      </c>
      <c r="H408" s="101"/>
      <c r="I408" s="102">
        <v>1.1080000000000001</v>
      </c>
      <c r="J408" s="103">
        <v>40179</v>
      </c>
      <c r="K408" s="104">
        <v>40406</v>
      </c>
    </row>
    <row r="409" spans="2:11" s="99" customFormat="1" ht="21" customHeight="1">
      <c r="B409" s="100" t="s">
        <v>579</v>
      </c>
      <c r="C409" s="101" t="s">
        <v>588</v>
      </c>
      <c r="D409" s="101"/>
      <c r="E409" s="101" t="s">
        <v>627</v>
      </c>
      <c r="F409" s="101"/>
      <c r="G409" s="101" t="s">
        <v>146</v>
      </c>
      <c r="H409" s="101"/>
      <c r="I409" s="102">
        <v>1.1080000000000001</v>
      </c>
      <c r="J409" s="103">
        <v>40179</v>
      </c>
      <c r="K409" s="104">
        <v>40406</v>
      </c>
    </row>
    <row r="410" spans="2:11" s="99" customFormat="1" ht="21" customHeight="1">
      <c r="B410" s="100" t="s">
        <v>579</v>
      </c>
      <c r="C410" s="101" t="s">
        <v>597</v>
      </c>
      <c r="D410" s="101"/>
      <c r="E410" s="101" t="s">
        <v>628</v>
      </c>
      <c r="F410" s="101"/>
      <c r="G410" s="101" t="s">
        <v>146</v>
      </c>
      <c r="H410" s="101"/>
      <c r="I410" s="102">
        <v>1.1080000000000001</v>
      </c>
      <c r="J410" s="103">
        <v>40179</v>
      </c>
      <c r="K410" s="104">
        <v>40406</v>
      </c>
    </row>
    <row r="411" spans="2:11" s="99" customFormat="1" ht="21" customHeight="1">
      <c r="B411" s="100" t="s">
        <v>579</v>
      </c>
      <c r="C411" s="101" t="s">
        <v>597</v>
      </c>
      <c r="D411" s="101"/>
      <c r="E411" s="101" t="s">
        <v>629</v>
      </c>
      <c r="F411" s="101"/>
      <c r="G411" s="101" t="s">
        <v>146</v>
      </c>
      <c r="H411" s="101"/>
      <c r="I411" s="102">
        <v>1.1080000000000001</v>
      </c>
      <c r="J411" s="103">
        <v>40179</v>
      </c>
      <c r="K411" s="104">
        <v>40406</v>
      </c>
    </row>
    <row r="412" spans="2:11" s="99" customFormat="1" ht="21" customHeight="1">
      <c r="B412" s="100" t="s">
        <v>579</v>
      </c>
      <c r="C412" s="101" t="s">
        <v>597</v>
      </c>
      <c r="D412" s="101"/>
      <c r="E412" s="101" t="s">
        <v>630</v>
      </c>
      <c r="F412" s="101"/>
      <c r="G412" s="101" t="s">
        <v>146</v>
      </c>
      <c r="H412" s="101"/>
      <c r="I412" s="102">
        <v>1.1080000000000001</v>
      </c>
      <c r="J412" s="103">
        <v>40179</v>
      </c>
      <c r="K412" s="104">
        <v>40406</v>
      </c>
    </row>
    <row r="413" spans="2:11" s="99" customFormat="1" ht="21" customHeight="1">
      <c r="B413" s="100" t="s">
        <v>579</v>
      </c>
      <c r="C413" s="101" t="s">
        <v>597</v>
      </c>
      <c r="D413" s="101"/>
      <c r="E413" s="101" t="s">
        <v>631</v>
      </c>
      <c r="F413" s="101"/>
      <c r="G413" s="101" t="s">
        <v>146</v>
      </c>
      <c r="H413" s="101"/>
      <c r="I413" s="102">
        <v>1.1080000000000001</v>
      </c>
      <c r="J413" s="103">
        <v>40179</v>
      </c>
      <c r="K413" s="104">
        <v>40406</v>
      </c>
    </row>
    <row r="414" spans="2:11" s="99" customFormat="1" ht="21" customHeight="1">
      <c r="B414" s="100" t="s">
        <v>579</v>
      </c>
      <c r="C414" s="101" t="s">
        <v>604</v>
      </c>
      <c r="D414" s="101"/>
      <c r="E414" s="101" t="s">
        <v>632</v>
      </c>
      <c r="F414" s="101"/>
      <c r="G414" s="101" t="s">
        <v>146</v>
      </c>
      <c r="H414" s="101"/>
      <c r="I414" s="102">
        <v>1.1080000000000001</v>
      </c>
      <c r="J414" s="103">
        <v>40179</v>
      </c>
      <c r="K414" s="104">
        <v>40406</v>
      </c>
    </row>
    <row r="415" spans="2:11" s="99" customFormat="1" ht="21" customHeight="1">
      <c r="B415" s="100" t="s">
        <v>579</v>
      </c>
      <c r="C415" s="101" t="s">
        <v>604</v>
      </c>
      <c r="D415" s="101"/>
      <c r="E415" s="101" t="s">
        <v>633</v>
      </c>
      <c r="F415" s="101"/>
      <c r="G415" s="101" t="s">
        <v>146</v>
      </c>
      <c r="H415" s="101"/>
      <c r="I415" s="102">
        <v>1.1080000000000001</v>
      </c>
      <c r="J415" s="103">
        <v>40179</v>
      </c>
      <c r="K415" s="104">
        <v>40406</v>
      </c>
    </row>
    <row r="416" spans="2:11" s="99" customFormat="1" ht="21" customHeight="1">
      <c r="B416" s="100" t="s">
        <v>579</v>
      </c>
      <c r="C416" s="101" t="s">
        <v>604</v>
      </c>
      <c r="D416" s="101"/>
      <c r="E416" s="101" t="s">
        <v>634</v>
      </c>
      <c r="F416" s="101"/>
      <c r="G416" s="101" t="s">
        <v>146</v>
      </c>
      <c r="H416" s="101"/>
      <c r="I416" s="102">
        <v>1.1080000000000001</v>
      </c>
      <c r="J416" s="103">
        <v>40179</v>
      </c>
      <c r="K416" s="104">
        <v>40406</v>
      </c>
    </row>
    <row r="417" spans="2:11" s="99" customFormat="1" ht="21" customHeight="1">
      <c r="B417" s="100" t="s">
        <v>579</v>
      </c>
      <c r="C417" s="101" t="s">
        <v>604</v>
      </c>
      <c r="D417" s="101"/>
      <c r="E417" s="101" t="s">
        <v>635</v>
      </c>
      <c r="F417" s="101"/>
      <c r="G417" s="101" t="s">
        <v>146</v>
      </c>
      <c r="H417" s="101"/>
      <c r="I417" s="102">
        <v>1.1080000000000001</v>
      </c>
      <c r="J417" s="103">
        <v>40179</v>
      </c>
      <c r="K417" s="104">
        <v>40406</v>
      </c>
    </row>
    <row r="418" spans="2:11" s="99" customFormat="1" ht="21" customHeight="1">
      <c r="B418" s="100" t="s">
        <v>579</v>
      </c>
      <c r="C418" s="101" t="s">
        <v>580</v>
      </c>
      <c r="D418" s="101" t="s">
        <v>581</v>
      </c>
      <c r="E418" s="101" t="s">
        <v>636</v>
      </c>
      <c r="F418" s="101"/>
      <c r="G418" s="101" t="s">
        <v>146</v>
      </c>
      <c r="H418" s="101"/>
      <c r="I418" s="102">
        <v>1.1140000000000001</v>
      </c>
      <c r="J418" s="103">
        <v>39995</v>
      </c>
      <c r="K418" s="104">
        <v>40127</v>
      </c>
    </row>
    <row r="419" spans="2:11" s="99" customFormat="1" ht="21" customHeight="1">
      <c r="B419" s="100" t="s">
        <v>579</v>
      </c>
      <c r="C419" s="101" t="s">
        <v>580</v>
      </c>
      <c r="D419" s="101" t="s">
        <v>581</v>
      </c>
      <c r="E419" s="101" t="s">
        <v>637</v>
      </c>
      <c r="F419" s="101"/>
      <c r="G419" s="101" t="s">
        <v>146</v>
      </c>
      <c r="H419" s="101"/>
      <c r="I419" s="102">
        <v>1.1140000000000001</v>
      </c>
      <c r="J419" s="103">
        <v>39995</v>
      </c>
      <c r="K419" s="104">
        <v>40127</v>
      </c>
    </row>
    <row r="420" spans="2:11" s="99" customFormat="1" ht="21" customHeight="1">
      <c r="B420" s="100" t="s">
        <v>579</v>
      </c>
      <c r="C420" s="101" t="s">
        <v>580</v>
      </c>
      <c r="D420" s="101" t="s">
        <v>581</v>
      </c>
      <c r="E420" s="101" t="s">
        <v>638</v>
      </c>
      <c r="F420" s="101"/>
      <c r="G420" s="101" t="s">
        <v>146</v>
      </c>
      <c r="H420" s="101"/>
      <c r="I420" s="102">
        <v>1.1140000000000001</v>
      </c>
      <c r="J420" s="103">
        <v>39995</v>
      </c>
      <c r="K420" s="104">
        <v>40127</v>
      </c>
    </row>
    <row r="421" spans="2:11" s="99" customFormat="1" ht="21" customHeight="1">
      <c r="B421" s="100" t="s">
        <v>579</v>
      </c>
      <c r="C421" s="101" t="s">
        <v>580</v>
      </c>
      <c r="D421" s="101" t="s">
        <v>581</v>
      </c>
      <c r="E421" s="101" t="s">
        <v>639</v>
      </c>
      <c r="F421" s="101"/>
      <c r="G421" s="101" t="s">
        <v>146</v>
      </c>
      <c r="H421" s="101"/>
      <c r="I421" s="102">
        <v>1.1140000000000001</v>
      </c>
      <c r="J421" s="103">
        <v>39995</v>
      </c>
      <c r="K421" s="104">
        <v>40127</v>
      </c>
    </row>
    <row r="422" spans="2:11" s="99" customFormat="1" ht="21" customHeight="1">
      <c r="B422" s="100" t="s">
        <v>579</v>
      </c>
      <c r="C422" s="101" t="s">
        <v>580</v>
      </c>
      <c r="D422" s="101" t="s">
        <v>581</v>
      </c>
      <c r="E422" s="101" t="s">
        <v>640</v>
      </c>
      <c r="F422" s="101"/>
      <c r="G422" s="101" t="s">
        <v>146</v>
      </c>
      <c r="H422" s="101"/>
      <c r="I422" s="102">
        <v>1.1140000000000001</v>
      </c>
      <c r="J422" s="103">
        <v>39995</v>
      </c>
      <c r="K422" s="104">
        <v>40127</v>
      </c>
    </row>
    <row r="423" spans="2:11" s="99" customFormat="1" ht="21" customHeight="1">
      <c r="B423" s="100" t="s">
        <v>579</v>
      </c>
      <c r="C423" s="101" t="s">
        <v>580</v>
      </c>
      <c r="D423" s="101" t="s">
        <v>581</v>
      </c>
      <c r="E423" s="101" t="s">
        <v>641</v>
      </c>
      <c r="F423" s="101"/>
      <c r="G423" s="101" t="s">
        <v>146</v>
      </c>
      <c r="H423" s="101"/>
      <c r="I423" s="102">
        <v>1.1140000000000001</v>
      </c>
      <c r="J423" s="103">
        <v>39995</v>
      </c>
      <c r="K423" s="104">
        <v>40127</v>
      </c>
    </row>
    <row r="424" spans="2:11" s="99" customFormat="1" ht="21" customHeight="1">
      <c r="B424" s="100" t="s">
        <v>579</v>
      </c>
      <c r="C424" s="101" t="s">
        <v>580</v>
      </c>
      <c r="D424" s="101" t="s">
        <v>581</v>
      </c>
      <c r="E424" s="101" t="s">
        <v>642</v>
      </c>
      <c r="F424" s="101"/>
      <c r="G424" s="101" t="s">
        <v>146</v>
      </c>
      <c r="H424" s="101"/>
      <c r="I424" s="102">
        <v>1.1140000000000001</v>
      </c>
      <c r="J424" s="103">
        <v>39995</v>
      </c>
      <c r="K424" s="104">
        <v>40127</v>
      </c>
    </row>
    <row r="425" spans="2:11" s="99" customFormat="1" ht="21" customHeight="1">
      <c r="B425" s="100" t="s">
        <v>579</v>
      </c>
      <c r="C425" s="101" t="s">
        <v>580</v>
      </c>
      <c r="D425" s="101" t="s">
        <v>581</v>
      </c>
      <c r="E425" s="101" t="s">
        <v>643</v>
      </c>
      <c r="F425" s="101"/>
      <c r="G425" s="101" t="s">
        <v>146</v>
      </c>
      <c r="H425" s="101"/>
      <c r="I425" s="102">
        <v>1.1140000000000001</v>
      </c>
      <c r="J425" s="103">
        <v>39995</v>
      </c>
      <c r="K425" s="104">
        <v>40127</v>
      </c>
    </row>
    <row r="426" spans="2:11" s="99" customFormat="1" ht="21" customHeight="1">
      <c r="B426" s="100" t="s">
        <v>579</v>
      </c>
      <c r="C426" s="101" t="s">
        <v>580</v>
      </c>
      <c r="D426" s="101" t="s">
        <v>583</v>
      </c>
      <c r="E426" s="101" t="s">
        <v>644</v>
      </c>
      <c r="F426" s="101"/>
      <c r="G426" s="101" t="s">
        <v>146</v>
      </c>
      <c r="H426" s="101"/>
      <c r="I426" s="102">
        <v>1.1140000000000001</v>
      </c>
      <c r="J426" s="103">
        <v>39995</v>
      </c>
      <c r="K426" s="104">
        <v>40127</v>
      </c>
    </row>
    <row r="427" spans="2:11" s="99" customFormat="1" ht="21" customHeight="1">
      <c r="B427" s="100" t="s">
        <v>579</v>
      </c>
      <c r="C427" s="101" t="s">
        <v>580</v>
      </c>
      <c r="D427" s="101" t="s">
        <v>583</v>
      </c>
      <c r="E427" s="101" t="s">
        <v>645</v>
      </c>
      <c r="F427" s="101"/>
      <c r="G427" s="101" t="s">
        <v>146</v>
      </c>
      <c r="H427" s="101"/>
      <c r="I427" s="102">
        <v>1.1140000000000001</v>
      </c>
      <c r="J427" s="103">
        <v>39995</v>
      </c>
      <c r="K427" s="104">
        <v>40127</v>
      </c>
    </row>
    <row r="428" spans="2:11" s="99" customFormat="1" ht="21" customHeight="1">
      <c r="B428" s="100" t="s">
        <v>579</v>
      </c>
      <c r="C428" s="101" t="s">
        <v>580</v>
      </c>
      <c r="D428" s="101" t="s">
        <v>583</v>
      </c>
      <c r="E428" s="101" t="s">
        <v>646</v>
      </c>
      <c r="F428" s="101"/>
      <c r="G428" s="101" t="s">
        <v>146</v>
      </c>
      <c r="H428" s="101"/>
      <c r="I428" s="102">
        <v>1.1140000000000001</v>
      </c>
      <c r="J428" s="103">
        <v>39995</v>
      </c>
      <c r="K428" s="104">
        <v>40127</v>
      </c>
    </row>
    <row r="429" spans="2:11" s="99" customFormat="1" ht="21" customHeight="1">
      <c r="B429" s="100" t="s">
        <v>579</v>
      </c>
      <c r="C429" s="101" t="s">
        <v>580</v>
      </c>
      <c r="D429" s="101" t="s">
        <v>583</v>
      </c>
      <c r="E429" s="101" t="s">
        <v>647</v>
      </c>
      <c r="F429" s="101"/>
      <c r="G429" s="101" t="s">
        <v>146</v>
      </c>
      <c r="H429" s="101"/>
      <c r="I429" s="102">
        <v>1.1140000000000001</v>
      </c>
      <c r="J429" s="103">
        <v>39995</v>
      </c>
      <c r="K429" s="104">
        <v>40127</v>
      </c>
    </row>
    <row r="430" spans="2:11" s="99" customFormat="1" ht="21" customHeight="1">
      <c r="B430" s="100" t="s">
        <v>579</v>
      </c>
      <c r="C430" s="101" t="s">
        <v>580</v>
      </c>
      <c r="D430" s="101" t="s">
        <v>583</v>
      </c>
      <c r="E430" s="101" t="s">
        <v>648</v>
      </c>
      <c r="F430" s="101"/>
      <c r="G430" s="101" t="s">
        <v>146</v>
      </c>
      <c r="H430" s="101"/>
      <c r="I430" s="102">
        <v>1.1140000000000001</v>
      </c>
      <c r="J430" s="103">
        <v>39995</v>
      </c>
      <c r="K430" s="104">
        <v>40127</v>
      </c>
    </row>
    <row r="431" spans="2:11" s="99" customFormat="1" ht="21" customHeight="1">
      <c r="B431" s="100" t="s">
        <v>579</v>
      </c>
      <c r="C431" s="101" t="s">
        <v>580</v>
      </c>
      <c r="D431" s="101" t="s">
        <v>583</v>
      </c>
      <c r="E431" s="101" t="s">
        <v>649</v>
      </c>
      <c r="F431" s="101"/>
      <c r="G431" s="101" t="s">
        <v>146</v>
      </c>
      <c r="H431" s="101"/>
      <c r="I431" s="102">
        <v>1.1140000000000001</v>
      </c>
      <c r="J431" s="103">
        <v>39995</v>
      </c>
      <c r="K431" s="104">
        <v>40127</v>
      </c>
    </row>
    <row r="432" spans="2:11" s="99" customFormat="1" ht="21" customHeight="1">
      <c r="B432" s="100" t="s">
        <v>579</v>
      </c>
      <c r="C432" s="101" t="s">
        <v>580</v>
      </c>
      <c r="D432" s="101" t="s">
        <v>583</v>
      </c>
      <c r="E432" s="101" t="s">
        <v>650</v>
      </c>
      <c r="F432" s="101"/>
      <c r="G432" s="101" t="s">
        <v>146</v>
      </c>
      <c r="H432" s="101"/>
      <c r="I432" s="102">
        <v>1.1140000000000001</v>
      </c>
      <c r="J432" s="103">
        <v>39995</v>
      </c>
      <c r="K432" s="104">
        <v>40127</v>
      </c>
    </row>
    <row r="433" spans="2:11" s="99" customFormat="1" ht="21" customHeight="1">
      <c r="B433" s="100" t="s">
        <v>579</v>
      </c>
      <c r="C433" s="101" t="s">
        <v>580</v>
      </c>
      <c r="D433" s="101" t="s">
        <v>583</v>
      </c>
      <c r="E433" s="101" t="s">
        <v>651</v>
      </c>
      <c r="F433" s="101"/>
      <c r="G433" s="101" t="s">
        <v>146</v>
      </c>
      <c r="H433" s="101"/>
      <c r="I433" s="102">
        <v>1.1140000000000001</v>
      </c>
      <c r="J433" s="103">
        <v>39995</v>
      </c>
      <c r="K433" s="104">
        <v>40127</v>
      </c>
    </row>
    <row r="434" spans="2:11" s="99" customFormat="1" ht="21" customHeight="1">
      <c r="B434" s="100" t="s">
        <v>579</v>
      </c>
      <c r="C434" s="101" t="s">
        <v>580</v>
      </c>
      <c r="D434" s="101"/>
      <c r="E434" s="101" t="s">
        <v>652</v>
      </c>
      <c r="F434" s="101"/>
      <c r="G434" s="101" t="s">
        <v>146</v>
      </c>
      <c r="H434" s="101"/>
      <c r="I434" s="102">
        <v>1.1200000000000001</v>
      </c>
      <c r="J434" s="103">
        <v>40179</v>
      </c>
      <c r="K434" s="104">
        <v>40406</v>
      </c>
    </row>
    <row r="435" spans="2:11" s="99" customFormat="1" ht="21" customHeight="1">
      <c r="B435" s="100" t="s">
        <v>579</v>
      </c>
      <c r="C435" s="101" t="s">
        <v>580</v>
      </c>
      <c r="D435" s="101"/>
      <c r="E435" s="101" t="s">
        <v>653</v>
      </c>
      <c r="F435" s="101"/>
      <c r="G435" s="101" t="s">
        <v>146</v>
      </c>
      <c r="H435" s="101"/>
      <c r="I435" s="102">
        <v>1.1200000000000001</v>
      </c>
      <c r="J435" s="103">
        <v>40179</v>
      </c>
      <c r="K435" s="104">
        <v>40406</v>
      </c>
    </row>
    <row r="436" spans="2:11" s="99" customFormat="1" ht="21" customHeight="1">
      <c r="B436" s="100" t="s">
        <v>579</v>
      </c>
      <c r="C436" s="101" t="s">
        <v>580</v>
      </c>
      <c r="D436" s="101"/>
      <c r="E436" s="101" t="s">
        <v>654</v>
      </c>
      <c r="F436" s="101"/>
      <c r="G436" s="101" t="s">
        <v>146</v>
      </c>
      <c r="H436" s="101"/>
      <c r="I436" s="102">
        <v>1.1200000000000001</v>
      </c>
      <c r="J436" s="103">
        <v>40179</v>
      </c>
      <c r="K436" s="104">
        <v>40406</v>
      </c>
    </row>
    <row r="437" spans="2:11" s="99" customFormat="1" ht="21" customHeight="1">
      <c r="B437" s="100" t="s">
        <v>579</v>
      </c>
      <c r="C437" s="101" t="s">
        <v>588</v>
      </c>
      <c r="D437" s="101"/>
      <c r="E437" s="101" t="s">
        <v>655</v>
      </c>
      <c r="F437" s="101"/>
      <c r="G437" s="101" t="s">
        <v>146</v>
      </c>
      <c r="H437" s="101"/>
      <c r="I437" s="102">
        <v>1.1200000000000001</v>
      </c>
      <c r="J437" s="103">
        <v>40179</v>
      </c>
      <c r="K437" s="104">
        <v>40406</v>
      </c>
    </row>
    <row r="438" spans="2:11" s="99" customFormat="1" ht="21" customHeight="1">
      <c r="B438" s="100" t="s">
        <v>579</v>
      </c>
      <c r="C438" s="101" t="s">
        <v>588</v>
      </c>
      <c r="D438" s="101"/>
      <c r="E438" s="101" t="s">
        <v>656</v>
      </c>
      <c r="F438" s="101"/>
      <c r="G438" s="101" t="s">
        <v>146</v>
      </c>
      <c r="H438" s="101"/>
      <c r="I438" s="102">
        <v>1.1200000000000001</v>
      </c>
      <c r="J438" s="103">
        <v>40179</v>
      </c>
      <c r="K438" s="104">
        <v>40406</v>
      </c>
    </row>
    <row r="439" spans="2:11" s="99" customFormat="1" ht="21" customHeight="1">
      <c r="B439" s="100" t="s">
        <v>579</v>
      </c>
      <c r="C439" s="101" t="s">
        <v>588</v>
      </c>
      <c r="D439" s="101"/>
      <c r="E439" s="101" t="s">
        <v>657</v>
      </c>
      <c r="F439" s="101"/>
      <c r="G439" s="101" t="s">
        <v>146</v>
      </c>
      <c r="H439" s="101"/>
      <c r="I439" s="102">
        <v>1.1200000000000001</v>
      </c>
      <c r="J439" s="103">
        <v>40179</v>
      </c>
      <c r="K439" s="104">
        <v>40406</v>
      </c>
    </row>
    <row r="440" spans="2:11" s="99" customFormat="1" ht="21" customHeight="1">
      <c r="B440" s="100" t="s">
        <v>579</v>
      </c>
      <c r="C440" s="101" t="s">
        <v>588</v>
      </c>
      <c r="D440" s="101"/>
      <c r="E440" s="101" t="s">
        <v>658</v>
      </c>
      <c r="F440" s="101"/>
      <c r="G440" s="101" t="s">
        <v>146</v>
      </c>
      <c r="H440" s="101"/>
      <c r="I440" s="102">
        <v>1.1200000000000001</v>
      </c>
      <c r="J440" s="103">
        <v>40179</v>
      </c>
      <c r="K440" s="104">
        <v>40406</v>
      </c>
    </row>
    <row r="441" spans="2:11" s="99" customFormat="1" ht="21" customHeight="1">
      <c r="B441" s="100" t="s">
        <v>579</v>
      </c>
      <c r="C441" s="101" t="s">
        <v>588</v>
      </c>
      <c r="D441" s="101"/>
      <c r="E441" s="101" t="s">
        <v>659</v>
      </c>
      <c r="F441" s="101"/>
      <c r="G441" s="101" t="s">
        <v>146</v>
      </c>
      <c r="H441" s="101"/>
      <c r="I441" s="102">
        <v>1.1200000000000001</v>
      </c>
      <c r="J441" s="103">
        <v>40179</v>
      </c>
      <c r="K441" s="104">
        <v>40406</v>
      </c>
    </row>
    <row r="442" spans="2:11" s="99" customFormat="1" ht="21" customHeight="1">
      <c r="B442" s="100" t="s">
        <v>579</v>
      </c>
      <c r="C442" s="101" t="s">
        <v>588</v>
      </c>
      <c r="D442" s="101"/>
      <c r="E442" s="101" t="s">
        <v>660</v>
      </c>
      <c r="F442" s="101"/>
      <c r="G442" s="101" t="s">
        <v>146</v>
      </c>
      <c r="H442" s="101"/>
      <c r="I442" s="102">
        <v>1.1200000000000001</v>
      </c>
      <c r="J442" s="103">
        <v>40179</v>
      </c>
      <c r="K442" s="104">
        <v>40406</v>
      </c>
    </row>
    <row r="443" spans="2:11" s="99" customFormat="1" ht="21" customHeight="1">
      <c r="B443" s="100" t="s">
        <v>579</v>
      </c>
      <c r="C443" s="101" t="s">
        <v>588</v>
      </c>
      <c r="D443" s="101"/>
      <c r="E443" s="101" t="s">
        <v>661</v>
      </c>
      <c r="F443" s="101"/>
      <c r="G443" s="101" t="s">
        <v>146</v>
      </c>
      <c r="H443" s="101"/>
      <c r="I443" s="102">
        <v>1.1200000000000001</v>
      </c>
      <c r="J443" s="103">
        <v>40179</v>
      </c>
      <c r="K443" s="104">
        <v>40406</v>
      </c>
    </row>
    <row r="444" spans="2:11" s="99" customFormat="1" ht="21" customHeight="1">
      <c r="B444" s="100" t="s">
        <v>579</v>
      </c>
      <c r="C444" s="101" t="s">
        <v>588</v>
      </c>
      <c r="D444" s="101"/>
      <c r="E444" s="101" t="s">
        <v>662</v>
      </c>
      <c r="F444" s="101"/>
      <c r="G444" s="101" t="s">
        <v>146</v>
      </c>
      <c r="H444" s="101"/>
      <c r="I444" s="102">
        <v>1.1200000000000001</v>
      </c>
      <c r="J444" s="103">
        <v>40179</v>
      </c>
      <c r="K444" s="104">
        <v>40406</v>
      </c>
    </row>
    <row r="445" spans="2:11" s="99" customFormat="1" ht="21" customHeight="1">
      <c r="B445" s="100" t="s">
        <v>579</v>
      </c>
      <c r="C445" s="101" t="s">
        <v>588</v>
      </c>
      <c r="D445" s="101"/>
      <c r="E445" s="101" t="s">
        <v>663</v>
      </c>
      <c r="F445" s="101"/>
      <c r="G445" s="101" t="s">
        <v>146</v>
      </c>
      <c r="H445" s="101"/>
      <c r="I445" s="102">
        <v>1.1200000000000001</v>
      </c>
      <c r="J445" s="103">
        <v>40179</v>
      </c>
      <c r="K445" s="104">
        <v>40406</v>
      </c>
    </row>
    <row r="446" spans="2:11" s="99" customFormat="1" ht="21" customHeight="1">
      <c r="B446" s="100" t="s">
        <v>579</v>
      </c>
      <c r="C446" s="101" t="s">
        <v>588</v>
      </c>
      <c r="D446" s="101"/>
      <c r="E446" s="101" t="s">
        <v>664</v>
      </c>
      <c r="F446" s="101"/>
      <c r="G446" s="101" t="s">
        <v>146</v>
      </c>
      <c r="H446" s="101"/>
      <c r="I446" s="102">
        <v>1.1200000000000001</v>
      </c>
      <c r="J446" s="103">
        <v>40179</v>
      </c>
      <c r="K446" s="104">
        <v>40406</v>
      </c>
    </row>
    <row r="447" spans="2:11" s="99" customFormat="1" ht="21" customHeight="1">
      <c r="B447" s="100" t="s">
        <v>579</v>
      </c>
      <c r="C447" s="101" t="s">
        <v>588</v>
      </c>
      <c r="D447" s="101"/>
      <c r="E447" s="101" t="s">
        <v>665</v>
      </c>
      <c r="F447" s="101"/>
      <c r="G447" s="101" t="s">
        <v>146</v>
      </c>
      <c r="H447" s="101"/>
      <c r="I447" s="102">
        <v>1.1200000000000001</v>
      </c>
      <c r="J447" s="103">
        <v>40179</v>
      </c>
      <c r="K447" s="104">
        <v>40406</v>
      </c>
    </row>
    <row r="448" spans="2:11" s="99" customFormat="1" ht="21" customHeight="1">
      <c r="B448" s="100" t="s">
        <v>579</v>
      </c>
      <c r="C448" s="101" t="s">
        <v>588</v>
      </c>
      <c r="D448" s="101"/>
      <c r="E448" s="101" t="s">
        <v>666</v>
      </c>
      <c r="F448" s="101"/>
      <c r="G448" s="101" t="s">
        <v>146</v>
      </c>
      <c r="H448" s="101"/>
      <c r="I448" s="102">
        <v>1.1200000000000001</v>
      </c>
      <c r="J448" s="103">
        <v>40179</v>
      </c>
      <c r="K448" s="104">
        <v>40406</v>
      </c>
    </row>
    <row r="449" spans="2:11" s="99" customFormat="1" ht="21" customHeight="1">
      <c r="B449" s="100" t="s">
        <v>579</v>
      </c>
      <c r="C449" s="101" t="s">
        <v>597</v>
      </c>
      <c r="D449" s="101"/>
      <c r="E449" s="101" t="s">
        <v>667</v>
      </c>
      <c r="F449" s="101"/>
      <c r="G449" s="101" t="s">
        <v>146</v>
      </c>
      <c r="H449" s="101"/>
      <c r="I449" s="102">
        <v>1.1200000000000001</v>
      </c>
      <c r="J449" s="103">
        <v>40179</v>
      </c>
      <c r="K449" s="104">
        <v>40406</v>
      </c>
    </row>
    <row r="450" spans="2:11" s="99" customFormat="1" ht="21" customHeight="1">
      <c r="B450" s="100" t="s">
        <v>579</v>
      </c>
      <c r="C450" s="101" t="s">
        <v>597</v>
      </c>
      <c r="D450" s="101"/>
      <c r="E450" s="101" t="s">
        <v>668</v>
      </c>
      <c r="F450" s="101"/>
      <c r="G450" s="101" t="s">
        <v>146</v>
      </c>
      <c r="H450" s="101"/>
      <c r="I450" s="102">
        <v>1.1200000000000001</v>
      </c>
      <c r="J450" s="103">
        <v>40179</v>
      </c>
      <c r="K450" s="104">
        <v>40406</v>
      </c>
    </row>
    <row r="451" spans="2:11" s="99" customFormat="1" ht="21" customHeight="1">
      <c r="B451" s="100" t="s">
        <v>579</v>
      </c>
      <c r="C451" s="101" t="s">
        <v>597</v>
      </c>
      <c r="D451" s="101"/>
      <c r="E451" s="101" t="s">
        <v>669</v>
      </c>
      <c r="F451" s="101"/>
      <c r="G451" s="101" t="s">
        <v>146</v>
      </c>
      <c r="H451" s="101"/>
      <c r="I451" s="102">
        <v>1.1200000000000001</v>
      </c>
      <c r="J451" s="103">
        <v>40179</v>
      </c>
      <c r="K451" s="104">
        <v>40406</v>
      </c>
    </row>
    <row r="452" spans="2:11" s="99" customFormat="1" ht="21" customHeight="1">
      <c r="B452" s="100" t="s">
        <v>579</v>
      </c>
      <c r="C452" s="101" t="s">
        <v>597</v>
      </c>
      <c r="D452" s="101"/>
      <c r="E452" s="101" t="s">
        <v>670</v>
      </c>
      <c r="F452" s="101"/>
      <c r="G452" s="101" t="s">
        <v>146</v>
      </c>
      <c r="H452" s="101"/>
      <c r="I452" s="102">
        <v>1.1200000000000001</v>
      </c>
      <c r="J452" s="103">
        <v>40179</v>
      </c>
      <c r="K452" s="104">
        <v>40406</v>
      </c>
    </row>
    <row r="453" spans="2:11" s="99" customFormat="1" ht="21" customHeight="1">
      <c r="B453" s="100" t="s">
        <v>579</v>
      </c>
      <c r="C453" s="101" t="s">
        <v>597</v>
      </c>
      <c r="D453" s="101"/>
      <c r="E453" s="101" t="s">
        <v>671</v>
      </c>
      <c r="F453" s="101"/>
      <c r="G453" s="101" t="s">
        <v>146</v>
      </c>
      <c r="H453" s="101"/>
      <c r="I453" s="102">
        <v>1.1200000000000001</v>
      </c>
      <c r="J453" s="103">
        <v>40179</v>
      </c>
      <c r="K453" s="104">
        <v>40406</v>
      </c>
    </row>
    <row r="454" spans="2:11" s="99" customFormat="1" ht="21" customHeight="1">
      <c r="B454" s="100" t="s">
        <v>579</v>
      </c>
      <c r="C454" s="101" t="s">
        <v>597</v>
      </c>
      <c r="D454" s="101"/>
      <c r="E454" s="101" t="s">
        <v>672</v>
      </c>
      <c r="F454" s="101"/>
      <c r="G454" s="101" t="s">
        <v>146</v>
      </c>
      <c r="H454" s="101"/>
      <c r="I454" s="102">
        <v>1.1200000000000001</v>
      </c>
      <c r="J454" s="103">
        <v>40179</v>
      </c>
      <c r="K454" s="104">
        <v>40406</v>
      </c>
    </row>
    <row r="455" spans="2:11" s="99" customFormat="1" ht="21" customHeight="1">
      <c r="B455" s="100" t="s">
        <v>579</v>
      </c>
      <c r="C455" s="101" t="s">
        <v>597</v>
      </c>
      <c r="D455" s="101"/>
      <c r="E455" s="101" t="s">
        <v>673</v>
      </c>
      <c r="F455" s="101"/>
      <c r="G455" s="101" t="s">
        <v>146</v>
      </c>
      <c r="H455" s="101"/>
      <c r="I455" s="102">
        <v>1.1200000000000001</v>
      </c>
      <c r="J455" s="103">
        <v>40179</v>
      </c>
      <c r="K455" s="104">
        <v>40406</v>
      </c>
    </row>
    <row r="456" spans="2:11" s="99" customFormat="1" ht="21" customHeight="1">
      <c r="B456" s="100" t="s">
        <v>579</v>
      </c>
      <c r="C456" s="101" t="s">
        <v>597</v>
      </c>
      <c r="D456" s="101"/>
      <c r="E456" s="101" t="s">
        <v>674</v>
      </c>
      <c r="F456" s="101"/>
      <c r="G456" s="101" t="s">
        <v>146</v>
      </c>
      <c r="H456" s="101"/>
      <c r="I456" s="102">
        <v>1.1200000000000001</v>
      </c>
      <c r="J456" s="103">
        <v>40179</v>
      </c>
      <c r="K456" s="104">
        <v>40406</v>
      </c>
    </row>
    <row r="457" spans="2:11" s="99" customFormat="1" ht="21" customHeight="1">
      <c r="B457" s="100" t="s">
        <v>579</v>
      </c>
      <c r="C457" s="101" t="s">
        <v>597</v>
      </c>
      <c r="D457" s="101"/>
      <c r="E457" s="101" t="s">
        <v>675</v>
      </c>
      <c r="F457" s="101"/>
      <c r="G457" s="101" t="s">
        <v>146</v>
      </c>
      <c r="H457" s="101"/>
      <c r="I457" s="102">
        <v>1.1200000000000001</v>
      </c>
      <c r="J457" s="103">
        <v>40179</v>
      </c>
      <c r="K457" s="104">
        <v>40406</v>
      </c>
    </row>
    <row r="458" spans="2:11" s="99" customFormat="1" ht="21" customHeight="1">
      <c r="B458" s="100" t="s">
        <v>579</v>
      </c>
      <c r="C458" s="101" t="s">
        <v>597</v>
      </c>
      <c r="D458" s="101"/>
      <c r="E458" s="101" t="s">
        <v>676</v>
      </c>
      <c r="F458" s="101"/>
      <c r="G458" s="101" t="s">
        <v>146</v>
      </c>
      <c r="H458" s="101"/>
      <c r="I458" s="102">
        <v>1.1200000000000001</v>
      </c>
      <c r="J458" s="103">
        <v>40179</v>
      </c>
      <c r="K458" s="104">
        <v>40406</v>
      </c>
    </row>
    <row r="459" spans="2:11" s="99" customFormat="1" ht="21" customHeight="1">
      <c r="B459" s="100" t="s">
        <v>579</v>
      </c>
      <c r="C459" s="101" t="s">
        <v>597</v>
      </c>
      <c r="D459" s="101"/>
      <c r="E459" s="101" t="s">
        <v>677</v>
      </c>
      <c r="F459" s="101"/>
      <c r="G459" s="101" t="s">
        <v>146</v>
      </c>
      <c r="H459" s="101"/>
      <c r="I459" s="102">
        <v>1.1200000000000001</v>
      </c>
      <c r="J459" s="103">
        <v>40179</v>
      </c>
      <c r="K459" s="104">
        <v>40406</v>
      </c>
    </row>
    <row r="460" spans="2:11" s="99" customFormat="1" ht="21" customHeight="1">
      <c r="B460" s="100" t="s">
        <v>579</v>
      </c>
      <c r="C460" s="101" t="s">
        <v>597</v>
      </c>
      <c r="D460" s="101"/>
      <c r="E460" s="101" t="s">
        <v>678</v>
      </c>
      <c r="F460" s="101"/>
      <c r="G460" s="101" t="s">
        <v>146</v>
      </c>
      <c r="H460" s="101"/>
      <c r="I460" s="102">
        <v>1.1200000000000001</v>
      </c>
      <c r="J460" s="103">
        <v>40179</v>
      </c>
      <c r="K460" s="104">
        <v>40406</v>
      </c>
    </row>
    <row r="461" spans="2:11" s="99" customFormat="1" ht="21" customHeight="1">
      <c r="B461" s="100" t="s">
        <v>579</v>
      </c>
      <c r="C461" s="101" t="s">
        <v>604</v>
      </c>
      <c r="D461" s="101"/>
      <c r="E461" s="101" t="s">
        <v>679</v>
      </c>
      <c r="F461" s="101"/>
      <c r="G461" s="101" t="s">
        <v>146</v>
      </c>
      <c r="H461" s="101"/>
      <c r="I461" s="102">
        <v>1.1200000000000001</v>
      </c>
      <c r="J461" s="103">
        <v>40179</v>
      </c>
      <c r="K461" s="104">
        <v>40406</v>
      </c>
    </row>
    <row r="462" spans="2:11" s="99" customFormat="1" ht="21" customHeight="1">
      <c r="B462" s="100" t="s">
        <v>579</v>
      </c>
      <c r="C462" s="101" t="s">
        <v>604</v>
      </c>
      <c r="D462" s="101"/>
      <c r="E462" s="101" t="s">
        <v>680</v>
      </c>
      <c r="F462" s="101"/>
      <c r="G462" s="101" t="s">
        <v>146</v>
      </c>
      <c r="H462" s="101"/>
      <c r="I462" s="102">
        <v>1.1200000000000001</v>
      </c>
      <c r="J462" s="103">
        <v>40179</v>
      </c>
      <c r="K462" s="104">
        <v>40406</v>
      </c>
    </row>
    <row r="463" spans="2:11" s="99" customFormat="1" ht="21" customHeight="1">
      <c r="B463" s="100" t="s">
        <v>579</v>
      </c>
      <c r="C463" s="101" t="s">
        <v>604</v>
      </c>
      <c r="D463" s="101"/>
      <c r="E463" s="101" t="s">
        <v>681</v>
      </c>
      <c r="F463" s="101"/>
      <c r="G463" s="101" t="s">
        <v>146</v>
      </c>
      <c r="H463" s="101"/>
      <c r="I463" s="102">
        <v>1.1200000000000001</v>
      </c>
      <c r="J463" s="103">
        <v>40179</v>
      </c>
      <c r="K463" s="104">
        <v>40406</v>
      </c>
    </row>
    <row r="464" spans="2:11" s="99" customFormat="1" ht="21" customHeight="1">
      <c r="B464" s="100" t="s">
        <v>579</v>
      </c>
      <c r="C464" s="101" t="s">
        <v>604</v>
      </c>
      <c r="D464" s="101"/>
      <c r="E464" s="101" t="s">
        <v>682</v>
      </c>
      <c r="F464" s="101"/>
      <c r="G464" s="101" t="s">
        <v>146</v>
      </c>
      <c r="H464" s="101"/>
      <c r="I464" s="102">
        <v>1.1200000000000001</v>
      </c>
      <c r="J464" s="103">
        <v>40179</v>
      </c>
      <c r="K464" s="104">
        <v>40406</v>
      </c>
    </row>
    <row r="465" spans="2:11" s="99" customFormat="1" ht="21" customHeight="1">
      <c r="B465" s="100" t="s">
        <v>579</v>
      </c>
      <c r="C465" s="101" t="s">
        <v>604</v>
      </c>
      <c r="D465" s="101"/>
      <c r="E465" s="101" t="s">
        <v>683</v>
      </c>
      <c r="F465" s="101"/>
      <c r="G465" s="101" t="s">
        <v>146</v>
      </c>
      <c r="H465" s="101"/>
      <c r="I465" s="102">
        <v>1.1200000000000001</v>
      </c>
      <c r="J465" s="103">
        <v>40179</v>
      </c>
      <c r="K465" s="104">
        <v>40406</v>
      </c>
    </row>
    <row r="466" spans="2:11" s="99" customFormat="1" ht="21" customHeight="1">
      <c r="B466" s="100" t="s">
        <v>579</v>
      </c>
      <c r="C466" s="101" t="s">
        <v>604</v>
      </c>
      <c r="D466" s="101"/>
      <c r="E466" s="101" t="s">
        <v>684</v>
      </c>
      <c r="F466" s="101"/>
      <c r="G466" s="101" t="s">
        <v>146</v>
      </c>
      <c r="H466" s="101"/>
      <c r="I466" s="102">
        <v>1.1200000000000001</v>
      </c>
      <c r="J466" s="103">
        <v>40179</v>
      </c>
      <c r="K466" s="104">
        <v>40406</v>
      </c>
    </row>
    <row r="467" spans="2:11" s="99" customFormat="1" ht="21" customHeight="1">
      <c r="B467" s="100" t="s">
        <v>579</v>
      </c>
      <c r="C467" s="101" t="s">
        <v>604</v>
      </c>
      <c r="D467" s="101"/>
      <c r="E467" s="101" t="s">
        <v>685</v>
      </c>
      <c r="F467" s="101"/>
      <c r="G467" s="101" t="s">
        <v>146</v>
      </c>
      <c r="H467" s="101"/>
      <c r="I467" s="102">
        <v>1.1200000000000001</v>
      </c>
      <c r="J467" s="103">
        <v>40179</v>
      </c>
      <c r="K467" s="104">
        <v>40406</v>
      </c>
    </row>
    <row r="468" spans="2:11" s="99" customFormat="1" ht="21" customHeight="1">
      <c r="B468" s="100" t="s">
        <v>579</v>
      </c>
      <c r="C468" s="101" t="s">
        <v>604</v>
      </c>
      <c r="D468" s="101"/>
      <c r="E468" s="101" t="s">
        <v>686</v>
      </c>
      <c r="F468" s="101"/>
      <c r="G468" s="101" t="s">
        <v>146</v>
      </c>
      <c r="H468" s="101"/>
      <c r="I468" s="102">
        <v>1.1200000000000001</v>
      </c>
      <c r="J468" s="103">
        <v>40179</v>
      </c>
      <c r="K468" s="104">
        <v>40406</v>
      </c>
    </row>
    <row r="469" spans="2:11" s="99" customFormat="1" ht="21" customHeight="1">
      <c r="B469" s="100" t="s">
        <v>579</v>
      </c>
      <c r="C469" s="101" t="s">
        <v>604</v>
      </c>
      <c r="D469" s="101"/>
      <c r="E469" s="101" t="s">
        <v>687</v>
      </c>
      <c r="F469" s="101"/>
      <c r="G469" s="101" t="s">
        <v>146</v>
      </c>
      <c r="H469" s="101"/>
      <c r="I469" s="102">
        <v>1.1200000000000001</v>
      </c>
      <c r="J469" s="103">
        <v>40179</v>
      </c>
      <c r="K469" s="104">
        <v>40406</v>
      </c>
    </row>
    <row r="470" spans="2:11" s="99" customFormat="1" ht="21" customHeight="1">
      <c r="B470" s="100" t="s">
        <v>579</v>
      </c>
      <c r="C470" s="101" t="s">
        <v>604</v>
      </c>
      <c r="D470" s="101"/>
      <c r="E470" s="101" t="s">
        <v>688</v>
      </c>
      <c r="F470" s="101"/>
      <c r="G470" s="101" t="s">
        <v>146</v>
      </c>
      <c r="H470" s="101"/>
      <c r="I470" s="102">
        <v>1.1200000000000001</v>
      </c>
      <c r="J470" s="103">
        <v>40179</v>
      </c>
      <c r="K470" s="104">
        <v>40406</v>
      </c>
    </row>
    <row r="471" spans="2:11" s="99" customFormat="1" ht="21" customHeight="1">
      <c r="B471" s="100" t="s">
        <v>579</v>
      </c>
      <c r="C471" s="101" t="s">
        <v>604</v>
      </c>
      <c r="D471" s="101"/>
      <c r="E471" s="101" t="s">
        <v>689</v>
      </c>
      <c r="F471" s="101"/>
      <c r="G471" s="101" t="s">
        <v>146</v>
      </c>
      <c r="H471" s="101"/>
      <c r="I471" s="102">
        <v>1.1200000000000001</v>
      </c>
      <c r="J471" s="103">
        <v>40179</v>
      </c>
      <c r="K471" s="104">
        <v>40406</v>
      </c>
    </row>
    <row r="472" spans="2:11" s="99" customFormat="1" ht="21" customHeight="1">
      <c r="B472" s="100" t="s">
        <v>579</v>
      </c>
      <c r="C472" s="101" t="s">
        <v>604</v>
      </c>
      <c r="D472" s="101"/>
      <c r="E472" s="101" t="s">
        <v>690</v>
      </c>
      <c r="F472" s="101"/>
      <c r="G472" s="101" t="s">
        <v>146</v>
      </c>
      <c r="H472" s="101"/>
      <c r="I472" s="102">
        <v>1.1200000000000001</v>
      </c>
      <c r="J472" s="103">
        <v>40179</v>
      </c>
      <c r="K472" s="104">
        <v>40406</v>
      </c>
    </row>
    <row r="473" spans="2:11" s="99" customFormat="1" ht="21" customHeight="1">
      <c r="B473" s="100" t="s">
        <v>579</v>
      </c>
      <c r="C473" s="101" t="s">
        <v>580</v>
      </c>
      <c r="D473" s="101"/>
      <c r="E473" s="101" t="s">
        <v>691</v>
      </c>
      <c r="F473" s="101"/>
      <c r="G473" s="101" t="s">
        <v>146</v>
      </c>
      <c r="H473" s="101"/>
      <c r="I473" s="102">
        <v>1.1439999999999999</v>
      </c>
      <c r="J473" s="103">
        <v>40179</v>
      </c>
      <c r="K473" s="104">
        <v>40406</v>
      </c>
    </row>
    <row r="474" spans="2:11" s="99" customFormat="1" ht="21" customHeight="1">
      <c r="B474" s="100" t="s">
        <v>579</v>
      </c>
      <c r="C474" s="101" t="s">
        <v>580</v>
      </c>
      <c r="D474" s="101"/>
      <c r="E474" s="101" t="s">
        <v>692</v>
      </c>
      <c r="F474" s="101"/>
      <c r="G474" s="101" t="s">
        <v>146</v>
      </c>
      <c r="H474" s="101"/>
      <c r="I474" s="102">
        <v>1.1439999999999999</v>
      </c>
      <c r="J474" s="103">
        <v>40179</v>
      </c>
      <c r="K474" s="104">
        <v>40406</v>
      </c>
    </row>
    <row r="475" spans="2:11" s="99" customFormat="1" ht="21" customHeight="1">
      <c r="B475" s="100" t="s">
        <v>579</v>
      </c>
      <c r="C475" s="101" t="s">
        <v>588</v>
      </c>
      <c r="D475" s="101"/>
      <c r="E475" s="101" t="s">
        <v>693</v>
      </c>
      <c r="F475" s="101"/>
      <c r="G475" s="101" t="s">
        <v>146</v>
      </c>
      <c r="H475" s="101"/>
      <c r="I475" s="102">
        <v>1.1439999999999999</v>
      </c>
      <c r="J475" s="103">
        <v>40179</v>
      </c>
      <c r="K475" s="104">
        <v>40406</v>
      </c>
    </row>
    <row r="476" spans="2:11" s="99" customFormat="1" ht="21" customHeight="1">
      <c r="B476" s="100" t="s">
        <v>579</v>
      </c>
      <c r="C476" s="101" t="s">
        <v>588</v>
      </c>
      <c r="D476" s="101"/>
      <c r="E476" s="101" t="s">
        <v>694</v>
      </c>
      <c r="F476" s="101"/>
      <c r="G476" s="101" t="s">
        <v>146</v>
      </c>
      <c r="H476" s="101"/>
      <c r="I476" s="102">
        <v>1.1439999999999999</v>
      </c>
      <c r="J476" s="103">
        <v>40179</v>
      </c>
      <c r="K476" s="104">
        <v>40406</v>
      </c>
    </row>
    <row r="477" spans="2:11" s="99" customFormat="1" ht="21" customHeight="1">
      <c r="B477" s="100" t="s">
        <v>579</v>
      </c>
      <c r="C477" s="101" t="s">
        <v>588</v>
      </c>
      <c r="D477" s="101"/>
      <c r="E477" s="101" t="s">
        <v>695</v>
      </c>
      <c r="F477" s="101"/>
      <c r="G477" s="101" t="s">
        <v>146</v>
      </c>
      <c r="H477" s="101"/>
      <c r="I477" s="102">
        <v>1.1439999999999999</v>
      </c>
      <c r="J477" s="103">
        <v>40179</v>
      </c>
      <c r="K477" s="104">
        <v>40406</v>
      </c>
    </row>
    <row r="478" spans="2:11" s="99" customFormat="1" ht="21" customHeight="1">
      <c r="B478" s="100" t="s">
        <v>579</v>
      </c>
      <c r="C478" s="101" t="s">
        <v>588</v>
      </c>
      <c r="D478" s="101"/>
      <c r="E478" s="101" t="s">
        <v>696</v>
      </c>
      <c r="F478" s="101"/>
      <c r="G478" s="101" t="s">
        <v>146</v>
      </c>
      <c r="H478" s="101"/>
      <c r="I478" s="102">
        <v>1.1439999999999999</v>
      </c>
      <c r="J478" s="103">
        <v>40179</v>
      </c>
      <c r="K478" s="104">
        <v>40406</v>
      </c>
    </row>
    <row r="479" spans="2:11" s="99" customFormat="1" ht="21" customHeight="1">
      <c r="B479" s="100" t="s">
        <v>579</v>
      </c>
      <c r="C479" s="101" t="s">
        <v>588</v>
      </c>
      <c r="D479" s="101"/>
      <c r="E479" s="101" t="s">
        <v>697</v>
      </c>
      <c r="F479" s="101"/>
      <c r="G479" s="101" t="s">
        <v>146</v>
      </c>
      <c r="H479" s="101"/>
      <c r="I479" s="102">
        <v>1.1439999999999999</v>
      </c>
      <c r="J479" s="103">
        <v>40179</v>
      </c>
      <c r="K479" s="104">
        <v>40406</v>
      </c>
    </row>
    <row r="480" spans="2:11" s="99" customFormat="1" ht="21" customHeight="1">
      <c r="B480" s="100" t="s">
        <v>579</v>
      </c>
      <c r="C480" s="101" t="s">
        <v>588</v>
      </c>
      <c r="D480" s="101"/>
      <c r="E480" s="101" t="s">
        <v>698</v>
      </c>
      <c r="F480" s="101"/>
      <c r="G480" s="101" t="s">
        <v>146</v>
      </c>
      <c r="H480" s="101"/>
      <c r="I480" s="102">
        <v>1.1439999999999999</v>
      </c>
      <c r="J480" s="103">
        <v>40179</v>
      </c>
      <c r="K480" s="104">
        <v>40406</v>
      </c>
    </row>
    <row r="481" spans="2:11" s="99" customFormat="1" ht="21" customHeight="1">
      <c r="B481" s="100" t="s">
        <v>579</v>
      </c>
      <c r="C481" s="101" t="s">
        <v>588</v>
      </c>
      <c r="D481" s="101"/>
      <c r="E481" s="101" t="s">
        <v>699</v>
      </c>
      <c r="F481" s="101"/>
      <c r="G481" s="101" t="s">
        <v>146</v>
      </c>
      <c r="H481" s="101"/>
      <c r="I481" s="102">
        <v>1.1439999999999999</v>
      </c>
      <c r="J481" s="103">
        <v>40179</v>
      </c>
      <c r="K481" s="104">
        <v>40406</v>
      </c>
    </row>
    <row r="482" spans="2:11" s="99" customFormat="1" ht="21" customHeight="1">
      <c r="B482" s="100" t="s">
        <v>579</v>
      </c>
      <c r="C482" s="101" t="s">
        <v>588</v>
      </c>
      <c r="D482" s="101"/>
      <c r="E482" s="101" t="s">
        <v>700</v>
      </c>
      <c r="F482" s="101"/>
      <c r="G482" s="101" t="s">
        <v>146</v>
      </c>
      <c r="H482" s="101"/>
      <c r="I482" s="102">
        <v>1.1439999999999999</v>
      </c>
      <c r="J482" s="103">
        <v>40179</v>
      </c>
      <c r="K482" s="104">
        <v>40406</v>
      </c>
    </row>
    <row r="483" spans="2:11" s="99" customFormat="1" ht="21" customHeight="1">
      <c r="B483" s="100" t="s">
        <v>579</v>
      </c>
      <c r="C483" s="101" t="s">
        <v>597</v>
      </c>
      <c r="D483" s="101"/>
      <c r="E483" s="101" t="s">
        <v>701</v>
      </c>
      <c r="F483" s="101"/>
      <c r="G483" s="101" t="s">
        <v>146</v>
      </c>
      <c r="H483" s="101"/>
      <c r="I483" s="102">
        <v>1.1439999999999999</v>
      </c>
      <c r="J483" s="103">
        <v>40179</v>
      </c>
      <c r="K483" s="104">
        <v>40406</v>
      </c>
    </row>
    <row r="484" spans="2:11" s="99" customFormat="1" ht="21" customHeight="1">
      <c r="B484" s="100" t="s">
        <v>579</v>
      </c>
      <c r="C484" s="101" t="s">
        <v>597</v>
      </c>
      <c r="D484" s="101"/>
      <c r="E484" s="101" t="s">
        <v>702</v>
      </c>
      <c r="F484" s="101"/>
      <c r="G484" s="101" t="s">
        <v>146</v>
      </c>
      <c r="H484" s="101"/>
      <c r="I484" s="102">
        <v>1.1439999999999999</v>
      </c>
      <c r="J484" s="103">
        <v>40179</v>
      </c>
      <c r="K484" s="104">
        <v>40406</v>
      </c>
    </row>
    <row r="485" spans="2:11" s="99" customFormat="1" ht="21" customHeight="1">
      <c r="B485" s="100" t="s">
        <v>579</v>
      </c>
      <c r="C485" s="101" t="s">
        <v>597</v>
      </c>
      <c r="D485" s="101"/>
      <c r="E485" s="101" t="s">
        <v>703</v>
      </c>
      <c r="F485" s="101"/>
      <c r="G485" s="101" t="s">
        <v>146</v>
      </c>
      <c r="H485" s="101"/>
      <c r="I485" s="102">
        <v>1.1439999999999999</v>
      </c>
      <c r="J485" s="103">
        <v>40179</v>
      </c>
      <c r="K485" s="104">
        <v>40406</v>
      </c>
    </row>
    <row r="486" spans="2:11" s="99" customFormat="1" ht="21" customHeight="1">
      <c r="B486" s="100" t="s">
        <v>579</v>
      </c>
      <c r="C486" s="101" t="s">
        <v>597</v>
      </c>
      <c r="D486" s="101"/>
      <c r="E486" s="101" t="s">
        <v>704</v>
      </c>
      <c r="F486" s="101"/>
      <c r="G486" s="101" t="s">
        <v>146</v>
      </c>
      <c r="H486" s="101"/>
      <c r="I486" s="102">
        <v>1.1439999999999999</v>
      </c>
      <c r="J486" s="103">
        <v>40179</v>
      </c>
      <c r="K486" s="104">
        <v>40406</v>
      </c>
    </row>
    <row r="487" spans="2:11" s="99" customFormat="1" ht="21" customHeight="1">
      <c r="B487" s="100" t="s">
        <v>579</v>
      </c>
      <c r="C487" s="101" t="s">
        <v>597</v>
      </c>
      <c r="D487" s="101"/>
      <c r="E487" s="101" t="s">
        <v>705</v>
      </c>
      <c r="F487" s="101"/>
      <c r="G487" s="101" t="s">
        <v>146</v>
      </c>
      <c r="H487" s="101"/>
      <c r="I487" s="102">
        <v>1.1439999999999999</v>
      </c>
      <c r="J487" s="103">
        <v>40179</v>
      </c>
      <c r="K487" s="104">
        <v>40406</v>
      </c>
    </row>
    <row r="488" spans="2:11" s="99" customFormat="1" ht="21" customHeight="1">
      <c r="B488" s="100" t="s">
        <v>579</v>
      </c>
      <c r="C488" s="101" t="s">
        <v>597</v>
      </c>
      <c r="D488" s="101"/>
      <c r="E488" s="101" t="s">
        <v>706</v>
      </c>
      <c r="F488" s="101"/>
      <c r="G488" s="101" t="s">
        <v>146</v>
      </c>
      <c r="H488" s="101"/>
      <c r="I488" s="102">
        <v>1.1439999999999999</v>
      </c>
      <c r="J488" s="103">
        <v>40179</v>
      </c>
      <c r="K488" s="104">
        <v>40406</v>
      </c>
    </row>
    <row r="489" spans="2:11" s="99" customFormat="1" ht="21" customHeight="1">
      <c r="B489" s="100" t="s">
        <v>579</v>
      </c>
      <c r="C489" s="101" t="s">
        <v>597</v>
      </c>
      <c r="D489" s="101"/>
      <c r="E489" s="101" t="s">
        <v>707</v>
      </c>
      <c r="F489" s="101"/>
      <c r="G489" s="101" t="s">
        <v>146</v>
      </c>
      <c r="H489" s="101"/>
      <c r="I489" s="102">
        <v>1.1439999999999999</v>
      </c>
      <c r="J489" s="103">
        <v>40179</v>
      </c>
      <c r="K489" s="104">
        <v>40406</v>
      </c>
    </row>
    <row r="490" spans="2:11" s="99" customFormat="1" ht="21" customHeight="1">
      <c r="B490" s="100" t="s">
        <v>579</v>
      </c>
      <c r="C490" s="101" t="s">
        <v>597</v>
      </c>
      <c r="D490" s="101"/>
      <c r="E490" s="101" t="s">
        <v>708</v>
      </c>
      <c r="F490" s="101"/>
      <c r="G490" s="101" t="s">
        <v>146</v>
      </c>
      <c r="H490" s="101"/>
      <c r="I490" s="102">
        <v>1.1439999999999999</v>
      </c>
      <c r="J490" s="103">
        <v>40179</v>
      </c>
      <c r="K490" s="104">
        <v>40406</v>
      </c>
    </row>
    <row r="491" spans="2:11" s="99" customFormat="1" ht="21" customHeight="1">
      <c r="B491" s="100" t="s">
        <v>579</v>
      </c>
      <c r="C491" s="101" t="s">
        <v>604</v>
      </c>
      <c r="D491" s="101"/>
      <c r="E491" s="101" t="s">
        <v>709</v>
      </c>
      <c r="F491" s="101"/>
      <c r="G491" s="101" t="s">
        <v>146</v>
      </c>
      <c r="H491" s="101"/>
      <c r="I491" s="102">
        <v>1.1439999999999999</v>
      </c>
      <c r="J491" s="103">
        <v>40179</v>
      </c>
      <c r="K491" s="104">
        <v>40406</v>
      </c>
    </row>
    <row r="492" spans="2:11" s="99" customFormat="1" ht="21" customHeight="1">
      <c r="B492" s="100" t="s">
        <v>579</v>
      </c>
      <c r="C492" s="101" t="s">
        <v>604</v>
      </c>
      <c r="D492" s="101"/>
      <c r="E492" s="101" t="s">
        <v>710</v>
      </c>
      <c r="F492" s="101"/>
      <c r="G492" s="101" t="s">
        <v>146</v>
      </c>
      <c r="H492" s="101"/>
      <c r="I492" s="102">
        <v>1.1439999999999999</v>
      </c>
      <c r="J492" s="103">
        <v>40179</v>
      </c>
      <c r="K492" s="104">
        <v>40406</v>
      </c>
    </row>
    <row r="493" spans="2:11" s="99" customFormat="1" ht="21" customHeight="1">
      <c r="B493" s="100" t="s">
        <v>579</v>
      </c>
      <c r="C493" s="101" t="s">
        <v>604</v>
      </c>
      <c r="D493" s="101"/>
      <c r="E493" s="101" t="s">
        <v>711</v>
      </c>
      <c r="F493" s="101"/>
      <c r="G493" s="101" t="s">
        <v>146</v>
      </c>
      <c r="H493" s="101"/>
      <c r="I493" s="102">
        <v>1.1439999999999999</v>
      </c>
      <c r="J493" s="103">
        <v>40179</v>
      </c>
      <c r="K493" s="104">
        <v>40406</v>
      </c>
    </row>
    <row r="494" spans="2:11" s="99" customFormat="1" ht="21" customHeight="1">
      <c r="B494" s="100" t="s">
        <v>579</v>
      </c>
      <c r="C494" s="101" t="s">
        <v>604</v>
      </c>
      <c r="D494" s="101"/>
      <c r="E494" s="101" t="s">
        <v>712</v>
      </c>
      <c r="F494" s="101"/>
      <c r="G494" s="101" t="s">
        <v>146</v>
      </c>
      <c r="H494" s="101"/>
      <c r="I494" s="102">
        <v>1.1439999999999999</v>
      </c>
      <c r="J494" s="103">
        <v>40179</v>
      </c>
      <c r="K494" s="104">
        <v>40406</v>
      </c>
    </row>
    <row r="495" spans="2:11" s="99" customFormat="1" ht="21" customHeight="1">
      <c r="B495" s="100" t="s">
        <v>579</v>
      </c>
      <c r="C495" s="101" t="s">
        <v>604</v>
      </c>
      <c r="D495" s="101"/>
      <c r="E495" s="101" t="s">
        <v>448</v>
      </c>
      <c r="F495" s="101"/>
      <c r="G495" s="101" t="s">
        <v>146</v>
      </c>
      <c r="H495" s="101"/>
      <c r="I495" s="102">
        <v>1.1439999999999999</v>
      </c>
      <c r="J495" s="103">
        <v>40179</v>
      </c>
      <c r="K495" s="104">
        <v>40406</v>
      </c>
    </row>
    <row r="496" spans="2:11" s="99" customFormat="1" ht="21" customHeight="1">
      <c r="B496" s="100" t="s">
        <v>579</v>
      </c>
      <c r="C496" s="101" t="s">
        <v>604</v>
      </c>
      <c r="D496" s="101"/>
      <c r="E496" s="101" t="s">
        <v>713</v>
      </c>
      <c r="F496" s="101"/>
      <c r="G496" s="101" t="s">
        <v>146</v>
      </c>
      <c r="H496" s="101"/>
      <c r="I496" s="102">
        <v>1.1439999999999999</v>
      </c>
      <c r="J496" s="103">
        <v>40179</v>
      </c>
      <c r="K496" s="104">
        <v>40406</v>
      </c>
    </row>
    <row r="497" spans="2:11" s="99" customFormat="1" ht="21" customHeight="1">
      <c r="B497" s="100" t="s">
        <v>579</v>
      </c>
      <c r="C497" s="101" t="s">
        <v>604</v>
      </c>
      <c r="D497" s="101"/>
      <c r="E497" s="101" t="s">
        <v>714</v>
      </c>
      <c r="F497" s="101"/>
      <c r="G497" s="101" t="s">
        <v>146</v>
      </c>
      <c r="H497" s="101"/>
      <c r="I497" s="102">
        <v>1.1439999999999999</v>
      </c>
      <c r="J497" s="103">
        <v>40179</v>
      </c>
      <c r="K497" s="104">
        <v>40406</v>
      </c>
    </row>
    <row r="498" spans="2:11" s="99" customFormat="1" ht="21" customHeight="1">
      <c r="B498" s="100" t="s">
        <v>579</v>
      </c>
      <c r="C498" s="101" t="s">
        <v>604</v>
      </c>
      <c r="D498" s="101"/>
      <c r="E498" s="101" t="s">
        <v>715</v>
      </c>
      <c r="F498" s="101"/>
      <c r="G498" s="101" t="s">
        <v>146</v>
      </c>
      <c r="H498" s="101"/>
      <c r="I498" s="102">
        <v>1.1439999999999999</v>
      </c>
      <c r="J498" s="103">
        <v>40179</v>
      </c>
      <c r="K498" s="104">
        <v>40406</v>
      </c>
    </row>
    <row r="499" spans="2:11" s="99" customFormat="1" ht="21" customHeight="1">
      <c r="B499" s="100" t="s">
        <v>579</v>
      </c>
      <c r="C499" s="101" t="s">
        <v>580</v>
      </c>
      <c r="D499" s="101" t="s">
        <v>581</v>
      </c>
      <c r="E499" s="101" t="s">
        <v>642</v>
      </c>
      <c r="F499" s="101"/>
      <c r="G499" s="101" t="s">
        <v>146</v>
      </c>
      <c r="H499" s="101"/>
      <c r="I499" s="102">
        <v>1.19</v>
      </c>
      <c r="J499" s="103">
        <v>38718</v>
      </c>
      <c r="K499" s="104">
        <v>38716</v>
      </c>
    </row>
    <row r="500" spans="2:11" s="99" customFormat="1" ht="21" customHeight="1">
      <c r="B500" s="100" t="s">
        <v>579</v>
      </c>
      <c r="C500" s="101" t="s">
        <v>580</v>
      </c>
      <c r="D500" s="101" t="s">
        <v>583</v>
      </c>
      <c r="E500" s="101" t="s">
        <v>648</v>
      </c>
      <c r="F500" s="101"/>
      <c r="G500" s="101" t="s">
        <v>146</v>
      </c>
      <c r="H500" s="101"/>
      <c r="I500" s="102">
        <v>1.19</v>
      </c>
      <c r="J500" s="103">
        <v>38718</v>
      </c>
      <c r="K500" s="104">
        <v>38716</v>
      </c>
    </row>
    <row r="501" spans="2:11" s="99" customFormat="1" ht="21" customHeight="1">
      <c r="B501" s="100" t="s">
        <v>716</v>
      </c>
      <c r="C501" s="101" t="s">
        <v>717</v>
      </c>
      <c r="D501" s="101" t="s">
        <v>718</v>
      </c>
      <c r="E501" s="101" t="s">
        <v>718</v>
      </c>
      <c r="F501" s="101"/>
      <c r="G501" s="101" t="s">
        <v>233</v>
      </c>
      <c r="H501" s="101" t="s">
        <v>173</v>
      </c>
      <c r="I501" s="102">
        <v>0.06</v>
      </c>
      <c r="J501" s="103">
        <v>40179</v>
      </c>
      <c r="K501" s="104">
        <v>41086</v>
      </c>
    </row>
    <row r="502" spans="2:11" s="99" customFormat="1" ht="21" customHeight="1">
      <c r="B502" s="100" t="s">
        <v>716</v>
      </c>
      <c r="C502" s="101" t="s">
        <v>719</v>
      </c>
      <c r="D502" s="101" t="s">
        <v>720</v>
      </c>
      <c r="E502" s="101" t="s">
        <v>720</v>
      </c>
      <c r="F502" s="101"/>
      <c r="G502" s="101" t="s">
        <v>146</v>
      </c>
      <c r="H502" s="101" t="s">
        <v>173</v>
      </c>
      <c r="I502" s="102">
        <v>0.3</v>
      </c>
      <c r="J502" s="103">
        <v>40528</v>
      </c>
      <c r="K502" s="104">
        <v>41085</v>
      </c>
    </row>
    <row r="503" spans="2:11" s="99" customFormat="1" ht="21" customHeight="1">
      <c r="B503" s="100" t="s">
        <v>716</v>
      </c>
      <c r="C503" s="101" t="s">
        <v>717</v>
      </c>
      <c r="D503" s="101" t="s">
        <v>721</v>
      </c>
      <c r="E503" s="101" t="s">
        <v>721</v>
      </c>
      <c r="F503" s="101"/>
      <c r="G503" s="101" t="s">
        <v>146</v>
      </c>
      <c r="H503" s="101" t="s">
        <v>173</v>
      </c>
      <c r="I503" s="102">
        <v>0.33</v>
      </c>
      <c r="J503" s="103">
        <v>39083</v>
      </c>
      <c r="K503" s="104">
        <v>41086</v>
      </c>
    </row>
    <row r="504" spans="2:11" s="99" customFormat="1" ht="21" customHeight="1">
      <c r="B504" s="100" t="s">
        <v>716</v>
      </c>
      <c r="C504" s="101" t="s">
        <v>717</v>
      </c>
      <c r="D504" s="101" t="s">
        <v>722</v>
      </c>
      <c r="E504" s="101" t="s">
        <v>722</v>
      </c>
      <c r="F504" s="101"/>
      <c r="G504" s="101" t="s">
        <v>164</v>
      </c>
      <c r="H504" s="101" t="s">
        <v>173</v>
      </c>
      <c r="I504" s="102">
        <v>0.72</v>
      </c>
      <c r="J504" s="103">
        <v>37622</v>
      </c>
      <c r="K504" s="104">
        <v>41086</v>
      </c>
    </row>
    <row r="505" spans="2:11" s="99" customFormat="1" ht="21" customHeight="1">
      <c r="B505" s="100" t="s">
        <v>716</v>
      </c>
      <c r="C505" s="101" t="s">
        <v>719</v>
      </c>
      <c r="D505" s="101" t="s">
        <v>723</v>
      </c>
      <c r="E505" s="101" t="s">
        <v>723</v>
      </c>
      <c r="F505" s="101"/>
      <c r="G505" s="101" t="s">
        <v>146</v>
      </c>
      <c r="H505" s="101" t="s">
        <v>173</v>
      </c>
      <c r="I505" s="102">
        <v>0.73</v>
      </c>
      <c r="J505" s="103">
        <v>40527</v>
      </c>
      <c r="K505" s="104">
        <v>41086</v>
      </c>
    </row>
    <row r="506" spans="2:11" s="99" customFormat="1" ht="21" customHeight="1">
      <c r="B506" s="100" t="s">
        <v>716</v>
      </c>
      <c r="C506" s="101" t="s">
        <v>724</v>
      </c>
      <c r="D506" s="101" t="s">
        <v>725</v>
      </c>
      <c r="E506" s="101" t="s">
        <v>725</v>
      </c>
      <c r="F506" s="101"/>
      <c r="G506" s="101" t="s">
        <v>146</v>
      </c>
      <c r="H506" s="101" t="s">
        <v>173</v>
      </c>
      <c r="I506" s="102">
        <v>0.82</v>
      </c>
      <c r="J506" s="103">
        <v>40529</v>
      </c>
      <c r="K506" s="104">
        <v>41086</v>
      </c>
    </row>
    <row r="507" spans="2:11" s="99" customFormat="1" ht="21" customHeight="1">
      <c r="B507" s="100" t="s">
        <v>716</v>
      </c>
      <c r="C507" s="101" t="s">
        <v>724</v>
      </c>
      <c r="D507" s="101" t="s">
        <v>726</v>
      </c>
      <c r="E507" s="101" t="s">
        <v>726</v>
      </c>
      <c r="F507" s="101" t="s">
        <v>727</v>
      </c>
      <c r="G507" s="101" t="s">
        <v>146</v>
      </c>
      <c r="H507" s="101" t="s">
        <v>173</v>
      </c>
      <c r="I507" s="102">
        <v>0.84</v>
      </c>
      <c r="J507" s="103">
        <v>40526</v>
      </c>
      <c r="K507" s="104">
        <v>41086</v>
      </c>
    </row>
    <row r="508" spans="2:11" s="99" customFormat="1" ht="21" customHeight="1">
      <c r="B508" s="100" t="s">
        <v>716</v>
      </c>
      <c r="C508" s="101" t="s">
        <v>724</v>
      </c>
      <c r="D508" s="101" t="s">
        <v>728</v>
      </c>
      <c r="E508" s="101" t="s">
        <v>728</v>
      </c>
      <c r="F508" s="101"/>
      <c r="G508" s="101" t="s">
        <v>146</v>
      </c>
      <c r="H508" s="101" t="s">
        <v>173</v>
      </c>
      <c r="I508" s="102">
        <v>0.89</v>
      </c>
      <c r="J508" s="103">
        <v>40525</v>
      </c>
      <c r="K508" s="104">
        <v>41184</v>
      </c>
    </row>
    <row r="509" spans="2:11" s="99" customFormat="1" ht="21" customHeight="1">
      <c r="B509" s="100" t="s">
        <v>716</v>
      </c>
      <c r="C509" s="101" t="s">
        <v>717</v>
      </c>
      <c r="D509" s="101" t="s">
        <v>729</v>
      </c>
      <c r="E509" s="101" t="s">
        <v>729</v>
      </c>
      <c r="F509" s="101"/>
      <c r="G509" s="101" t="s">
        <v>146</v>
      </c>
      <c r="H509" s="101" t="s">
        <v>173</v>
      </c>
      <c r="I509" s="102">
        <v>1</v>
      </c>
      <c r="J509" s="103">
        <v>40179</v>
      </c>
      <c r="K509" s="104">
        <v>41086</v>
      </c>
    </row>
    <row r="510" spans="2:11" s="99" customFormat="1" ht="21" customHeight="1">
      <c r="B510" s="100" t="s">
        <v>730</v>
      </c>
      <c r="C510" s="101" t="s">
        <v>731</v>
      </c>
      <c r="D510" s="101"/>
      <c r="E510" s="101" t="s">
        <v>732</v>
      </c>
      <c r="F510" s="101"/>
      <c r="G510" s="101" t="s">
        <v>146</v>
      </c>
      <c r="H510" s="101"/>
      <c r="I510" s="102">
        <v>1.0189999999999999</v>
      </c>
      <c r="J510" s="103">
        <v>40351</v>
      </c>
      <c r="K510" s="104">
        <v>40360</v>
      </c>
    </row>
    <row r="511" spans="2:11" s="99" customFormat="1" ht="21" customHeight="1">
      <c r="B511" s="100" t="s">
        <v>730</v>
      </c>
      <c r="C511" s="101" t="s">
        <v>731</v>
      </c>
      <c r="D511" s="101"/>
      <c r="E511" s="101" t="s">
        <v>733</v>
      </c>
      <c r="F511" s="101"/>
      <c r="G511" s="101" t="s">
        <v>146</v>
      </c>
      <c r="H511" s="101"/>
      <c r="I511" s="102">
        <v>1.028</v>
      </c>
      <c r="J511" s="103">
        <v>40371</v>
      </c>
      <c r="K511" s="104">
        <v>40403</v>
      </c>
    </row>
    <row r="512" spans="2:11" s="99" customFormat="1" ht="21" customHeight="1">
      <c r="B512" s="100" t="s">
        <v>730</v>
      </c>
      <c r="C512" s="101" t="s">
        <v>731</v>
      </c>
      <c r="D512" s="101"/>
      <c r="E512" s="101" t="s">
        <v>734</v>
      </c>
      <c r="F512" s="101"/>
      <c r="G512" s="101" t="s">
        <v>146</v>
      </c>
      <c r="H512" s="101"/>
      <c r="I512" s="102">
        <v>1.0289999999999999</v>
      </c>
      <c r="J512" s="103">
        <v>40373</v>
      </c>
      <c r="K512" s="104">
        <v>40403</v>
      </c>
    </row>
    <row r="513" spans="2:11" s="99" customFormat="1" ht="21" customHeight="1">
      <c r="B513" s="100" t="s">
        <v>730</v>
      </c>
      <c r="C513" s="101" t="s">
        <v>731</v>
      </c>
      <c r="D513" s="101"/>
      <c r="E513" s="101" t="s">
        <v>735</v>
      </c>
      <c r="F513" s="101"/>
      <c r="G513" s="101" t="s">
        <v>146</v>
      </c>
      <c r="H513" s="101"/>
      <c r="I513" s="102">
        <v>1.0469999999999999</v>
      </c>
      <c r="J513" s="103">
        <v>40351</v>
      </c>
      <c r="K513" s="104">
        <v>40360</v>
      </c>
    </row>
    <row r="514" spans="2:11" s="99" customFormat="1" ht="21" customHeight="1">
      <c r="B514" s="100" t="s">
        <v>730</v>
      </c>
      <c r="C514" s="101" t="s">
        <v>731</v>
      </c>
      <c r="D514" s="101"/>
      <c r="E514" s="101" t="s">
        <v>736</v>
      </c>
      <c r="F514" s="101"/>
      <c r="G514" s="101" t="s">
        <v>146</v>
      </c>
      <c r="H514" s="101"/>
      <c r="I514" s="102">
        <v>1.056</v>
      </c>
      <c r="J514" s="103">
        <v>40365</v>
      </c>
      <c r="K514" s="104">
        <v>40403</v>
      </c>
    </row>
    <row r="515" spans="2:11" s="99" customFormat="1" ht="21" customHeight="1">
      <c r="B515" s="100" t="s">
        <v>730</v>
      </c>
      <c r="C515" s="101" t="s">
        <v>731</v>
      </c>
      <c r="D515" s="101"/>
      <c r="E515" s="101" t="s">
        <v>737</v>
      </c>
      <c r="F515" s="101"/>
      <c r="G515" s="101" t="s">
        <v>146</v>
      </c>
      <c r="H515" s="101"/>
      <c r="I515" s="102">
        <v>1.0569999999999999</v>
      </c>
      <c r="J515" s="103">
        <v>40367</v>
      </c>
      <c r="K515" s="104">
        <v>40403</v>
      </c>
    </row>
    <row r="516" spans="2:11" s="93" customFormat="1" ht="21" customHeight="1"/>
  </sheetData>
  <mergeCells count="3">
    <mergeCell ref="B2:D2"/>
    <mergeCell ref="B4:C4"/>
    <mergeCell ref="B6:E6"/>
  </mergeCells>
  <pageMargins left="0.78431372549019618" right="0.78431372549019618" top="0.98039215686274517" bottom="0.98039215686274517" header="0.50980392156862753" footer="0.50980392156862753"/>
  <pageSetup paperSize="8" orientation="landscape"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dimension ref="A1:G22"/>
  <sheetViews>
    <sheetView workbookViewId="0">
      <selection activeCell="I20" sqref="I20"/>
    </sheetView>
  </sheetViews>
  <sheetFormatPr defaultRowHeight="12.75"/>
  <cols>
    <col min="1" max="1" width="32.42578125" bestFit="1" customWidth="1"/>
    <col min="2" max="2" width="21" customWidth="1"/>
    <col min="3" max="4" width="12.140625" customWidth="1"/>
    <col min="5" max="5" width="14.140625" customWidth="1"/>
    <col min="6" max="7" width="12.140625" customWidth="1"/>
    <col min="8" max="8" width="14.140625" customWidth="1"/>
    <col min="9" max="9" width="55.42578125" bestFit="1" customWidth="1"/>
  </cols>
  <sheetData>
    <row r="1" spans="1:7">
      <c r="A1" s="113" t="s">
        <v>139</v>
      </c>
      <c r="B1" t="s">
        <v>171</v>
      </c>
    </row>
    <row r="3" spans="1:7">
      <c r="B3" s="113" t="s">
        <v>740</v>
      </c>
    </row>
    <row r="4" spans="1:7" ht="63.75">
      <c r="B4" s="115" t="s">
        <v>739</v>
      </c>
      <c r="C4" s="115"/>
      <c r="D4" s="115"/>
      <c r="E4" s="115" t="s">
        <v>738</v>
      </c>
      <c r="F4" s="115"/>
      <c r="G4" s="115"/>
    </row>
    <row r="5" spans="1:7" ht="25.5">
      <c r="A5" s="113" t="s">
        <v>741</v>
      </c>
      <c r="B5" s="115" t="s">
        <v>233</v>
      </c>
      <c r="C5" s="115" t="s">
        <v>164</v>
      </c>
      <c r="D5" s="115" t="s">
        <v>146</v>
      </c>
      <c r="E5" s="115" t="s">
        <v>233</v>
      </c>
      <c r="F5" s="115" t="s">
        <v>164</v>
      </c>
      <c r="G5" s="115" t="s">
        <v>146</v>
      </c>
    </row>
    <row r="6" spans="1:7">
      <c r="A6" s="114" t="s">
        <v>234</v>
      </c>
      <c r="B6" s="112"/>
      <c r="C6" s="112">
        <v>2</v>
      </c>
      <c r="D6" s="112">
        <v>13</v>
      </c>
      <c r="E6" s="116"/>
      <c r="F6" s="116">
        <v>0.15</v>
      </c>
      <c r="G6" s="116">
        <v>1.0576923076923079</v>
      </c>
    </row>
    <row r="7" spans="1:7">
      <c r="A7" s="114" t="s">
        <v>162</v>
      </c>
      <c r="B7" s="112"/>
      <c r="C7" s="112"/>
      <c r="D7" s="112">
        <v>2</v>
      </c>
      <c r="E7" s="116"/>
      <c r="F7" s="116"/>
      <c r="G7" s="116">
        <v>1.1499999999999999</v>
      </c>
    </row>
    <row r="8" spans="1:7">
      <c r="A8" s="114" t="s">
        <v>176</v>
      </c>
      <c r="B8" s="112"/>
      <c r="C8" s="112"/>
      <c r="D8" s="112">
        <v>1</v>
      </c>
      <c r="E8" s="116"/>
      <c r="F8" s="116"/>
      <c r="G8" s="116">
        <v>1.19</v>
      </c>
    </row>
    <row r="9" spans="1:7">
      <c r="A9" s="114" t="s">
        <v>186</v>
      </c>
      <c r="B9" s="112"/>
      <c r="C9" s="112">
        <v>1</v>
      </c>
      <c r="D9" s="112">
        <v>2</v>
      </c>
      <c r="E9" s="116"/>
      <c r="F9" s="116">
        <v>0.12</v>
      </c>
      <c r="G9" s="116">
        <v>1.0550000000000002</v>
      </c>
    </row>
    <row r="10" spans="1:7">
      <c r="A10" s="114" t="s">
        <v>230</v>
      </c>
      <c r="B10" s="112"/>
      <c r="C10" s="112">
        <v>2</v>
      </c>
      <c r="D10" s="112">
        <v>13</v>
      </c>
      <c r="E10" s="116"/>
      <c r="F10" s="116">
        <v>0.15</v>
      </c>
      <c r="G10" s="116">
        <v>1.0576923076923079</v>
      </c>
    </row>
    <row r="11" spans="1:7">
      <c r="A11" s="114" t="s">
        <v>375</v>
      </c>
      <c r="B11" s="112"/>
      <c r="C11" s="112"/>
      <c r="D11" s="112">
        <v>2</v>
      </c>
      <c r="E11" s="116"/>
      <c r="F11" s="116"/>
      <c r="G11" s="116">
        <v>0.81</v>
      </c>
    </row>
    <row r="12" spans="1:7">
      <c r="A12" s="114" t="s">
        <v>244</v>
      </c>
      <c r="B12" s="112"/>
      <c r="C12" s="112">
        <v>2</v>
      </c>
      <c r="D12" s="112">
        <v>13</v>
      </c>
      <c r="E12" s="116"/>
      <c r="F12" s="116">
        <v>0.15</v>
      </c>
      <c r="G12" s="116">
        <v>1.0576923076923079</v>
      </c>
    </row>
    <row r="13" spans="1:7">
      <c r="A13" s="114" t="s">
        <v>303</v>
      </c>
      <c r="B13" s="112">
        <v>1</v>
      </c>
      <c r="C13" s="112"/>
      <c r="D13" s="112">
        <v>3</v>
      </c>
      <c r="E13" s="116">
        <v>1.1100000000000001</v>
      </c>
      <c r="F13" s="116"/>
      <c r="G13" s="116">
        <v>0.99333333333333329</v>
      </c>
    </row>
    <row r="14" spans="1:7">
      <c r="A14" s="114" t="s">
        <v>411</v>
      </c>
      <c r="B14" s="112">
        <v>1</v>
      </c>
      <c r="C14" s="112"/>
      <c r="D14" s="112"/>
      <c r="E14" s="116">
        <v>0.15</v>
      </c>
      <c r="F14" s="116"/>
      <c r="G14" s="116"/>
    </row>
    <row r="15" spans="1:7">
      <c r="A15" s="114" t="s">
        <v>440</v>
      </c>
      <c r="B15" s="112">
        <v>2</v>
      </c>
      <c r="C15" s="112"/>
      <c r="D15" s="112">
        <v>5</v>
      </c>
      <c r="E15" s="116">
        <v>0.16</v>
      </c>
      <c r="F15" s="116"/>
      <c r="G15" s="116">
        <v>1.1080000000000001</v>
      </c>
    </row>
    <row r="16" spans="1:7">
      <c r="A16" s="114" t="s">
        <v>335</v>
      </c>
      <c r="B16" s="112"/>
      <c r="C16" s="112"/>
      <c r="D16" s="112">
        <v>3</v>
      </c>
      <c r="E16" s="116"/>
      <c r="F16" s="116"/>
      <c r="G16" s="116">
        <v>0.37000000000000005</v>
      </c>
    </row>
    <row r="17" spans="1:7">
      <c r="A17" s="114" t="s">
        <v>487</v>
      </c>
      <c r="B17" s="112"/>
      <c r="C17" s="112"/>
      <c r="D17" s="112">
        <v>3</v>
      </c>
      <c r="E17" s="116"/>
      <c r="F17" s="116"/>
      <c r="G17" s="116">
        <v>0.86</v>
      </c>
    </row>
    <row r="18" spans="1:7">
      <c r="A18" s="114" t="s">
        <v>273</v>
      </c>
      <c r="B18" s="112"/>
      <c r="C18" s="112"/>
      <c r="D18" s="112">
        <v>13</v>
      </c>
      <c r="E18" s="116"/>
      <c r="F18" s="116"/>
      <c r="G18" s="116">
        <v>1.1269230769230767</v>
      </c>
    </row>
    <row r="19" spans="1:7">
      <c r="A19" s="114" t="s">
        <v>344</v>
      </c>
      <c r="B19" s="112"/>
      <c r="C19" s="112"/>
      <c r="D19" s="112">
        <v>3</v>
      </c>
      <c r="E19" s="116"/>
      <c r="F19" s="116"/>
      <c r="G19" s="116">
        <v>0.49666666666666665</v>
      </c>
    </row>
    <row r="20" spans="1:7">
      <c r="A20" s="114" t="s">
        <v>245</v>
      </c>
      <c r="B20" s="112"/>
      <c r="C20" s="112">
        <v>2</v>
      </c>
      <c r="D20" s="112">
        <v>13</v>
      </c>
      <c r="E20" s="116"/>
      <c r="F20" s="116">
        <v>0.15</v>
      </c>
      <c r="G20" s="116">
        <v>1.0576923076923077</v>
      </c>
    </row>
    <row r="21" spans="1:7">
      <c r="A21" s="114" t="s">
        <v>579</v>
      </c>
      <c r="B21" s="112"/>
      <c r="C21" s="112"/>
      <c r="D21" s="112">
        <v>3</v>
      </c>
      <c r="E21" s="116"/>
      <c r="F21" s="116"/>
      <c r="G21" s="116">
        <v>0.7533333333333333</v>
      </c>
    </row>
    <row r="22" spans="1:7">
      <c r="A22" s="114" t="s">
        <v>742</v>
      </c>
      <c r="B22" s="112">
        <v>4</v>
      </c>
      <c r="C22" s="112">
        <v>9</v>
      </c>
      <c r="D22" s="112">
        <v>92</v>
      </c>
      <c r="E22" s="116">
        <v>0.39499999999999996</v>
      </c>
      <c r="F22" s="116">
        <v>0.14666666666666664</v>
      </c>
      <c r="G22" s="116">
        <v>1.0090217391304337</v>
      </c>
    </row>
  </sheetData>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sheetPr codeName="Sheet7"/>
  <dimension ref="A2:D10"/>
  <sheetViews>
    <sheetView workbookViewId="0">
      <selection activeCell="B20" sqref="B20"/>
    </sheetView>
  </sheetViews>
  <sheetFormatPr defaultRowHeight="12.75"/>
  <cols>
    <col min="2" max="2" width="27.7109375" customWidth="1"/>
    <col min="3" max="3" width="73.85546875" customWidth="1"/>
    <col min="4" max="4" width="40.85546875" customWidth="1"/>
  </cols>
  <sheetData>
    <row r="2" spans="1:4">
      <c r="A2" t="s">
        <v>753</v>
      </c>
      <c r="C2" s="117" t="s">
        <v>754</v>
      </c>
    </row>
    <row r="4" spans="1:4">
      <c r="A4" s="60" t="s">
        <v>1</v>
      </c>
      <c r="B4" s="60" t="s">
        <v>749</v>
      </c>
      <c r="C4" s="60" t="s">
        <v>750</v>
      </c>
      <c r="D4" s="60" t="s">
        <v>3</v>
      </c>
    </row>
    <row r="5" spans="1:4">
      <c r="A5">
        <v>1</v>
      </c>
      <c r="B5" t="s">
        <v>743</v>
      </c>
    </row>
    <row r="6" spans="1:4">
      <c r="A6">
        <v>2</v>
      </c>
      <c r="B6" t="s">
        <v>744</v>
      </c>
    </row>
    <row r="7" spans="1:4">
      <c r="A7">
        <v>3</v>
      </c>
      <c r="B7" t="s">
        <v>745</v>
      </c>
      <c r="D7" t="s">
        <v>751</v>
      </c>
    </row>
    <row r="8" spans="1:4">
      <c r="A8">
        <v>4</v>
      </c>
      <c r="B8" t="s">
        <v>746</v>
      </c>
    </row>
    <row r="9" spans="1:4">
      <c r="A9">
        <v>5</v>
      </c>
      <c r="B9" t="s">
        <v>747</v>
      </c>
    </row>
    <row r="10" spans="1:4">
      <c r="A10">
        <v>6</v>
      </c>
      <c r="B10" t="s">
        <v>748</v>
      </c>
    </row>
  </sheetData>
  <hyperlinks>
    <hyperlink ref="C2"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1"/>
  <dimension ref="B2:I27"/>
  <sheetViews>
    <sheetView workbookViewId="0">
      <selection activeCell="B31" sqref="B31"/>
    </sheetView>
  </sheetViews>
  <sheetFormatPr defaultRowHeight="12.75"/>
  <cols>
    <col min="3" max="3" width="57.140625" customWidth="1"/>
    <col min="4" max="4" width="16.140625" customWidth="1"/>
    <col min="6" max="6" width="64.140625" customWidth="1"/>
    <col min="7" max="7" width="5.42578125" customWidth="1"/>
    <col min="8" max="8" width="3.7109375" customWidth="1"/>
    <col min="9" max="9" width="9.140625" hidden="1" customWidth="1"/>
  </cols>
  <sheetData>
    <row r="2" spans="2:6">
      <c r="B2" s="53" t="s">
        <v>1</v>
      </c>
      <c r="C2" s="53" t="s">
        <v>44</v>
      </c>
      <c r="D2" s="53" t="s">
        <v>45</v>
      </c>
      <c r="E2" s="53" t="s">
        <v>46</v>
      </c>
      <c r="F2" s="53" t="s">
        <v>47</v>
      </c>
    </row>
    <row r="3" spans="2:6" s="55" customFormat="1" ht="14.25" customHeight="1">
      <c r="B3" s="59">
        <f>ROW()-2</f>
        <v>1</v>
      </c>
      <c r="C3" t="s">
        <v>48</v>
      </c>
      <c r="D3" s="56">
        <v>42006</v>
      </c>
      <c r="E3" s="57" t="s">
        <v>755</v>
      </c>
      <c r="F3" s="54"/>
    </row>
    <row r="4" spans="2:6">
      <c r="B4" s="59">
        <f t="shared" ref="B4:B27" si="0">ROW()-2</f>
        <v>2</v>
      </c>
      <c r="C4" t="s">
        <v>49</v>
      </c>
      <c r="D4" s="56">
        <v>42006</v>
      </c>
      <c r="E4" s="57" t="s">
        <v>755</v>
      </c>
    </row>
    <row r="5" spans="2:6">
      <c r="B5" s="59">
        <f t="shared" si="0"/>
        <v>3</v>
      </c>
      <c r="C5" t="s">
        <v>58</v>
      </c>
      <c r="D5" s="56">
        <v>42006</v>
      </c>
      <c r="E5" s="57" t="s">
        <v>755</v>
      </c>
    </row>
    <row r="6" spans="2:6">
      <c r="B6" s="59">
        <f t="shared" si="0"/>
        <v>4</v>
      </c>
      <c r="C6" t="s">
        <v>57</v>
      </c>
      <c r="D6" s="56">
        <v>42006</v>
      </c>
      <c r="E6" s="57" t="s">
        <v>755</v>
      </c>
    </row>
    <row r="7" spans="2:6">
      <c r="B7" s="59">
        <f t="shared" si="0"/>
        <v>5</v>
      </c>
      <c r="C7" t="s">
        <v>60</v>
      </c>
      <c r="D7" s="56">
        <v>42006</v>
      </c>
      <c r="E7" s="57" t="s">
        <v>755</v>
      </c>
    </row>
    <row r="8" spans="2:6">
      <c r="B8" s="59">
        <f t="shared" si="0"/>
        <v>6</v>
      </c>
      <c r="C8" t="s">
        <v>54</v>
      </c>
      <c r="D8" s="56">
        <v>42006</v>
      </c>
      <c r="E8" s="57" t="s">
        <v>755</v>
      </c>
    </row>
    <row r="9" spans="2:6">
      <c r="B9" s="59">
        <f t="shared" si="0"/>
        <v>7</v>
      </c>
      <c r="C9" t="s">
        <v>59</v>
      </c>
      <c r="D9" s="56"/>
      <c r="E9" s="57"/>
    </row>
    <row r="10" spans="2:6">
      <c r="B10" s="59">
        <f t="shared" si="0"/>
        <v>8</v>
      </c>
      <c r="C10" t="s">
        <v>51</v>
      </c>
      <c r="D10" s="56">
        <v>42006</v>
      </c>
      <c r="E10" s="57" t="s">
        <v>755</v>
      </c>
    </row>
    <row r="11" spans="2:6">
      <c r="B11" s="59">
        <f t="shared" si="0"/>
        <v>9</v>
      </c>
      <c r="C11" t="s">
        <v>52</v>
      </c>
      <c r="D11" s="56">
        <v>42006</v>
      </c>
      <c r="E11" s="57" t="s">
        <v>755</v>
      </c>
    </row>
    <row r="12" spans="2:6">
      <c r="B12" s="59">
        <f t="shared" si="0"/>
        <v>10</v>
      </c>
      <c r="C12" t="s">
        <v>61</v>
      </c>
      <c r="D12" s="56">
        <v>42006</v>
      </c>
      <c r="E12" s="57" t="s">
        <v>755</v>
      </c>
    </row>
    <row r="13" spans="2:6">
      <c r="B13" s="59">
        <f t="shared" si="0"/>
        <v>11</v>
      </c>
      <c r="C13" t="s">
        <v>55</v>
      </c>
      <c r="D13" s="56">
        <v>42006</v>
      </c>
      <c r="E13" s="57" t="s">
        <v>755</v>
      </c>
    </row>
    <row r="14" spans="2:6">
      <c r="B14" s="59">
        <f t="shared" si="0"/>
        <v>12</v>
      </c>
      <c r="C14" t="s">
        <v>756</v>
      </c>
    </row>
    <row r="15" spans="2:6">
      <c r="B15" s="59">
        <f t="shared" si="0"/>
        <v>13</v>
      </c>
      <c r="C15" t="s">
        <v>53</v>
      </c>
      <c r="D15" s="56"/>
      <c r="E15" s="57"/>
    </row>
    <row r="16" spans="2:6">
      <c r="B16" s="59">
        <f t="shared" si="0"/>
        <v>14</v>
      </c>
      <c r="C16" t="s">
        <v>56</v>
      </c>
      <c r="D16" s="56">
        <v>42006</v>
      </c>
      <c r="E16" s="57" t="s">
        <v>755</v>
      </c>
    </row>
    <row r="17" spans="2:5">
      <c r="B17" s="59">
        <f>ROW()-2</f>
        <v>15</v>
      </c>
      <c r="C17" t="s">
        <v>50</v>
      </c>
      <c r="D17" s="58"/>
      <c r="E17" s="57"/>
    </row>
    <row r="18" spans="2:5">
      <c r="B18" s="59">
        <f t="shared" si="0"/>
        <v>16</v>
      </c>
      <c r="D18" s="58"/>
    </row>
    <row r="19" spans="2:5">
      <c r="B19" s="59">
        <f t="shared" si="0"/>
        <v>17</v>
      </c>
      <c r="D19" s="58"/>
    </row>
    <row r="20" spans="2:5">
      <c r="B20" s="59">
        <f t="shared" si="0"/>
        <v>18</v>
      </c>
      <c r="D20" s="58"/>
    </row>
    <row r="21" spans="2:5">
      <c r="B21" s="59">
        <f t="shared" si="0"/>
        <v>19</v>
      </c>
      <c r="D21" s="58"/>
    </row>
    <row r="22" spans="2:5">
      <c r="B22" s="59">
        <f t="shared" si="0"/>
        <v>20</v>
      </c>
      <c r="D22" s="58"/>
    </row>
    <row r="23" spans="2:5">
      <c r="B23" s="59">
        <f t="shared" si="0"/>
        <v>21</v>
      </c>
      <c r="D23" s="58"/>
    </row>
    <row r="24" spans="2:5">
      <c r="B24" s="59">
        <f t="shared" si="0"/>
        <v>22</v>
      </c>
      <c r="D24" s="58"/>
    </row>
    <row r="25" spans="2:5">
      <c r="B25" s="59">
        <f t="shared" si="0"/>
        <v>23</v>
      </c>
      <c r="D25" s="58"/>
    </row>
    <row r="26" spans="2:5">
      <c r="B26" s="59">
        <f t="shared" si="0"/>
        <v>24</v>
      </c>
      <c r="D26" s="58"/>
    </row>
    <row r="27" spans="2:5">
      <c r="B27" s="59">
        <f t="shared" si="0"/>
        <v>25</v>
      </c>
      <c r="D27" s="58"/>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M1007"/>
  <sheetViews>
    <sheetView workbookViewId="0">
      <pane xSplit="16620" ySplit="3870" topLeftCell="J341" activePane="bottomLeft"/>
      <selection pane="topRight" activeCell="M12" sqref="M12"/>
      <selection pane="bottomLeft" activeCell="G350" sqref="G350"/>
      <selection pane="bottomRight" activeCell="M345" sqref="M345"/>
    </sheetView>
  </sheetViews>
  <sheetFormatPr defaultRowHeight="15"/>
  <cols>
    <col min="1" max="1" width="5.7109375" style="289" customWidth="1"/>
    <col min="2" max="2" width="15.85546875" style="287" customWidth="1"/>
    <col min="3" max="3" width="11.85546875" style="287" customWidth="1"/>
    <col min="4" max="7" width="18.7109375" style="288" customWidth="1"/>
    <col min="8" max="8" width="18.7109375" style="289" customWidth="1"/>
    <col min="9" max="9" width="18.7109375" style="290" customWidth="1"/>
    <col min="10" max="10" width="8.85546875" style="290" customWidth="1"/>
    <col min="11" max="11" width="9.140625" style="287"/>
    <col min="12" max="12" width="11.140625" style="287" bestFit="1" customWidth="1"/>
    <col min="13" max="256" width="9.140625" style="287"/>
    <col min="257" max="257" width="5.7109375" style="287" customWidth="1"/>
    <col min="258" max="258" width="15.85546875" style="287" customWidth="1"/>
    <col min="259" max="259" width="11.85546875" style="287" customWidth="1"/>
    <col min="260" max="265" width="18.7109375" style="287" customWidth="1"/>
    <col min="266" max="266" width="8.85546875" style="287" customWidth="1"/>
    <col min="267" max="512" width="9.140625" style="287"/>
    <col min="513" max="513" width="5.7109375" style="287" customWidth="1"/>
    <col min="514" max="514" width="15.85546875" style="287" customWidth="1"/>
    <col min="515" max="515" width="11.85546875" style="287" customWidth="1"/>
    <col min="516" max="521" width="18.7109375" style="287" customWidth="1"/>
    <col min="522" max="522" width="8.85546875" style="287" customWidth="1"/>
    <col min="523" max="768" width="9.140625" style="287"/>
    <col min="769" max="769" width="5.7109375" style="287" customWidth="1"/>
    <col min="770" max="770" width="15.85546875" style="287" customWidth="1"/>
    <col min="771" max="771" width="11.85546875" style="287" customWidth="1"/>
    <col min="772" max="777" width="18.7109375" style="287" customWidth="1"/>
    <col min="778" max="778" width="8.85546875" style="287" customWidth="1"/>
    <col min="779" max="1024" width="9.140625" style="287"/>
    <col min="1025" max="1025" width="5.7109375" style="287" customWidth="1"/>
    <col min="1026" max="1026" width="15.85546875" style="287" customWidth="1"/>
    <col min="1027" max="1027" width="11.85546875" style="287" customWidth="1"/>
    <col min="1028" max="1033" width="18.7109375" style="287" customWidth="1"/>
    <col min="1034" max="1034" width="8.85546875" style="287" customWidth="1"/>
    <col min="1035" max="1280" width="9.140625" style="287"/>
    <col min="1281" max="1281" width="5.7109375" style="287" customWidth="1"/>
    <col min="1282" max="1282" width="15.85546875" style="287" customWidth="1"/>
    <col min="1283" max="1283" width="11.85546875" style="287" customWidth="1"/>
    <col min="1284" max="1289" width="18.7109375" style="287" customWidth="1"/>
    <col min="1290" max="1290" width="8.85546875" style="287" customWidth="1"/>
    <col min="1291" max="1536" width="9.140625" style="287"/>
    <col min="1537" max="1537" width="5.7109375" style="287" customWidth="1"/>
    <col min="1538" max="1538" width="15.85546875" style="287" customWidth="1"/>
    <col min="1539" max="1539" width="11.85546875" style="287" customWidth="1"/>
    <col min="1540" max="1545" width="18.7109375" style="287" customWidth="1"/>
    <col min="1546" max="1546" width="8.85546875" style="287" customWidth="1"/>
    <col min="1547" max="1792" width="9.140625" style="287"/>
    <col min="1793" max="1793" width="5.7109375" style="287" customWidth="1"/>
    <col min="1794" max="1794" width="15.85546875" style="287" customWidth="1"/>
    <col min="1795" max="1795" width="11.85546875" style="287" customWidth="1"/>
    <col min="1796" max="1801" width="18.7109375" style="287" customWidth="1"/>
    <col min="1802" max="1802" width="8.85546875" style="287" customWidth="1"/>
    <col min="1803" max="2048" width="9.140625" style="287"/>
    <col min="2049" max="2049" width="5.7109375" style="287" customWidth="1"/>
    <col min="2050" max="2050" width="15.85546875" style="287" customWidth="1"/>
    <col min="2051" max="2051" width="11.85546875" style="287" customWidth="1"/>
    <col min="2052" max="2057" width="18.7109375" style="287" customWidth="1"/>
    <col min="2058" max="2058" width="8.85546875" style="287" customWidth="1"/>
    <col min="2059" max="2304" width="9.140625" style="287"/>
    <col min="2305" max="2305" width="5.7109375" style="287" customWidth="1"/>
    <col min="2306" max="2306" width="15.85546875" style="287" customWidth="1"/>
    <col min="2307" max="2307" width="11.85546875" style="287" customWidth="1"/>
    <col min="2308" max="2313" width="18.7109375" style="287" customWidth="1"/>
    <col min="2314" max="2314" width="8.85546875" style="287" customWidth="1"/>
    <col min="2315" max="2560" width="9.140625" style="287"/>
    <col min="2561" max="2561" width="5.7109375" style="287" customWidth="1"/>
    <col min="2562" max="2562" width="15.85546875" style="287" customWidth="1"/>
    <col min="2563" max="2563" width="11.85546875" style="287" customWidth="1"/>
    <col min="2564" max="2569" width="18.7109375" style="287" customWidth="1"/>
    <col min="2570" max="2570" width="8.85546875" style="287" customWidth="1"/>
    <col min="2571" max="2816" width="9.140625" style="287"/>
    <col min="2817" max="2817" width="5.7109375" style="287" customWidth="1"/>
    <col min="2818" max="2818" width="15.85546875" style="287" customWidth="1"/>
    <col min="2819" max="2819" width="11.85546875" style="287" customWidth="1"/>
    <col min="2820" max="2825" width="18.7109375" style="287" customWidth="1"/>
    <col min="2826" max="2826" width="8.85546875" style="287" customWidth="1"/>
    <col min="2827" max="3072" width="9.140625" style="287"/>
    <col min="3073" max="3073" width="5.7109375" style="287" customWidth="1"/>
    <col min="3074" max="3074" width="15.85546875" style="287" customWidth="1"/>
    <col min="3075" max="3075" width="11.85546875" style="287" customWidth="1"/>
    <col min="3076" max="3081" width="18.7109375" style="287" customWidth="1"/>
    <col min="3082" max="3082" width="8.85546875" style="287" customWidth="1"/>
    <col min="3083" max="3328" width="9.140625" style="287"/>
    <col min="3329" max="3329" width="5.7109375" style="287" customWidth="1"/>
    <col min="3330" max="3330" width="15.85546875" style="287" customWidth="1"/>
    <col min="3331" max="3331" width="11.85546875" style="287" customWidth="1"/>
    <col min="3332" max="3337" width="18.7109375" style="287" customWidth="1"/>
    <col min="3338" max="3338" width="8.85546875" style="287" customWidth="1"/>
    <col min="3339" max="3584" width="9.140625" style="287"/>
    <col min="3585" max="3585" width="5.7109375" style="287" customWidth="1"/>
    <col min="3586" max="3586" width="15.85546875" style="287" customWidth="1"/>
    <col min="3587" max="3587" width="11.85546875" style="287" customWidth="1"/>
    <col min="3588" max="3593" width="18.7109375" style="287" customWidth="1"/>
    <col min="3594" max="3594" width="8.85546875" style="287" customWidth="1"/>
    <col min="3595" max="3840" width="9.140625" style="287"/>
    <col min="3841" max="3841" width="5.7109375" style="287" customWidth="1"/>
    <col min="3842" max="3842" width="15.85546875" style="287" customWidth="1"/>
    <col min="3843" max="3843" width="11.85546875" style="287" customWidth="1"/>
    <col min="3844" max="3849" width="18.7109375" style="287" customWidth="1"/>
    <col min="3850" max="3850" width="8.85546875" style="287" customWidth="1"/>
    <col min="3851" max="4096" width="9.140625" style="287"/>
    <col min="4097" max="4097" width="5.7109375" style="287" customWidth="1"/>
    <col min="4098" max="4098" width="15.85546875" style="287" customWidth="1"/>
    <col min="4099" max="4099" width="11.85546875" style="287" customWidth="1"/>
    <col min="4100" max="4105" width="18.7109375" style="287" customWidth="1"/>
    <col min="4106" max="4106" width="8.85546875" style="287" customWidth="1"/>
    <col min="4107" max="4352" width="9.140625" style="287"/>
    <col min="4353" max="4353" width="5.7109375" style="287" customWidth="1"/>
    <col min="4354" max="4354" width="15.85546875" style="287" customWidth="1"/>
    <col min="4355" max="4355" width="11.85546875" style="287" customWidth="1"/>
    <col min="4356" max="4361" width="18.7109375" style="287" customWidth="1"/>
    <col min="4362" max="4362" width="8.85546875" style="287" customWidth="1"/>
    <col min="4363" max="4608" width="9.140625" style="287"/>
    <col min="4609" max="4609" width="5.7109375" style="287" customWidth="1"/>
    <col min="4610" max="4610" width="15.85546875" style="287" customWidth="1"/>
    <col min="4611" max="4611" width="11.85546875" style="287" customWidth="1"/>
    <col min="4612" max="4617" width="18.7109375" style="287" customWidth="1"/>
    <col min="4618" max="4618" width="8.85546875" style="287" customWidth="1"/>
    <col min="4619" max="4864" width="9.140625" style="287"/>
    <col min="4865" max="4865" width="5.7109375" style="287" customWidth="1"/>
    <col min="4866" max="4866" width="15.85546875" style="287" customWidth="1"/>
    <col min="4867" max="4867" width="11.85546875" style="287" customWidth="1"/>
    <col min="4868" max="4873" width="18.7109375" style="287" customWidth="1"/>
    <col min="4874" max="4874" width="8.85546875" style="287" customWidth="1"/>
    <col min="4875" max="5120" width="9.140625" style="287"/>
    <col min="5121" max="5121" width="5.7109375" style="287" customWidth="1"/>
    <col min="5122" max="5122" width="15.85546875" style="287" customWidth="1"/>
    <col min="5123" max="5123" width="11.85546875" style="287" customWidth="1"/>
    <col min="5124" max="5129" width="18.7109375" style="287" customWidth="1"/>
    <col min="5130" max="5130" width="8.85546875" style="287" customWidth="1"/>
    <col min="5131" max="5376" width="9.140625" style="287"/>
    <col min="5377" max="5377" width="5.7109375" style="287" customWidth="1"/>
    <col min="5378" max="5378" width="15.85546875" style="287" customWidth="1"/>
    <col min="5379" max="5379" width="11.85546875" style="287" customWidth="1"/>
    <col min="5380" max="5385" width="18.7109375" style="287" customWidth="1"/>
    <col min="5386" max="5386" width="8.85546875" style="287" customWidth="1"/>
    <col min="5387" max="5632" width="9.140625" style="287"/>
    <col min="5633" max="5633" width="5.7109375" style="287" customWidth="1"/>
    <col min="5634" max="5634" width="15.85546875" style="287" customWidth="1"/>
    <col min="5635" max="5635" width="11.85546875" style="287" customWidth="1"/>
    <col min="5636" max="5641" width="18.7109375" style="287" customWidth="1"/>
    <col min="5642" max="5642" width="8.85546875" style="287" customWidth="1"/>
    <col min="5643" max="5888" width="9.140625" style="287"/>
    <col min="5889" max="5889" width="5.7109375" style="287" customWidth="1"/>
    <col min="5890" max="5890" width="15.85546875" style="287" customWidth="1"/>
    <col min="5891" max="5891" width="11.85546875" style="287" customWidth="1"/>
    <col min="5892" max="5897" width="18.7109375" style="287" customWidth="1"/>
    <col min="5898" max="5898" width="8.85546875" style="287" customWidth="1"/>
    <col min="5899" max="6144" width="9.140625" style="287"/>
    <col min="6145" max="6145" width="5.7109375" style="287" customWidth="1"/>
    <col min="6146" max="6146" width="15.85546875" style="287" customWidth="1"/>
    <col min="6147" max="6147" width="11.85546875" style="287" customWidth="1"/>
    <col min="6148" max="6153" width="18.7109375" style="287" customWidth="1"/>
    <col min="6154" max="6154" width="8.85546875" style="287" customWidth="1"/>
    <col min="6155" max="6400" width="9.140625" style="287"/>
    <col min="6401" max="6401" width="5.7109375" style="287" customWidth="1"/>
    <col min="6402" max="6402" width="15.85546875" style="287" customWidth="1"/>
    <col min="6403" max="6403" width="11.85546875" style="287" customWidth="1"/>
    <col min="6404" max="6409" width="18.7109375" style="287" customWidth="1"/>
    <col min="6410" max="6410" width="8.85546875" style="287" customWidth="1"/>
    <col min="6411" max="6656" width="9.140625" style="287"/>
    <col min="6657" max="6657" width="5.7109375" style="287" customWidth="1"/>
    <col min="6658" max="6658" width="15.85546875" style="287" customWidth="1"/>
    <col min="6659" max="6659" width="11.85546875" style="287" customWidth="1"/>
    <col min="6660" max="6665" width="18.7109375" style="287" customWidth="1"/>
    <col min="6666" max="6666" width="8.85546875" style="287" customWidth="1"/>
    <col min="6667" max="6912" width="9.140625" style="287"/>
    <col min="6913" max="6913" width="5.7109375" style="287" customWidth="1"/>
    <col min="6914" max="6914" width="15.85546875" style="287" customWidth="1"/>
    <col min="6915" max="6915" width="11.85546875" style="287" customWidth="1"/>
    <col min="6916" max="6921" width="18.7109375" style="287" customWidth="1"/>
    <col min="6922" max="6922" width="8.85546875" style="287" customWidth="1"/>
    <col min="6923" max="7168" width="9.140625" style="287"/>
    <col min="7169" max="7169" width="5.7109375" style="287" customWidth="1"/>
    <col min="7170" max="7170" width="15.85546875" style="287" customWidth="1"/>
    <col min="7171" max="7171" width="11.85546875" style="287" customWidth="1"/>
    <col min="7172" max="7177" width="18.7109375" style="287" customWidth="1"/>
    <col min="7178" max="7178" width="8.85546875" style="287" customWidth="1"/>
    <col min="7179" max="7424" width="9.140625" style="287"/>
    <col min="7425" max="7425" width="5.7109375" style="287" customWidth="1"/>
    <col min="7426" max="7426" width="15.85546875" style="287" customWidth="1"/>
    <col min="7427" max="7427" width="11.85546875" style="287" customWidth="1"/>
    <col min="7428" max="7433" width="18.7109375" style="287" customWidth="1"/>
    <col min="7434" max="7434" width="8.85546875" style="287" customWidth="1"/>
    <col min="7435" max="7680" width="9.140625" style="287"/>
    <col min="7681" max="7681" width="5.7109375" style="287" customWidth="1"/>
    <col min="7682" max="7682" width="15.85546875" style="287" customWidth="1"/>
    <col min="7683" max="7683" width="11.85546875" style="287" customWidth="1"/>
    <col min="7684" max="7689" width="18.7109375" style="287" customWidth="1"/>
    <col min="7690" max="7690" width="8.85546875" style="287" customWidth="1"/>
    <col min="7691" max="7936" width="9.140625" style="287"/>
    <col min="7937" max="7937" width="5.7109375" style="287" customWidth="1"/>
    <col min="7938" max="7938" width="15.85546875" style="287" customWidth="1"/>
    <col min="7939" max="7939" width="11.85546875" style="287" customWidth="1"/>
    <col min="7940" max="7945" width="18.7109375" style="287" customWidth="1"/>
    <col min="7946" max="7946" width="8.85546875" style="287" customWidth="1"/>
    <col min="7947" max="8192" width="9.140625" style="287"/>
    <col min="8193" max="8193" width="5.7109375" style="287" customWidth="1"/>
    <col min="8194" max="8194" width="15.85546875" style="287" customWidth="1"/>
    <col min="8195" max="8195" width="11.85546875" style="287" customWidth="1"/>
    <col min="8196" max="8201" width="18.7109375" style="287" customWidth="1"/>
    <col min="8202" max="8202" width="8.85546875" style="287" customWidth="1"/>
    <col min="8203" max="8448" width="9.140625" style="287"/>
    <col min="8449" max="8449" width="5.7109375" style="287" customWidth="1"/>
    <col min="8450" max="8450" width="15.85546875" style="287" customWidth="1"/>
    <col min="8451" max="8451" width="11.85546875" style="287" customWidth="1"/>
    <col min="8452" max="8457" width="18.7109375" style="287" customWidth="1"/>
    <col min="8458" max="8458" width="8.85546875" style="287" customWidth="1"/>
    <col min="8459" max="8704" width="9.140625" style="287"/>
    <col min="8705" max="8705" width="5.7109375" style="287" customWidth="1"/>
    <col min="8706" max="8706" width="15.85546875" style="287" customWidth="1"/>
    <col min="8707" max="8707" width="11.85546875" style="287" customWidth="1"/>
    <col min="8708" max="8713" width="18.7109375" style="287" customWidth="1"/>
    <col min="8714" max="8714" width="8.85546875" style="287" customWidth="1"/>
    <col min="8715" max="8960" width="9.140625" style="287"/>
    <col min="8961" max="8961" width="5.7109375" style="287" customWidth="1"/>
    <col min="8962" max="8962" width="15.85546875" style="287" customWidth="1"/>
    <col min="8963" max="8963" width="11.85546875" style="287" customWidth="1"/>
    <col min="8964" max="8969" width="18.7109375" style="287" customWidth="1"/>
    <col min="8970" max="8970" width="8.85546875" style="287" customWidth="1"/>
    <col min="8971" max="9216" width="9.140625" style="287"/>
    <col min="9217" max="9217" width="5.7109375" style="287" customWidth="1"/>
    <col min="9218" max="9218" width="15.85546875" style="287" customWidth="1"/>
    <col min="9219" max="9219" width="11.85546875" style="287" customWidth="1"/>
    <col min="9220" max="9225" width="18.7109375" style="287" customWidth="1"/>
    <col min="9226" max="9226" width="8.85546875" style="287" customWidth="1"/>
    <col min="9227" max="9472" width="9.140625" style="287"/>
    <col min="9473" max="9473" width="5.7109375" style="287" customWidth="1"/>
    <col min="9474" max="9474" width="15.85546875" style="287" customWidth="1"/>
    <col min="9475" max="9475" width="11.85546875" style="287" customWidth="1"/>
    <col min="9476" max="9481" width="18.7109375" style="287" customWidth="1"/>
    <col min="9482" max="9482" width="8.85546875" style="287" customWidth="1"/>
    <col min="9483" max="9728" width="9.140625" style="287"/>
    <col min="9729" max="9729" width="5.7109375" style="287" customWidth="1"/>
    <col min="9730" max="9730" width="15.85546875" style="287" customWidth="1"/>
    <col min="9731" max="9731" width="11.85546875" style="287" customWidth="1"/>
    <col min="9732" max="9737" width="18.7109375" style="287" customWidth="1"/>
    <col min="9738" max="9738" width="8.85546875" style="287" customWidth="1"/>
    <col min="9739" max="9984" width="9.140625" style="287"/>
    <col min="9985" max="9985" width="5.7109375" style="287" customWidth="1"/>
    <col min="9986" max="9986" width="15.85546875" style="287" customWidth="1"/>
    <col min="9987" max="9987" width="11.85546875" style="287" customWidth="1"/>
    <col min="9988" max="9993" width="18.7109375" style="287" customWidth="1"/>
    <col min="9994" max="9994" width="8.85546875" style="287" customWidth="1"/>
    <col min="9995" max="10240" width="9.140625" style="287"/>
    <col min="10241" max="10241" width="5.7109375" style="287" customWidth="1"/>
    <col min="10242" max="10242" width="15.85546875" style="287" customWidth="1"/>
    <col min="10243" max="10243" width="11.85546875" style="287" customWidth="1"/>
    <col min="10244" max="10249" width="18.7109375" style="287" customWidth="1"/>
    <col min="10250" max="10250" width="8.85546875" style="287" customWidth="1"/>
    <col min="10251" max="10496" width="9.140625" style="287"/>
    <col min="10497" max="10497" width="5.7109375" style="287" customWidth="1"/>
    <col min="10498" max="10498" width="15.85546875" style="287" customWidth="1"/>
    <col min="10499" max="10499" width="11.85546875" style="287" customWidth="1"/>
    <col min="10500" max="10505" width="18.7109375" style="287" customWidth="1"/>
    <col min="10506" max="10506" width="8.85546875" style="287" customWidth="1"/>
    <col min="10507" max="10752" width="9.140625" style="287"/>
    <col min="10753" max="10753" width="5.7109375" style="287" customWidth="1"/>
    <col min="10754" max="10754" width="15.85546875" style="287" customWidth="1"/>
    <col min="10755" max="10755" width="11.85546875" style="287" customWidth="1"/>
    <col min="10756" max="10761" width="18.7109375" style="287" customWidth="1"/>
    <col min="10762" max="10762" width="8.85546875" style="287" customWidth="1"/>
    <col min="10763" max="11008" width="9.140625" style="287"/>
    <col min="11009" max="11009" width="5.7109375" style="287" customWidth="1"/>
    <col min="11010" max="11010" width="15.85546875" style="287" customWidth="1"/>
    <col min="11011" max="11011" width="11.85546875" style="287" customWidth="1"/>
    <col min="11012" max="11017" width="18.7109375" style="287" customWidth="1"/>
    <col min="11018" max="11018" width="8.85546875" style="287" customWidth="1"/>
    <col min="11019" max="11264" width="9.140625" style="287"/>
    <col min="11265" max="11265" width="5.7109375" style="287" customWidth="1"/>
    <col min="11266" max="11266" width="15.85546875" style="287" customWidth="1"/>
    <col min="11267" max="11267" width="11.85546875" style="287" customWidth="1"/>
    <col min="11268" max="11273" width="18.7109375" style="287" customWidth="1"/>
    <col min="11274" max="11274" width="8.85546875" style="287" customWidth="1"/>
    <col min="11275" max="11520" width="9.140625" style="287"/>
    <col min="11521" max="11521" width="5.7109375" style="287" customWidth="1"/>
    <col min="11522" max="11522" width="15.85546875" style="287" customWidth="1"/>
    <col min="11523" max="11523" width="11.85546875" style="287" customWidth="1"/>
    <col min="11524" max="11529" width="18.7109375" style="287" customWidth="1"/>
    <col min="11530" max="11530" width="8.85546875" style="287" customWidth="1"/>
    <col min="11531" max="11776" width="9.140625" style="287"/>
    <col min="11777" max="11777" width="5.7109375" style="287" customWidth="1"/>
    <col min="11778" max="11778" width="15.85546875" style="287" customWidth="1"/>
    <col min="11779" max="11779" width="11.85546875" style="287" customWidth="1"/>
    <col min="11780" max="11785" width="18.7109375" style="287" customWidth="1"/>
    <col min="11786" max="11786" width="8.85546875" style="287" customWidth="1"/>
    <col min="11787" max="12032" width="9.140625" style="287"/>
    <col min="12033" max="12033" width="5.7109375" style="287" customWidth="1"/>
    <col min="12034" max="12034" width="15.85546875" style="287" customWidth="1"/>
    <col min="12035" max="12035" width="11.85546875" style="287" customWidth="1"/>
    <col min="12036" max="12041" width="18.7109375" style="287" customWidth="1"/>
    <col min="12042" max="12042" width="8.85546875" style="287" customWidth="1"/>
    <col min="12043" max="12288" width="9.140625" style="287"/>
    <col min="12289" max="12289" width="5.7109375" style="287" customWidth="1"/>
    <col min="12290" max="12290" width="15.85546875" style="287" customWidth="1"/>
    <col min="12291" max="12291" width="11.85546875" style="287" customWidth="1"/>
    <col min="12292" max="12297" width="18.7109375" style="287" customWidth="1"/>
    <col min="12298" max="12298" width="8.85546875" style="287" customWidth="1"/>
    <col min="12299" max="12544" width="9.140625" style="287"/>
    <col min="12545" max="12545" width="5.7109375" style="287" customWidth="1"/>
    <col min="12546" max="12546" width="15.85546875" style="287" customWidth="1"/>
    <col min="12547" max="12547" width="11.85546875" style="287" customWidth="1"/>
    <col min="12548" max="12553" width="18.7109375" style="287" customWidth="1"/>
    <col min="12554" max="12554" width="8.85546875" style="287" customWidth="1"/>
    <col min="12555" max="12800" width="9.140625" style="287"/>
    <col min="12801" max="12801" width="5.7109375" style="287" customWidth="1"/>
    <col min="12802" max="12802" width="15.85546875" style="287" customWidth="1"/>
    <col min="12803" max="12803" width="11.85546875" style="287" customWidth="1"/>
    <col min="12804" max="12809" width="18.7109375" style="287" customWidth="1"/>
    <col min="12810" max="12810" width="8.85546875" style="287" customWidth="1"/>
    <col min="12811" max="13056" width="9.140625" style="287"/>
    <col min="13057" max="13057" width="5.7109375" style="287" customWidth="1"/>
    <col min="13058" max="13058" width="15.85546875" style="287" customWidth="1"/>
    <col min="13059" max="13059" width="11.85546875" style="287" customWidth="1"/>
    <col min="13060" max="13065" width="18.7109375" style="287" customWidth="1"/>
    <col min="13066" max="13066" width="8.85546875" style="287" customWidth="1"/>
    <col min="13067" max="13312" width="9.140625" style="287"/>
    <col min="13313" max="13313" width="5.7109375" style="287" customWidth="1"/>
    <col min="13314" max="13314" width="15.85546875" style="287" customWidth="1"/>
    <col min="13315" max="13315" width="11.85546875" style="287" customWidth="1"/>
    <col min="13316" max="13321" width="18.7109375" style="287" customWidth="1"/>
    <col min="13322" max="13322" width="8.85546875" style="287" customWidth="1"/>
    <col min="13323" max="13568" width="9.140625" style="287"/>
    <col min="13569" max="13569" width="5.7109375" style="287" customWidth="1"/>
    <col min="13570" max="13570" width="15.85546875" style="287" customWidth="1"/>
    <col min="13571" max="13571" width="11.85546875" style="287" customWidth="1"/>
    <col min="13572" max="13577" width="18.7109375" style="287" customWidth="1"/>
    <col min="13578" max="13578" width="8.85546875" style="287" customWidth="1"/>
    <col min="13579" max="13824" width="9.140625" style="287"/>
    <col min="13825" max="13825" width="5.7109375" style="287" customWidth="1"/>
    <col min="13826" max="13826" width="15.85546875" style="287" customWidth="1"/>
    <col min="13827" max="13827" width="11.85546875" style="287" customWidth="1"/>
    <col min="13828" max="13833" width="18.7109375" style="287" customWidth="1"/>
    <col min="13834" max="13834" width="8.85546875" style="287" customWidth="1"/>
    <col min="13835" max="14080" width="9.140625" style="287"/>
    <col min="14081" max="14081" width="5.7109375" style="287" customWidth="1"/>
    <col min="14082" max="14082" width="15.85546875" style="287" customWidth="1"/>
    <col min="14083" max="14083" width="11.85546875" style="287" customWidth="1"/>
    <col min="14084" max="14089" width="18.7109375" style="287" customWidth="1"/>
    <col min="14090" max="14090" width="8.85546875" style="287" customWidth="1"/>
    <col min="14091" max="14336" width="9.140625" style="287"/>
    <col min="14337" max="14337" width="5.7109375" style="287" customWidth="1"/>
    <col min="14338" max="14338" width="15.85546875" style="287" customWidth="1"/>
    <col min="14339" max="14339" width="11.85546875" style="287" customWidth="1"/>
    <col min="14340" max="14345" width="18.7109375" style="287" customWidth="1"/>
    <col min="14346" max="14346" width="8.85546875" style="287" customWidth="1"/>
    <col min="14347" max="14592" width="9.140625" style="287"/>
    <col min="14593" max="14593" width="5.7109375" style="287" customWidth="1"/>
    <col min="14594" max="14594" width="15.85546875" style="287" customWidth="1"/>
    <col min="14595" max="14595" width="11.85546875" style="287" customWidth="1"/>
    <col min="14596" max="14601" width="18.7109375" style="287" customWidth="1"/>
    <col min="14602" max="14602" width="8.85546875" style="287" customWidth="1"/>
    <col min="14603" max="14848" width="9.140625" style="287"/>
    <col min="14849" max="14849" width="5.7109375" style="287" customWidth="1"/>
    <col min="14850" max="14850" width="15.85546875" style="287" customWidth="1"/>
    <col min="14851" max="14851" width="11.85546875" style="287" customWidth="1"/>
    <col min="14852" max="14857" width="18.7109375" style="287" customWidth="1"/>
    <col min="14858" max="14858" width="8.85546875" style="287" customWidth="1"/>
    <col min="14859" max="15104" width="9.140625" style="287"/>
    <col min="15105" max="15105" width="5.7109375" style="287" customWidth="1"/>
    <col min="15106" max="15106" width="15.85546875" style="287" customWidth="1"/>
    <col min="15107" max="15107" width="11.85546875" style="287" customWidth="1"/>
    <col min="15108" max="15113" width="18.7109375" style="287" customWidth="1"/>
    <col min="15114" max="15114" width="8.85546875" style="287" customWidth="1"/>
    <col min="15115" max="15360" width="9.140625" style="287"/>
    <col min="15361" max="15361" width="5.7109375" style="287" customWidth="1"/>
    <col min="15362" max="15362" width="15.85546875" style="287" customWidth="1"/>
    <col min="15363" max="15363" width="11.85546875" style="287" customWidth="1"/>
    <col min="15364" max="15369" width="18.7109375" style="287" customWidth="1"/>
    <col min="15370" max="15370" width="8.85546875" style="287" customWidth="1"/>
    <col min="15371" max="15616" width="9.140625" style="287"/>
    <col min="15617" max="15617" width="5.7109375" style="287" customWidth="1"/>
    <col min="15618" max="15618" width="15.85546875" style="287" customWidth="1"/>
    <col min="15619" max="15619" width="11.85546875" style="287" customWidth="1"/>
    <col min="15620" max="15625" width="18.7109375" style="287" customWidth="1"/>
    <col min="15626" max="15626" width="8.85546875" style="287" customWidth="1"/>
    <col min="15627" max="15872" width="9.140625" style="287"/>
    <col min="15873" max="15873" width="5.7109375" style="287" customWidth="1"/>
    <col min="15874" max="15874" width="15.85546875" style="287" customWidth="1"/>
    <col min="15875" max="15875" width="11.85546875" style="287" customWidth="1"/>
    <col min="15876" max="15881" width="18.7109375" style="287" customWidth="1"/>
    <col min="15882" max="15882" width="8.85546875" style="287" customWidth="1"/>
    <col min="15883" max="16128" width="9.140625" style="287"/>
    <col min="16129" max="16129" width="5.7109375" style="287" customWidth="1"/>
    <col min="16130" max="16130" width="15.85546875" style="287" customWidth="1"/>
    <col min="16131" max="16131" width="11.85546875" style="287" customWidth="1"/>
    <col min="16132" max="16137" width="18.7109375" style="287" customWidth="1"/>
    <col min="16138" max="16138" width="8.85546875" style="287" customWidth="1"/>
    <col min="16139" max="16384" width="9.140625" style="287"/>
  </cols>
  <sheetData>
    <row r="1" spans="1:13" ht="0.95" customHeight="1">
      <c r="A1" s="286" t="s">
        <v>1206</v>
      </c>
    </row>
    <row r="2" spans="1:13" s="290" customFormat="1" ht="15" customHeight="1">
      <c r="A2" s="291" t="s">
        <v>1207</v>
      </c>
      <c r="B2" s="287"/>
      <c r="C2" s="287"/>
      <c r="D2" s="287"/>
      <c r="E2" s="288"/>
      <c r="F2" s="288"/>
      <c r="G2" s="289"/>
      <c r="H2" s="288"/>
      <c r="I2" s="292" t="s">
        <v>1208</v>
      </c>
    </row>
    <row r="3" spans="1:13" s="290" customFormat="1" ht="15" customHeight="1">
      <c r="A3" s="293"/>
      <c r="B3" s="287"/>
      <c r="C3" s="294"/>
      <c r="D3" s="287"/>
      <c r="E3" s="288"/>
      <c r="F3" s="288"/>
      <c r="G3" s="289"/>
      <c r="H3" s="288"/>
      <c r="I3" s="289"/>
      <c r="J3" s="295"/>
    </row>
    <row r="4" spans="1:13" s="290" customFormat="1" ht="15" customHeight="1">
      <c r="A4" s="296" t="s">
        <v>1209</v>
      </c>
      <c r="B4" s="287"/>
      <c r="C4" s="287"/>
      <c r="D4" s="287"/>
      <c r="E4" s="288"/>
      <c r="F4" s="288"/>
      <c r="G4" s="289"/>
      <c r="H4" s="288"/>
      <c r="I4" s="289"/>
      <c r="J4" s="295"/>
    </row>
    <row r="5" spans="1:13" ht="15" customHeight="1">
      <c r="A5" s="378" t="s">
        <v>1210</v>
      </c>
      <c r="B5" s="384" t="s">
        <v>1211</v>
      </c>
      <c r="C5" s="378" t="s">
        <v>1212</v>
      </c>
      <c r="D5" s="381" t="s">
        <v>1213</v>
      </c>
      <c r="E5" s="381" t="s">
        <v>1214</v>
      </c>
      <c r="F5" s="387" t="s">
        <v>1215</v>
      </c>
      <c r="G5" s="378" t="s">
        <v>1216</v>
      </c>
      <c r="H5" s="381" t="s">
        <v>1217</v>
      </c>
      <c r="I5" s="378" t="s">
        <v>1218</v>
      </c>
    </row>
    <row r="6" spans="1:13" ht="15" customHeight="1">
      <c r="A6" s="379"/>
      <c r="B6" s="385"/>
      <c r="C6" s="379"/>
      <c r="D6" s="382"/>
      <c r="E6" s="382"/>
      <c r="F6" s="388"/>
      <c r="G6" s="379"/>
      <c r="H6" s="382"/>
      <c r="I6" s="379"/>
    </row>
    <row r="7" spans="1:13" ht="15" customHeight="1">
      <c r="A7" s="380"/>
      <c r="B7" s="386"/>
      <c r="C7" s="380"/>
      <c r="D7" s="383"/>
      <c r="E7" s="383"/>
      <c r="F7" s="389"/>
      <c r="G7" s="380"/>
      <c r="H7" s="383"/>
      <c r="I7" s="380"/>
      <c r="M7" s="287" t="s">
        <v>1336</v>
      </c>
    </row>
    <row r="8" spans="1:13" ht="15" customHeight="1">
      <c r="A8" s="297" t="s">
        <v>1219</v>
      </c>
      <c r="B8" s="298" t="s">
        <v>1220</v>
      </c>
      <c r="C8" s="298" t="s">
        <v>1221</v>
      </c>
      <c r="D8" s="299">
        <v>5726160</v>
      </c>
      <c r="E8" s="299">
        <v>7431808</v>
      </c>
      <c r="F8" s="299">
        <v>115938468</v>
      </c>
      <c r="G8" s="300" t="s">
        <v>1222</v>
      </c>
      <c r="H8" s="299">
        <v>5414255995</v>
      </c>
      <c r="I8" s="300" t="s">
        <v>1222</v>
      </c>
      <c r="J8" s="287"/>
      <c r="K8" s="287" t="s">
        <v>1329</v>
      </c>
      <c r="L8" s="287">
        <f>SUMIF($B$8:$B$1048576,"Oregon",$D$8:$D$1048576)</f>
        <v>337728</v>
      </c>
      <c r="M8" s="288">
        <f>E350</f>
        <v>107549</v>
      </c>
    </row>
    <row r="9" spans="1:13" ht="15" customHeight="1">
      <c r="A9" s="301" t="s">
        <v>1219</v>
      </c>
      <c r="B9" s="302" t="s">
        <v>1220</v>
      </c>
      <c r="C9" s="302" t="s">
        <v>1223</v>
      </c>
      <c r="D9" s="303">
        <v>3543991</v>
      </c>
      <c r="E9" s="303">
        <v>3549102</v>
      </c>
      <c r="F9" s="303">
        <v>5906506</v>
      </c>
      <c r="G9" s="304" t="s">
        <v>1222</v>
      </c>
      <c r="H9" s="303">
        <v>237897059</v>
      </c>
      <c r="I9" s="304" t="s">
        <v>1222</v>
      </c>
      <c r="J9" s="287"/>
      <c r="K9" s="287" t="s">
        <v>1330</v>
      </c>
      <c r="L9" s="287">
        <f>SUMIF($B$8:$B$1048576,"Washington",$D$8:$D$1048576)</f>
        <v>552775</v>
      </c>
      <c r="M9" s="288">
        <f>E440</f>
        <v>175553</v>
      </c>
    </row>
    <row r="10" spans="1:13" ht="15" customHeight="1">
      <c r="A10" s="301" t="s">
        <v>1219</v>
      </c>
      <c r="B10" s="302" t="s">
        <v>1220</v>
      </c>
      <c r="C10" s="302" t="s">
        <v>1224</v>
      </c>
      <c r="D10" s="303">
        <v>992716</v>
      </c>
      <c r="E10" s="303">
        <v>1005042</v>
      </c>
      <c r="F10" s="303">
        <v>6527943</v>
      </c>
      <c r="G10" s="304" t="s">
        <v>1222</v>
      </c>
      <c r="H10" s="303">
        <v>224438258</v>
      </c>
      <c r="I10" s="304" t="s">
        <v>1222</v>
      </c>
      <c r="J10" s="287"/>
      <c r="K10" s="287" t="s">
        <v>1331</v>
      </c>
      <c r="L10" s="287">
        <f>SUMIF($B$8:$B$1048576,"Idaho",$D$8:$D$1048576)</f>
        <v>138036</v>
      </c>
      <c r="M10" s="288">
        <f>E125</f>
        <v>42899</v>
      </c>
    </row>
    <row r="11" spans="1:13" ht="15" customHeight="1">
      <c r="A11" s="301" t="s">
        <v>1219</v>
      </c>
      <c r="B11" s="302" t="s">
        <v>1220</v>
      </c>
      <c r="C11" s="302" t="s">
        <v>1225</v>
      </c>
      <c r="D11" s="303">
        <v>593641</v>
      </c>
      <c r="E11" s="303">
        <v>630811</v>
      </c>
      <c r="F11" s="303">
        <v>7974340</v>
      </c>
      <c r="G11" s="304" t="s">
        <v>1222</v>
      </c>
      <c r="H11" s="303">
        <v>290990699</v>
      </c>
      <c r="I11" s="304" t="s">
        <v>1222</v>
      </c>
      <c r="J11" s="287"/>
      <c r="K11" s="287" t="s">
        <v>1332</v>
      </c>
      <c r="L11" s="287">
        <f>SUMIF($B$8:$B$1048576,"Montana",$D$8:$D$1048576)</f>
        <v>121245</v>
      </c>
      <c r="M11" s="288">
        <f>E251</f>
        <v>36241</v>
      </c>
    </row>
    <row r="12" spans="1:13" ht="15" customHeight="1">
      <c r="A12" s="301" t="s">
        <v>1219</v>
      </c>
      <c r="B12" s="302" t="s">
        <v>1220</v>
      </c>
      <c r="C12" s="302" t="s">
        <v>1226</v>
      </c>
      <c r="D12" s="303">
        <v>5130348</v>
      </c>
      <c r="E12" s="303">
        <v>5184955</v>
      </c>
      <c r="F12" s="303">
        <v>20408789</v>
      </c>
      <c r="G12" s="304" t="s">
        <v>1222</v>
      </c>
      <c r="H12" s="303">
        <v>753326016</v>
      </c>
      <c r="I12" s="304" t="s">
        <v>1222</v>
      </c>
      <c r="J12" s="287"/>
      <c r="L12" s="308">
        <f>SUM(L8:L11)</f>
        <v>1149784</v>
      </c>
      <c r="M12" s="308">
        <f>SUM(M8:M11)</f>
        <v>362242</v>
      </c>
    </row>
    <row r="13" spans="1:13" ht="15" customHeight="1">
      <c r="A13" s="301" t="s">
        <v>1219</v>
      </c>
      <c r="B13" s="302" t="s">
        <v>1220</v>
      </c>
      <c r="C13" s="302" t="s">
        <v>1227</v>
      </c>
      <c r="D13" s="303">
        <v>494170</v>
      </c>
      <c r="E13" s="303">
        <v>687272</v>
      </c>
      <c r="F13" s="303">
        <v>19387249</v>
      </c>
      <c r="G13" s="304" t="s">
        <v>1222</v>
      </c>
      <c r="H13" s="303">
        <v>783571581</v>
      </c>
      <c r="I13" s="304" t="s">
        <v>1222</v>
      </c>
      <c r="J13" s="287"/>
    </row>
    <row r="14" spans="1:13" ht="15" customHeight="1">
      <c r="A14" s="301" t="s">
        <v>1219</v>
      </c>
      <c r="B14" s="302" t="s">
        <v>1220</v>
      </c>
      <c r="C14" s="302" t="s">
        <v>1228</v>
      </c>
      <c r="D14" s="303">
        <v>83423</v>
      </c>
      <c r="E14" s="303">
        <v>360207</v>
      </c>
      <c r="F14" s="303">
        <v>16266855</v>
      </c>
      <c r="G14" s="304" t="s">
        <v>1222</v>
      </c>
      <c r="H14" s="303">
        <v>730638284</v>
      </c>
      <c r="I14" s="304" t="s">
        <v>1222</v>
      </c>
      <c r="J14" s="287"/>
    </row>
    <row r="15" spans="1:13" ht="15" customHeight="1">
      <c r="A15" s="301" t="s">
        <v>1219</v>
      </c>
      <c r="B15" s="302" t="s">
        <v>1220</v>
      </c>
      <c r="C15" s="302" t="s">
        <v>1229</v>
      </c>
      <c r="D15" s="303">
        <v>5707941</v>
      </c>
      <c r="E15" s="303">
        <v>6232434</v>
      </c>
      <c r="F15" s="303">
        <v>56062893</v>
      </c>
      <c r="G15" s="304" t="s">
        <v>1222</v>
      </c>
      <c r="H15" s="303">
        <v>2267535881</v>
      </c>
      <c r="I15" s="304" t="s">
        <v>1222</v>
      </c>
      <c r="J15" s="287"/>
    </row>
    <row r="16" spans="1:13" ht="15" customHeight="1">
      <c r="A16" s="301" t="s">
        <v>1219</v>
      </c>
      <c r="B16" s="302" t="s">
        <v>1220</v>
      </c>
      <c r="C16" s="302" t="s">
        <v>1230</v>
      </c>
      <c r="D16" s="303">
        <v>18219</v>
      </c>
      <c r="E16" s="303">
        <v>1199374</v>
      </c>
      <c r="F16" s="303">
        <v>59875575</v>
      </c>
      <c r="G16" s="304" t="s">
        <v>1222</v>
      </c>
      <c r="H16" s="303">
        <v>3146720114</v>
      </c>
      <c r="I16" s="304" t="s">
        <v>1222</v>
      </c>
      <c r="J16" s="287"/>
    </row>
    <row r="17" spans="1:10" ht="15" customHeight="1">
      <c r="A17" s="301" t="s">
        <v>1231</v>
      </c>
      <c r="B17" s="302" t="s">
        <v>1232</v>
      </c>
      <c r="C17" s="302" t="s">
        <v>1221</v>
      </c>
      <c r="D17" s="303">
        <v>73661</v>
      </c>
      <c r="E17" s="303">
        <v>97938</v>
      </c>
      <c r="F17" s="303">
        <v>1585761</v>
      </c>
      <c r="G17" s="304" t="s">
        <v>1222</v>
      </c>
      <c r="H17" s="303">
        <v>61284931</v>
      </c>
      <c r="I17" s="304" t="s">
        <v>1222</v>
      </c>
      <c r="J17" s="287"/>
    </row>
    <row r="18" spans="1:10" ht="15" customHeight="1">
      <c r="A18" s="301" t="s">
        <v>1231</v>
      </c>
      <c r="B18" s="302" t="s">
        <v>1232</v>
      </c>
      <c r="C18" s="302" t="s">
        <v>1223</v>
      </c>
      <c r="D18" s="303">
        <v>39993</v>
      </c>
      <c r="E18" s="303">
        <v>40032</v>
      </c>
      <c r="F18" s="303">
        <v>74303</v>
      </c>
      <c r="G18" s="304" t="s">
        <v>1222</v>
      </c>
      <c r="H18" s="303">
        <v>2376948</v>
      </c>
      <c r="I18" s="304" t="s">
        <v>1222</v>
      </c>
      <c r="J18" s="287"/>
    </row>
    <row r="19" spans="1:10" ht="15" customHeight="1">
      <c r="A19" s="301" t="s">
        <v>1231</v>
      </c>
      <c r="B19" s="302" t="s">
        <v>1232</v>
      </c>
      <c r="C19" s="302" t="s">
        <v>1224</v>
      </c>
      <c r="D19" s="303">
        <v>13803</v>
      </c>
      <c r="E19" s="303">
        <v>13953</v>
      </c>
      <c r="F19" s="303">
        <v>90612</v>
      </c>
      <c r="G19" s="304" t="s">
        <v>1222</v>
      </c>
      <c r="H19" s="303">
        <v>2726168</v>
      </c>
      <c r="I19" s="304" t="s">
        <v>1222</v>
      </c>
      <c r="J19" s="287"/>
    </row>
    <row r="20" spans="1:10" ht="15" customHeight="1">
      <c r="A20" s="301" t="s">
        <v>1231</v>
      </c>
      <c r="B20" s="302" t="s">
        <v>1232</v>
      </c>
      <c r="C20" s="302" t="s">
        <v>1225</v>
      </c>
      <c r="D20" s="303">
        <v>8277</v>
      </c>
      <c r="E20" s="303">
        <v>8777</v>
      </c>
      <c r="F20" s="303">
        <v>110083</v>
      </c>
      <c r="G20" s="304" t="s">
        <v>1222</v>
      </c>
      <c r="H20" s="303">
        <v>3612533</v>
      </c>
      <c r="I20" s="304" t="s">
        <v>1222</v>
      </c>
      <c r="J20" s="287"/>
    </row>
    <row r="21" spans="1:10" ht="15" customHeight="1">
      <c r="A21" s="301" t="s">
        <v>1231</v>
      </c>
      <c r="B21" s="302" t="s">
        <v>1232</v>
      </c>
      <c r="C21" s="302" t="s">
        <v>1226</v>
      </c>
      <c r="D21" s="303">
        <v>62073</v>
      </c>
      <c r="E21" s="303">
        <v>62762</v>
      </c>
      <c r="F21" s="303">
        <v>274998</v>
      </c>
      <c r="G21" s="304" t="s">
        <v>1222</v>
      </c>
      <c r="H21" s="303">
        <v>8715649</v>
      </c>
      <c r="I21" s="304" t="s">
        <v>1222</v>
      </c>
      <c r="J21" s="287"/>
    </row>
    <row r="22" spans="1:10" ht="15" customHeight="1">
      <c r="A22" s="301" t="s">
        <v>1231</v>
      </c>
      <c r="B22" s="302" t="s">
        <v>1232</v>
      </c>
      <c r="C22" s="302" t="s">
        <v>1227</v>
      </c>
      <c r="D22" s="303">
        <v>7280</v>
      </c>
      <c r="E22" s="303">
        <v>10250</v>
      </c>
      <c r="F22" s="303">
        <v>265844</v>
      </c>
      <c r="G22" s="304" t="s">
        <v>1222</v>
      </c>
      <c r="H22" s="303">
        <v>9568508</v>
      </c>
      <c r="I22" s="304" t="s">
        <v>1222</v>
      </c>
      <c r="J22" s="287"/>
    </row>
    <row r="23" spans="1:10" ht="15" customHeight="1">
      <c r="A23" s="301" t="s">
        <v>1231</v>
      </c>
      <c r="B23" s="302" t="s">
        <v>1232</v>
      </c>
      <c r="C23" s="302" t="s">
        <v>1228</v>
      </c>
      <c r="D23" s="303">
        <v>1926</v>
      </c>
      <c r="E23" s="303">
        <v>5428</v>
      </c>
      <c r="F23" s="303">
        <v>223365</v>
      </c>
      <c r="G23" s="304" t="s">
        <v>1222</v>
      </c>
      <c r="H23" s="303">
        <v>8415964</v>
      </c>
      <c r="I23" s="304" t="s">
        <v>1222</v>
      </c>
      <c r="J23" s="287"/>
    </row>
    <row r="24" spans="1:10" ht="15" customHeight="1">
      <c r="A24" s="301" t="s">
        <v>1231</v>
      </c>
      <c r="B24" s="302" t="s">
        <v>1232</v>
      </c>
      <c r="C24" s="302" t="s">
        <v>1229</v>
      </c>
      <c r="D24" s="303">
        <v>71279</v>
      </c>
      <c r="E24" s="303">
        <v>78440</v>
      </c>
      <c r="F24" s="303">
        <v>764207</v>
      </c>
      <c r="G24" s="304" t="s">
        <v>1222</v>
      </c>
      <c r="H24" s="303">
        <v>26700121</v>
      </c>
      <c r="I24" s="304" t="s">
        <v>1222</v>
      </c>
      <c r="J24" s="287"/>
    </row>
    <row r="25" spans="1:10" ht="15" customHeight="1">
      <c r="A25" s="301" t="s">
        <v>1231</v>
      </c>
      <c r="B25" s="302" t="s">
        <v>1232</v>
      </c>
      <c r="C25" s="302" t="s">
        <v>1230</v>
      </c>
      <c r="D25" s="303">
        <v>2382</v>
      </c>
      <c r="E25" s="303">
        <v>19498</v>
      </c>
      <c r="F25" s="303">
        <v>821554</v>
      </c>
      <c r="G25" s="304" t="s">
        <v>1222</v>
      </c>
      <c r="H25" s="303">
        <v>34584810</v>
      </c>
      <c r="I25" s="304" t="s">
        <v>1222</v>
      </c>
      <c r="J25" s="287"/>
    </row>
    <row r="26" spans="1:10" ht="15" customHeight="1">
      <c r="A26" s="301" t="s">
        <v>1233</v>
      </c>
      <c r="B26" s="302" t="s">
        <v>1234</v>
      </c>
      <c r="C26" s="302" t="s">
        <v>1221</v>
      </c>
      <c r="D26" s="303">
        <v>16656</v>
      </c>
      <c r="E26" s="303">
        <v>20427</v>
      </c>
      <c r="F26" s="303">
        <v>258219</v>
      </c>
      <c r="G26" s="304" t="s">
        <v>1222</v>
      </c>
      <c r="H26" s="303">
        <v>13986403</v>
      </c>
      <c r="I26" s="304" t="s">
        <v>1222</v>
      </c>
      <c r="J26" s="287"/>
    </row>
    <row r="27" spans="1:10" ht="15" customHeight="1">
      <c r="A27" s="301" t="s">
        <v>1233</v>
      </c>
      <c r="B27" s="302" t="s">
        <v>1234</v>
      </c>
      <c r="C27" s="302" t="s">
        <v>1223</v>
      </c>
      <c r="D27" s="303">
        <v>9979</v>
      </c>
      <c r="E27" s="303">
        <v>10005</v>
      </c>
      <c r="F27" s="303">
        <v>15036</v>
      </c>
      <c r="G27" s="304" t="s">
        <v>1222</v>
      </c>
      <c r="H27" s="303">
        <v>809344</v>
      </c>
      <c r="I27" s="304" t="s">
        <v>1222</v>
      </c>
      <c r="J27" s="287"/>
    </row>
    <row r="28" spans="1:10" ht="15" customHeight="1">
      <c r="A28" s="301" t="s">
        <v>1233</v>
      </c>
      <c r="B28" s="302" t="s">
        <v>1234</v>
      </c>
      <c r="C28" s="302" t="s">
        <v>1224</v>
      </c>
      <c r="D28" s="303">
        <v>2826</v>
      </c>
      <c r="E28" s="303">
        <v>2872</v>
      </c>
      <c r="F28" s="303">
        <v>18657</v>
      </c>
      <c r="G28" s="304" t="s">
        <v>1222</v>
      </c>
      <c r="H28" s="303">
        <v>791222</v>
      </c>
      <c r="I28" s="304" t="s">
        <v>1222</v>
      </c>
      <c r="J28" s="287"/>
    </row>
    <row r="29" spans="1:10" ht="15" customHeight="1">
      <c r="A29" s="301" t="s">
        <v>1233</v>
      </c>
      <c r="B29" s="302" t="s">
        <v>1234</v>
      </c>
      <c r="C29" s="302" t="s">
        <v>1225</v>
      </c>
      <c r="D29" s="303">
        <v>1732</v>
      </c>
      <c r="E29" s="303">
        <v>1872</v>
      </c>
      <c r="F29" s="303">
        <v>23049</v>
      </c>
      <c r="G29" s="304" t="s">
        <v>1222</v>
      </c>
      <c r="H29" s="303">
        <v>1049710</v>
      </c>
      <c r="I29" s="304" t="s">
        <v>1222</v>
      </c>
      <c r="J29" s="287"/>
    </row>
    <row r="30" spans="1:10" ht="15" customHeight="1">
      <c r="A30" s="301" t="s">
        <v>1233</v>
      </c>
      <c r="B30" s="302" t="s">
        <v>1234</v>
      </c>
      <c r="C30" s="302" t="s">
        <v>1226</v>
      </c>
      <c r="D30" s="303">
        <v>14537</v>
      </c>
      <c r="E30" s="303">
        <v>14749</v>
      </c>
      <c r="F30" s="303">
        <v>56742</v>
      </c>
      <c r="G30" s="304" t="s">
        <v>1222</v>
      </c>
      <c r="H30" s="303">
        <v>2650276</v>
      </c>
      <c r="I30" s="304" t="s">
        <v>1222</v>
      </c>
      <c r="J30" s="287"/>
    </row>
    <row r="31" spans="1:10" ht="15" customHeight="1">
      <c r="A31" s="301" t="s">
        <v>1233</v>
      </c>
      <c r="B31" s="302" t="s">
        <v>1234</v>
      </c>
      <c r="C31" s="302" t="s">
        <v>1227</v>
      </c>
      <c r="D31" s="303">
        <v>1192</v>
      </c>
      <c r="E31" s="303">
        <v>1752</v>
      </c>
      <c r="F31" s="303">
        <v>41453</v>
      </c>
      <c r="G31" s="304" t="s">
        <v>1222</v>
      </c>
      <c r="H31" s="303">
        <v>1976375</v>
      </c>
      <c r="I31" s="304" t="s">
        <v>1222</v>
      </c>
      <c r="J31" s="287"/>
    </row>
    <row r="32" spans="1:10" ht="15" customHeight="1">
      <c r="A32" s="301" t="s">
        <v>1233</v>
      </c>
      <c r="B32" s="302" t="s">
        <v>1234</v>
      </c>
      <c r="C32" s="302" t="s">
        <v>1228</v>
      </c>
      <c r="D32" s="303">
        <v>334</v>
      </c>
      <c r="E32" s="303">
        <v>1109</v>
      </c>
      <c r="F32" s="303">
        <v>40183</v>
      </c>
      <c r="G32" s="304" t="s">
        <v>1222</v>
      </c>
      <c r="H32" s="303">
        <v>2011768</v>
      </c>
      <c r="I32" s="304" t="s">
        <v>1222</v>
      </c>
      <c r="J32" s="287"/>
    </row>
    <row r="33" spans="1:10" ht="15" customHeight="1">
      <c r="A33" s="301" t="s">
        <v>1233</v>
      </c>
      <c r="B33" s="302" t="s">
        <v>1234</v>
      </c>
      <c r="C33" s="302" t="s">
        <v>1229</v>
      </c>
      <c r="D33" s="303">
        <v>16063</v>
      </c>
      <c r="E33" s="303">
        <v>17610</v>
      </c>
      <c r="F33" s="303">
        <v>138378</v>
      </c>
      <c r="G33" s="304" t="s">
        <v>1222</v>
      </c>
      <c r="H33" s="303">
        <v>6638419</v>
      </c>
      <c r="I33" s="304" t="s">
        <v>1222</v>
      </c>
      <c r="J33" s="287"/>
    </row>
    <row r="34" spans="1:10" ht="15" customHeight="1">
      <c r="A34" s="301" t="s">
        <v>1233</v>
      </c>
      <c r="B34" s="302" t="s">
        <v>1234</v>
      </c>
      <c r="C34" s="302" t="s">
        <v>1230</v>
      </c>
      <c r="D34" s="303">
        <v>593</v>
      </c>
      <c r="E34" s="303">
        <v>2817</v>
      </c>
      <c r="F34" s="303">
        <v>119841</v>
      </c>
      <c r="G34" s="304" t="s">
        <v>1222</v>
      </c>
      <c r="H34" s="303">
        <v>7347984</v>
      </c>
      <c r="I34" s="304" t="s">
        <v>1222</v>
      </c>
      <c r="J34" s="287"/>
    </row>
    <row r="35" spans="1:10" ht="15" customHeight="1">
      <c r="A35" s="301" t="s">
        <v>1235</v>
      </c>
      <c r="B35" s="302" t="s">
        <v>1236</v>
      </c>
      <c r="C35" s="302" t="s">
        <v>1221</v>
      </c>
      <c r="D35" s="303">
        <v>101205</v>
      </c>
      <c r="E35" s="303">
        <v>131375</v>
      </c>
      <c r="F35" s="303">
        <v>2134252</v>
      </c>
      <c r="G35" s="304" t="s">
        <v>1222</v>
      </c>
      <c r="H35" s="303">
        <v>90838616</v>
      </c>
      <c r="I35" s="304" t="s">
        <v>1222</v>
      </c>
      <c r="J35" s="287"/>
    </row>
    <row r="36" spans="1:10" ht="15" customHeight="1">
      <c r="A36" s="301" t="s">
        <v>1235</v>
      </c>
      <c r="B36" s="302" t="s">
        <v>1236</v>
      </c>
      <c r="C36" s="302" t="s">
        <v>1223</v>
      </c>
      <c r="D36" s="303">
        <v>60802</v>
      </c>
      <c r="E36" s="303">
        <v>60900</v>
      </c>
      <c r="F36" s="303">
        <v>96077</v>
      </c>
      <c r="G36" s="304" t="s">
        <v>1237</v>
      </c>
      <c r="H36" s="303">
        <v>3935712</v>
      </c>
      <c r="I36" s="304" t="s">
        <v>1222</v>
      </c>
      <c r="J36" s="287"/>
    </row>
    <row r="37" spans="1:10" ht="15" customHeight="1">
      <c r="A37" s="301" t="s">
        <v>1235</v>
      </c>
      <c r="B37" s="302" t="s">
        <v>1236</v>
      </c>
      <c r="C37" s="302" t="s">
        <v>1224</v>
      </c>
      <c r="D37" s="303">
        <v>16360</v>
      </c>
      <c r="E37" s="303">
        <v>16543</v>
      </c>
      <c r="F37" s="303">
        <v>107797</v>
      </c>
      <c r="G37" s="304" t="s">
        <v>1222</v>
      </c>
      <c r="H37" s="303">
        <v>3535204</v>
      </c>
      <c r="I37" s="304" t="s">
        <v>1222</v>
      </c>
      <c r="J37" s="287"/>
    </row>
    <row r="38" spans="1:10" ht="15" customHeight="1">
      <c r="A38" s="301" t="s">
        <v>1235</v>
      </c>
      <c r="B38" s="302" t="s">
        <v>1236</v>
      </c>
      <c r="C38" s="302" t="s">
        <v>1225</v>
      </c>
      <c r="D38" s="303">
        <v>9669</v>
      </c>
      <c r="E38" s="303">
        <v>10153</v>
      </c>
      <c r="F38" s="303">
        <v>128201</v>
      </c>
      <c r="G38" s="304" t="s">
        <v>1222</v>
      </c>
      <c r="H38" s="303">
        <v>4544676</v>
      </c>
      <c r="I38" s="304" t="s">
        <v>1222</v>
      </c>
      <c r="J38" s="287"/>
    </row>
    <row r="39" spans="1:10" ht="15" customHeight="1">
      <c r="A39" s="301" t="s">
        <v>1235</v>
      </c>
      <c r="B39" s="302" t="s">
        <v>1236</v>
      </c>
      <c r="C39" s="302" t="s">
        <v>1226</v>
      </c>
      <c r="D39" s="303">
        <v>86831</v>
      </c>
      <c r="E39" s="303">
        <v>87596</v>
      </c>
      <c r="F39" s="303">
        <v>332075</v>
      </c>
      <c r="G39" s="304" t="s">
        <v>1222</v>
      </c>
      <c r="H39" s="303">
        <v>12015592</v>
      </c>
      <c r="I39" s="304" t="s">
        <v>1222</v>
      </c>
      <c r="J39" s="287"/>
    </row>
    <row r="40" spans="1:10" ht="15" customHeight="1">
      <c r="A40" s="301" t="s">
        <v>1235</v>
      </c>
      <c r="B40" s="302" t="s">
        <v>1236</v>
      </c>
      <c r="C40" s="302" t="s">
        <v>1227</v>
      </c>
      <c r="D40" s="303">
        <v>8755</v>
      </c>
      <c r="E40" s="303">
        <v>11300</v>
      </c>
      <c r="F40" s="303">
        <v>320841</v>
      </c>
      <c r="G40" s="304" t="s">
        <v>1222</v>
      </c>
      <c r="H40" s="303">
        <v>11348611</v>
      </c>
      <c r="I40" s="304" t="s">
        <v>1222</v>
      </c>
      <c r="J40" s="287"/>
    </row>
    <row r="41" spans="1:10" ht="15" customHeight="1">
      <c r="A41" s="301" t="s">
        <v>1235</v>
      </c>
      <c r="B41" s="302" t="s">
        <v>1236</v>
      </c>
      <c r="C41" s="302" t="s">
        <v>1228</v>
      </c>
      <c r="D41" s="303">
        <v>2671</v>
      </c>
      <c r="E41" s="303">
        <v>6915</v>
      </c>
      <c r="F41" s="303">
        <v>302278</v>
      </c>
      <c r="G41" s="304" t="s">
        <v>1222</v>
      </c>
      <c r="H41" s="303">
        <v>11988940</v>
      </c>
      <c r="I41" s="304" t="s">
        <v>1222</v>
      </c>
      <c r="J41" s="287"/>
    </row>
    <row r="42" spans="1:10" ht="15" customHeight="1">
      <c r="A42" s="301" t="s">
        <v>1235</v>
      </c>
      <c r="B42" s="302" t="s">
        <v>1236</v>
      </c>
      <c r="C42" s="302" t="s">
        <v>1229</v>
      </c>
      <c r="D42" s="303">
        <v>98257</v>
      </c>
      <c r="E42" s="303">
        <v>105811</v>
      </c>
      <c r="F42" s="303">
        <v>955194</v>
      </c>
      <c r="G42" s="304" t="s">
        <v>1222</v>
      </c>
      <c r="H42" s="303">
        <v>35353143</v>
      </c>
      <c r="I42" s="304" t="s">
        <v>1222</v>
      </c>
      <c r="J42" s="287"/>
    </row>
    <row r="43" spans="1:10" ht="15" customHeight="1">
      <c r="A43" s="301" t="s">
        <v>1235</v>
      </c>
      <c r="B43" s="302" t="s">
        <v>1236</v>
      </c>
      <c r="C43" s="302" t="s">
        <v>1230</v>
      </c>
      <c r="D43" s="303">
        <v>2948</v>
      </c>
      <c r="E43" s="303">
        <v>25564</v>
      </c>
      <c r="F43" s="303">
        <v>1179058</v>
      </c>
      <c r="G43" s="304" t="s">
        <v>1222</v>
      </c>
      <c r="H43" s="303">
        <v>55485473</v>
      </c>
      <c r="I43" s="304" t="s">
        <v>1222</v>
      </c>
      <c r="J43" s="287"/>
    </row>
    <row r="44" spans="1:10" ht="15" customHeight="1">
      <c r="A44" s="301" t="s">
        <v>1238</v>
      </c>
      <c r="B44" s="302" t="s">
        <v>1239</v>
      </c>
      <c r="C44" s="302" t="s">
        <v>1221</v>
      </c>
      <c r="D44" s="303">
        <v>50412</v>
      </c>
      <c r="E44" s="303">
        <v>64815</v>
      </c>
      <c r="F44" s="303">
        <v>978519</v>
      </c>
      <c r="G44" s="304" t="s">
        <v>1222</v>
      </c>
      <c r="H44" s="303">
        <v>35633588</v>
      </c>
      <c r="I44" s="304" t="s">
        <v>1222</v>
      </c>
      <c r="J44" s="287"/>
    </row>
    <row r="45" spans="1:10" ht="15" customHeight="1">
      <c r="A45" s="301" t="s">
        <v>1238</v>
      </c>
      <c r="B45" s="302" t="s">
        <v>1239</v>
      </c>
      <c r="C45" s="302" t="s">
        <v>1223</v>
      </c>
      <c r="D45" s="303">
        <v>28542</v>
      </c>
      <c r="E45" s="303">
        <v>28562</v>
      </c>
      <c r="F45" s="303">
        <v>49598</v>
      </c>
      <c r="G45" s="304" t="s">
        <v>1222</v>
      </c>
      <c r="H45" s="303">
        <v>1604222</v>
      </c>
      <c r="I45" s="304" t="s">
        <v>1222</v>
      </c>
      <c r="J45" s="287"/>
    </row>
    <row r="46" spans="1:10" ht="15" customHeight="1">
      <c r="A46" s="301" t="s">
        <v>1238</v>
      </c>
      <c r="B46" s="302" t="s">
        <v>1239</v>
      </c>
      <c r="C46" s="302" t="s">
        <v>1224</v>
      </c>
      <c r="D46" s="303">
        <v>9178</v>
      </c>
      <c r="E46" s="303">
        <v>9253</v>
      </c>
      <c r="F46" s="303">
        <v>60169</v>
      </c>
      <c r="G46" s="304" t="s">
        <v>1222</v>
      </c>
      <c r="H46" s="303">
        <v>1689732</v>
      </c>
      <c r="I46" s="304" t="s">
        <v>1222</v>
      </c>
      <c r="J46" s="287"/>
    </row>
    <row r="47" spans="1:10" ht="15" customHeight="1">
      <c r="A47" s="301" t="s">
        <v>1238</v>
      </c>
      <c r="B47" s="302" t="s">
        <v>1239</v>
      </c>
      <c r="C47" s="302" t="s">
        <v>1225</v>
      </c>
      <c r="D47" s="303">
        <v>5280</v>
      </c>
      <c r="E47" s="303">
        <v>5593</v>
      </c>
      <c r="F47" s="303">
        <v>69889</v>
      </c>
      <c r="G47" s="304" t="s">
        <v>1222</v>
      </c>
      <c r="H47" s="303">
        <v>2054164</v>
      </c>
      <c r="I47" s="304" t="s">
        <v>1222</v>
      </c>
      <c r="J47" s="287"/>
    </row>
    <row r="48" spans="1:10" ht="15" customHeight="1">
      <c r="A48" s="301" t="s">
        <v>1238</v>
      </c>
      <c r="B48" s="302" t="s">
        <v>1239</v>
      </c>
      <c r="C48" s="302" t="s">
        <v>1226</v>
      </c>
      <c r="D48" s="303">
        <v>43000</v>
      </c>
      <c r="E48" s="303">
        <v>43408</v>
      </c>
      <c r="F48" s="303">
        <v>179656</v>
      </c>
      <c r="G48" s="304" t="s">
        <v>1222</v>
      </c>
      <c r="H48" s="303">
        <v>5348118</v>
      </c>
      <c r="I48" s="304" t="s">
        <v>1222</v>
      </c>
      <c r="J48" s="287"/>
    </row>
    <row r="49" spans="1:10" ht="15" customHeight="1">
      <c r="A49" s="301" t="s">
        <v>1238</v>
      </c>
      <c r="B49" s="302" t="s">
        <v>1239</v>
      </c>
      <c r="C49" s="302" t="s">
        <v>1227</v>
      </c>
      <c r="D49" s="303">
        <v>4535</v>
      </c>
      <c r="E49" s="303">
        <v>6435</v>
      </c>
      <c r="F49" s="303">
        <v>164710</v>
      </c>
      <c r="G49" s="304" t="s">
        <v>1222</v>
      </c>
      <c r="H49" s="303">
        <v>5080139</v>
      </c>
      <c r="I49" s="304" t="s">
        <v>1222</v>
      </c>
      <c r="J49" s="287"/>
    </row>
    <row r="50" spans="1:10" ht="15" customHeight="1">
      <c r="A50" s="301" t="s">
        <v>1238</v>
      </c>
      <c r="B50" s="302" t="s">
        <v>1239</v>
      </c>
      <c r="C50" s="302" t="s">
        <v>1228</v>
      </c>
      <c r="D50" s="303">
        <v>1181</v>
      </c>
      <c r="E50" s="303">
        <v>3688</v>
      </c>
      <c r="F50" s="303">
        <v>132680</v>
      </c>
      <c r="G50" s="304" t="s">
        <v>1222</v>
      </c>
      <c r="H50" s="303">
        <v>4371209</v>
      </c>
      <c r="I50" s="304" t="s">
        <v>1222</v>
      </c>
      <c r="J50" s="287"/>
    </row>
    <row r="51" spans="1:10" ht="15" customHeight="1">
      <c r="A51" s="301" t="s">
        <v>1238</v>
      </c>
      <c r="B51" s="302" t="s">
        <v>1239</v>
      </c>
      <c r="C51" s="302" t="s">
        <v>1229</v>
      </c>
      <c r="D51" s="303">
        <v>48716</v>
      </c>
      <c r="E51" s="303">
        <v>53531</v>
      </c>
      <c r="F51" s="303">
        <v>477046</v>
      </c>
      <c r="G51" s="304" t="s">
        <v>1222</v>
      </c>
      <c r="H51" s="303">
        <v>14799466</v>
      </c>
      <c r="I51" s="304" t="s">
        <v>1222</v>
      </c>
      <c r="J51" s="287"/>
    </row>
    <row r="52" spans="1:10" ht="15" customHeight="1">
      <c r="A52" s="301" t="s">
        <v>1238</v>
      </c>
      <c r="B52" s="302" t="s">
        <v>1239</v>
      </c>
      <c r="C52" s="302" t="s">
        <v>1230</v>
      </c>
      <c r="D52" s="303">
        <v>1696</v>
      </c>
      <c r="E52" s="303">
        <v>11284</v>
      </c>
      <c r="F52" s="303">
        <v>501473</v>
      </c>
      <c r="G52" s="304" t="s">
        <v>1222</v>
      </c>
      <c r="H52" s="303">
        <v>20834122</v>
      </c>
      <c r="I52" s="304" t="s">
        <v>1222</v>
      </c>
      <c r="J52" s="287"/>
    </row>
    <row r="53" spans="1:10" ht="15" customHeight="1">
      <c r="A53" s="301" t="s">
        <v>1240</v>
      </c>
      <c r="B53" s="302" t="s">
        <v>1241</v>
      </c>
      <c r="C53" s="302" t="s">
        <v>1221</v>
      </c>
      <c r="D53" s="303">
        <v>701899</v>
      </c>
      <c r="E53" s="303">
        <v>864913</v>
      </c>
      <c r="F53" s="303">
        <v>12952818</v>
      </c>
      <c r="G53" s="304" t="s">
        <v>1222</v>
      </c>
      <c r="H53" s="303">
        <v>700102379</v>
      </c>
      <c r="I53" s="304" t="s">
        <v>1222</v>
      </c>
      <c r="J53" s="287"/>
    </row>
    <row r="54" spans="1:10" ht="15" customHeight="1">
      <c r="A54" s="301" t="s">
        <v>1240</v>
      </c>
      <c r="B54" s="302" t="s">
        <v>1241</v>
      </c>
      <c r="C54" s="302" t="s">
        <v>1223</v>
      </c>
      <c r="D54" s="303">
        <v>436757</v>
      </c>
      <c r="E54" s="303">
        <v>437318</v>
      </c>
      <c r="F54" s="303">
        <v>712850</v>
      </c>
      <c r="G54" s="304" t="s">
        <v>1222</v>
      </c>
      <c r="H54" s="303">
        <v>37841519</v>
      </c>
      <c r="I54" s="304" t="s">
        <v>1222</v>
      </c>
      <c r="J54" s="287"/>
    </row>
    <row r="55" spans="1:10" ht="15" customHeight="1">
      <c r="A55" s="301" t="s">
        <v>1240</v>
      </c>
      <c r="B55" s="302" t="s">
        <v>1241</v>
      </c>
      <c r="C55" s="302" t="s">
        <v>1224</v>
      </c>
      <c r="D55" s="303">
        <v>117715</v>
      </c>
      <c r="E55" s="303">
        <v>119064</v>
      </c>
      <c r="F55" s="303">
        <v>773052</v>
      </c>
      <c r="G55" s="304" t="s">
        <v>1222</v>
      </c>
      <c r="H55" s="303">
        <v>29215350</v>
      </c>
      <c r="I55" s="304" t="s">
        <v>1222</v>
      </c>
      <c r="J55" s="287"/>
    </row>
    <row r="56" spans="1:10" ht="15" customHeight="1">
      <c r="A56" s="301" t="s">
        <v>1240</v>
      </c>
      <c r="B56" s="302" t="s">
        <v>1241</v>
      </c>
      <c r="C56" s="302" t="s">
        <v>1225</v>
      </c>
      <c r="D56" s="303">
        <v>70246</v>
      </c>
      <c r="E56" s="303">
        <v>74204</v>
      </c>
      <c r="F56" s="303">
        <v>936632</v>
      </c>
      <c r="G56" s="304" t="s">
        <v>1222</v>
      </c>
      <c r="H56" s="303">
        <v>37030332</v>
      </c>
      <c r="I56" s="304" t="s">
        <v>1222</v>
      </c>
      <c r="J56" s="287"/>
    </row>
    <row r="57" spans="1:10" ht="15" customHeight="1">
      <c r="A57" s="301" t="s">
        <v>1240</v>
      </c>
      <c r="B57" s="302" t="s">
        <v>1241</v>
      </c>
      <c r="C57" s="302" t="s">
        <v>1226</v>
      </c>
      <c r="D57" s="303">
        <v>624718</v>
      </c>
      <c r="E57" s="303">
        <v>630586</v>
      </c>
      <c r="F57" s="303">
        <v>2422534</v>
      </c>
      <c r="G57" s="304" t="s">
        <v>1222</v>
      </c>
      <c r="H57" s="303">
        <v>104087201</v>
      </c>
      <c r="I57" s="304" t="s">
        <v>1222</v>
      </c>
      <c r="J57" s="287"/>
    </row>
    <row r="58" spans="1:10" ht="15" customHeight="1">
      <c r="A58" s="301" t="s">
        <v>1240</v>
      </c>
      <c r="B58" s="302" t="s">
        <v>1241</v>
      </c>
      <c r="C58" s="302" t="s">
        <v>1227</v>
      </c>
      <c r="D58" s="303">
        <v>59465</v>
      </c>
      <c r="E58" s="303">
        <v>77440</v>
      </c>
      <c r="F58" s="303">
        <v>2255052</v>
      </c>
      <c r="G58" s="304" t="s">
        <v>1222</v>
      </c>
      <c r="H58" s="303">
        <v>99988496</v>
      </c>
      <c r="I58" s="304" t="s">
        <v>1222</v>
      </c>
      <c r="J58" s="287"/>
    </row>
    <row r="59" spans="1:10" ht="15" customHeight="1">
      <c r="A59" s="301" t="s">
        <v>1240</v>
      </c>
      <c r="B59" s="302" t="s">
        <v>1241</v>
      </c>
      <c r="C59" s="302" t="s">
        <v>1228</v>
      </c>
      <c r="D59" s="303">
        <v>12056</v>
      </c>
      <c r="E59" s="303">
        <v>37047</v>
      </c>
      <c r="F59" s="303">
        <v>1794022</v>
      </c>
      <c r="G59" s="304" t="s">
        <v>1222</v>
      </c>
      <c r="H59" s="303">
        <v>92596897</v>
      </c>
      <c r="I59" s="304" t="s">
        <v>1222</v>
      </c>
      <c r="J59" s="287"/>
    </row>
    <row r="60" spans="1:10" ht="15" customHeight="1">
      <c r="A60" s="301" t="s">
        <v>1240</v>
      </c>
      <c r="B60" s="302" t="s">
        <v>1241</v>
      </c>
      <c r="C60" s="302" t="s">
        <v>1229</v>
      </c>
      <c r="D60" s="303">
        <v>696239</v>
      </c>
      <c r="E60" s="303">
        <v>745073</v>
      </c>
      <c r="F60" s="303">
        <v>6471608</v>
      </c>
      <c r="G60" s="304" t="s">
        <v>1222</v>
      </c>
      <c r="H60" s="303">
        <v>296672594</v>
      </c>
      <c r="I60" s="304" t="s">
        <v>1222</v>
      </c>
      <c r="J60" s="287"/>
    </row>
    <row r="61" spans="1:10" ht="15" customHeight="1">
      <c r="A61" s="301" t="s">
        <v>1240</v>
      </c>
      <c r="B61" s="302" t="s">
        <v>1241</v>
      </c>
      <c r="C61" s="302" t="s">
        <v>1230</v>
      </c>
      <c r="D61" s="303">
        <v>5660</v>
      </c>
      <c r="E61" s="303">
        <v>119840</v>
      </c>
      <c r="F61" s="303">
        <v>6481210</v>
      </c>
      <c r="G61" s="304" t="s">
        <v>1222</v>
      </c>
      <c r="H61" s="303">
        <v>403429785</v>
      </c>
      <c r="I61" s="304" t="s">
        <v>1222</v>
      </c>
      <c r="J61" s="287"/>
    </row>
    <row r="62" spans="1:10" ht="15" customHeight="1">
      <c r="A62" s="301" t="s">
        <v>1242</v>
      </c>
      <c r="B62" s="302" t="s">
        <v>1243</v>
      </c>
      <c r="C62" s="302" t="s">
        <v>1221</v>
      </c>
      <c r="D62" s="303">
        <v>126478</v>
      </c>
      <c r="E62" s="303">
        <v>153112</v>
      </c>
      <c r="F62" s="303">
        <v>2035803</v>
      </c>
      <c r="G62" s="304" t="s">
        <v>1222</v>
      </c>
      <c r="H62" s="303">
        <v>97691175</v>
      </c>
      <c r="I62" s="304" t="s">
        <v>1222</v>
      </c>
      <c r="J62" s="287"/>
    </row>
    <row r="63" spans="1:10" ht="15" customHeight="1">
      <c r="A63" s="301" t="s">
        <v>1242</v>
      </c>
      <c r="B63" s="302" t="s">
        <v>1243</v>
      </c>
      <c r="C63" s="302" t="s">
        <v>1223</v>
      </c>
      <c r="D63" s="303">
        <v>81649</v>
      </c>
      <c r="E63" s="303">
        <v>81741</v>
      </c>
      <c r="F63" s="303">
        <v>122976</v>
      </c>
      <c r="G63" s="304" t="s">
        <v>1237</v>
      </c>
      <c r="H63" s="303">
        <v>5115870</v>
      </c>
      <c r="I63" s="304" t="s">
        <v>1222</v>
      </c>
      <c r="J63" s="287"/>
    </row>
    <row r="64" spans="1:10" ht="15" customHeight="1">
      <c r="A64" s="301" t="s">
        <v>1242</v>
      </c>
      <c r="B64" s="302" t="s">
        <v>1243</v>
      </c>
      <c r="C64" s="302" t="s">
        <v>1224</v>
      </c>
      <c r="D64" s="303">
        <v>18581</v>
      </c>
      <c r="E64" s="303">
        <v>18749</v>
      </c>
      <c r="F64" s="303">
        <v>121836</v>
      </c>
      <c r="G64" s="304" t="s">
        <v>1222</v>
      </c>
      <c r="H64" s="303">
        <v>4380515</v>
      </c>
      <c r="I64" s="304" t="s">
        <v>1222</v>
      </c>
      <c r="J64" s="287"/>
    </row>
    <row r="65" spans="1:10" ht="15" customHeight="1">
      <c r="A65" s="301" t="s">
        <v>1242</v>
      </c>
      <c r="B65" s="302" t="s">
        <v>1243</v>
      </c>
      <c r="C65" s="302" t="s">
        <v>1225</v>
      </c>
      <c r="D65" s="303">
        <v>11166</v>
      </c>
      <c r="E65" s="303">
        <v>11632</v>
      </c>
      <c r="F65" s="303">
        <v>147517</v>
      </c>
      <c r="G65" s="304" t="s">
        <v>1222</v>
      </c>
      <c r="H65" s="303">
        <v>5441010</v>
      </c>
      <c r="I65" s="304" t="s">
        <v>1222</v>
      </c>
      <c r="J65" s="287"/>
    </row>
    <row r="66" spans="1:10" ht="15" customHeight="1">
      <c r="A66" s="301" t="s">
        <v>1242</v>
      </c>
      <c r="B66" s="302" t="s">
        <v>1243</v>
      </c>
      <c r="C66" s="302" t="s">
        <v>1226</v>
      </c>
      <c r="D66" s="303">
        <v>111396</v>
      </c>
      <c r="E66" s="303">
        <v>112122</v>
      </c>
      <c r="F66" s="303">
        <v>392329</v>
      </c>
      <c r="G66" s="304" t="s">
        <v>1222</v>
      </c>
      <c r="H66" s="303">
        <v>14937395</v>
      </c>
      <c r="I66" s="304" t="s">
        <v>1222</v>
      </c>
      <c r="J66" s="287"/>
    </row>
    <row r="67" spans="1:10" ht="15" customHeight="1">
      <c r="A67" s="301" t="s">
        <v>1242</v>
      </c>
      <c r="B67" s="302" t="s">
        <v>1243</v>
      </c>
      <c r="C67" s="302" t="s">
        <v>1227</v>
      </c>
      <c r="D67" s="303">
        <v>9427</v>
      </c>
      <c r="E67" s="303">
        <v>12147</v>
      </c>
      <c r="F67" s="303">
        <v>336966</v>
      </c>
      <c r="G67" s="304" t="s">
        <v>1222</v>
      </c>
      <c r="H67" s="303">
        <v>13618345</v>
      </c>
      <c r="I67" s="304" t="s">
        <v>1222</v>
      </c>
      <c r="J67" s="287"/>
    </row>
    <row r="68" spans="1:10" ht="15" customHeight="1">
      <c r="A68" s="301" t="s">
        <v>1242</v>
      </c>
      <c r="B68" s="302" t="s">
        <v>1243</v>
      </c>
      <c r="C68" s="302" t="s">
        <v>1228</v>
      </c>
      <c r="D68" s="303">
        <v>2612</v>
      </c>
      <c r="E68" s="303">
        <v>6216</v>
      </c>
      <c r="F68" s="303">
        <v>262247</v>
      </c>
      <c r="G68" s="304" t="s">
        <v>1222</v>
      </c>
      <c r="H68" s="303">
        <v>12372998</v>
      </c>
      <c r="I68" s="304" t="s">
        <v>1222</v>
      </c>
      <c r="J68" s="287"/>
    </row>
    <row r="69" spans="1:10" ht="15" customHeight="1">
      <c r="A69" s="301" t="s">
        <v>1242</v>
      </c>
      <c r="B69" s="302" t="s">
        <v>1243</v>
      </c>
      <c r="C69" s="302" t="s">
        <v>1229</v>
      </c>
      <c r="D69" s="303">
        <v>123435</v>
      </c>
      <c r="E69" s="303">
        <v>130485</v>
      </c>
      <c r="F69" s="303">
        <v>991542</v>
      </c>
      <c r="G69" s="304" t="s">
        <v>1222</v>
      </c>
      <c r="H69" s="303">
        <v>40928738</v>
      </c>
      <c r="I69" s="304" t="s">
        <v>1222</v>
      </c>
      <c r="J69" s="287"/>
    </row>
    <row r="70" spans="1:10" ht="15" customHeight="1">
      <c r="A70" s="301" t="s">
        <v>1242</v>
      </c>
      <c r="B70" s="302" t="s">
        <v>1243</v>
      </c>
      <c r="C70" s="302" t="s">
        <v>1230</v>
      </c>
      <c r="D70" s="303">
        <v>3043</v>
      </c>
      <c r="E70" s="303">
        <v>22627</v>
      </c>
      <c r="F70" s="303">
        <v>1044261</v>
      </c>
      <c r="G70" s="304" t="s">
        <v>1222</v>
      </c>
      <c r="H70" s="303">
        <v>56762437</v>
      </c>
      <c r="I70" s="304" t="s">
        <v>1222</v>
      </c>
      <c r="J70" s="287"/>
    </row>
    <row r="71" spans="1:10" ht="15" customHeight="1">
      <c r="A71" s="301" t="s">
        <v>1244</v>
      </c>
      <c r="B71" s="302" t="s">
        <v>1245</v>
      </c>
      <c r="C71" s="302" t="s">
        <v>1221</v>
      </c>
      <c r="D71" s="303">
        <v>71584</v>
      </c>
      <c r="E71" s="303">
        <v>88210</v>
      </c>
      <c r="F71" s="303">
        <v>1463732</v>
      </c>
      <c r="G71" s="304" t="s">
        <v>1222</v>
      </c>
      <c r="H71" s="303">
        <v>84561759</v>
      </c>
      <c r="I71" s="304" t="s">
        <v>1222</v>
      </c>
      <c r="J71" s="287"/>
    </row>
    <row r="72" spans="1:10" ht="15" customHeight="1">
      <c r="A72" s="301" t="s">
        <v>1244</v>
      </c>
      <c r="B72" s="302" t="s">
        <v>1245</v>
      </c>
      <c r="C72" s="302" t="s">
        <v>1223</v>
      </c>
      <c r="D72" s="303">
        <v>40289</v>
      </c>
      <c r="E72" s="303">
        <v>40343</v>
      </c>
      <c r="F72" s="303">
        <v>70728</v>
      </c>
      <c r="G72" s="304" t="s">
        <v>1222</v>
      </c>
      <c r="H72" s="303">
        <v>3210799</v>
      </c>
      <c r="I72" s="304" t="s">
        <v>1222</v>
      </c>
      <c r="J72" s="287"/>
    </row>
    <row r="73" spans="1:10" ht="15" customHeight="1">
      <c r="A73" s="301" t="s">
        <v>1244</v>
      </c>
      <c r="B73" s="302" t="s">
        <v>1245</v>
      </c>
      <c r="C73" s="302" t="s">
        <v>1224</v>
      </c>
      <c r="D73" s="303">
        <v>12731</v>
      </c>
      <c r="E73" s="303">
        <v>12867</v>
      </c>
      <c r="F73" s="303">
        <v>83679</v>
      </c>
      <c r="G73" s="304" t="s">
        <v>1222</v>
      </c>
      <c r="H73" s="303">
        <v>3455712</v>
      </c>
      <c r="I73" s="304" t="s">
        <v>1222</v>
      </c>
      <c r="J73" s="287"/>
    </row>
    <row r="74" spans="1:10" ht="15" customHeight="1">
      <c r="A74" s="301" t="s">
        <v>1244</v>
      </c>
      <c r="B74" s="302" t="s">
        <v>1245</v>
      </c>
      <c r="C74" s="302" t="s">
        <v>1225</v>
      </c>
      <c r="D74" s="303">
        <v>7837</v>
      </c>
      <c r="E74" s="303">
        <v>8168</v>
      </c>
      <c r="F74" s="303">
        <v>103669</v>
      </c>
      <c r="G74" s="304" t="s">
        <v>1222</v>
      </c>
      <c r="H74" s="303">
        <v>4680357</v>
      </c>
      <c r="I74" s="304" t="s">
        <v>1222</v>
      </c>
      <c r="J74" s="287"/>
    </row>
    <row r="75" spans="1:10" ht="15" customHeight="1">
      <c r="A75" s="301" t="s">
        <v>1244</v>
      </c>
      <c r="B75" s="302" t="s">
        <v>1245</v>
      </c>
      <c r="C75" s="302" t="s">
        <v>1226</v>
      </c>
      <c r="D75" s="303">
        <v>60857</v>
      </c>
      <c r="E75" s="303">
        <v>61378</v>
      </c>
      <c r="F75" s="303">
        <v>258076</v>
      </c>
      <c r="G75" s="304" t="s">
        <v>1222</v>
      </c>
      <c r="H75" s="303">
        <v>11346868</v>
      </c>
      <c r="I75" s="304" t="s">
        <v>1222</v>
      </c>
      <c r="J75" s="287"/>
    </row>
    <row r="76" spans="1:10" ht="15" customHeight="1">
      <c r="A76" s="301" t="s">
        <v>1244</v>
      </c>
      <c r="B76" s="302" t="s">
        <v>1245</v>
      </c>
      <c r="C76" s="302" t="s">
        <v>1227</v>
      </c>
      <c r="D76" s="303">
        <v>6808</v>
      </c>
      <c r="E76" s="303">
        <v>8299</v>
      </c>
      <c r="F76" s="303">
        <v>248434</v>
      </c>
      <c r="G76" s="304" t="s">
        <v>1222</v>
      </c>
      <c r="H76" s="303">
        <v>12484633</v>
      </c>
      <c r="I76" s="304" t="s">
        <v>1222</v>
      </c>
      <c r="J76" s="287"/>
    </row>
    <row r="77" spans="1:10" ht="15" customHeight="1">
      <c r="A77" s="301" t="s">
        <v>1244</v>
      </c>
      <c r="B77" s="302" t="s">
        <v>1245</v>
      </c>
      <c r="C77" s="302" t="s">
        <v>1228</v>
      </c>
      <c r="D77" s="303">
        <v>1799</v>
      </c>
      <c r="E77" s="303">
        <v>4582</v>
      </c>
      <c r="F77" s="303">
        <v>213894</v>
      </c>
      <c r="G77" s="304" t="s">
        <v>1222</v>
      </c>
      <c r="H77" s="303">
        <v>11259773</v>
      </c>
      <c r="I77" s="304" t="s">
        <v>1222</v>
      </c>
      <c r="J77" s="287"/>
    </row>
    <row r="78" spans="1:10" ht="15" customHeight="1">
      <c r="A78" s="301" t="s">
        <v>1244</v>
      </c>
      <c r="B78" s="302" t="s">
        <v>1245</v>
      </c>
      <c r="C78" s="302" t="s">
        <v>1229</v>
      </c>
      <c r="D78" s="303">
        <v>69464</v>
      </c>
      <c r="E78" s="303">
        <v>74259</v>
      </c>
      <c r="F78" s="303">
        <v>720404</v>
      </c>
      <c r="G78" s="304" t="s">
        <v>1222</v>
      </c>
      <c r="H78" s="303">
        <v>35091274</v>
      </c>
      <c r="I78" s="304" t="s">
        <v>1222</v>
      </c>
      <c r="J78" s="287"/>
    </row>
    <row r="79" spans="1:10" ht="15" customHeight="1">
      <c r="A79" s="301" t="s">
        <v>1244</v>
      </c>
      <c r="B79" s="302" t="s">
        <v>1245</v>
      </c>
      <c r="C79" s="302" t="s">
        <v>1230</v>
      </c>
      <c r="D79" s="303">
        <v>2120</v>
      </c>
      <c r="E79" s="303">
        <v>13951</v>
      </c>
      <c r="F79" s="303">
        <v>743328</v>
      </c>
      <c r="G79" s="304" t="s">
        <v>1222</v>
      </c>
      <c r="H79" s="303">
        <v>49470485</v>
      </c>
      <c r="I79" s="304" t="s">
        <v>1222</v>
      </c>
      <c r="J79" s="287"/>
    </row>
    <row r="80" spans="1:10" ht="15" customHeight="1">
      <c r="A80" s="301" t="s">
        <v>1246</v>
      </c>
      <c r="B80" s="302" t="s">
        <v>1247</v>
      </c>
      <c r="C80" s="302" t="s">
        <v>1221</v>
      </c>
      <c r="D80" s="303">
        <v>19111</v>
      </c>
      <c r="E80" s="303">
        <v>23861</v>
      </c>
      <c r="F80" s="303">
        <v>363688</v>
      </c>
      <c r="G80" s="304" t="s">
        <v>1222</v>
      </c>
      <c r="H80" s="303">
        <v>18315395</v>
      </c>
      <c r="I80" s="304" t="s">
        <v>1222</v>
      </c>
      <c r="J80" s="287"/>
    </row>
    <row r="81" spans="1:10" ht="15" customHeight="1">
      <c r="A81" s="301" t="s">
        <v>1246</v>
      </c>
      <c r="B81" s="302" t="s">
        <v>1247</v>
      </c>
      <c r="C81" s="302" t="s">
        <v>1223</v>
      </c>
      <c r="D81" s="303">
        <v>10421</v>
      </c>
      <c r="E81" s="303">
        <v>10457</v>
      </c>
      <c r="F81" s="303">
        <v>16956</v>
      </c>
      <c r="G81" s="304" t="s">
        <v>1222</v>
      </c>
      <c r="H81" s="303">
        <v>699473</v>
      </c>
      <c r="I81" s="304" t="s">
        <v>1222</v>
      </c>
      <c r="J81" s="287"/>
    </row>
    <row r="82" spans="1:10" ht="15" customHeight="1">
      <c r="A82" s="301" t="s">
        <v>1246</v>
      </c>
      <c r="B82" s="302" t="s">
        <v>1247</v>
      </c>
      <c r="C82" s="302" t="s">
        <v>1224</v>
      </c>
      <c r="D82" s="303">
        <v>2933</v>
      </c>
      <c r="E82" s="303">
        <v>2982</v>
      </c>
      <c r="F82" s="303">
        <v>19309</v>
      </c>
      <c r="G82" s="304" t="s">
        <v>1222</v>
      </c>
      <c r="H82" s="303">
        <v>705774</v>
      </c>
      <c r="I82" s="304" t="s">
        <v>1222</v>
      </c>
      <c r="J82" s="287"/>
    </row>
    <row r="83" spans="1:10" ht="15" customHeight="1">
      <c r="A83" s="301" t="s">
        <v>1246</v>
      </c>
      <c r="B83" s="302" t="s">
        <v>1247</v>
      </c>
      <c r="C83" s="302" t="s">
        <v>1225</v>
      </c>
      <c r="D83" s="303">
        <v>1938</v>
      </c>
      <c r="E83" s="303">
        <v>2037</v>
      </c>
      <c r="F83" s="303">
        <v>25720</v>
      </c>
      <c r="G83" s="304" t="s">
        <v>1222</v>
      </c>
      <c r="H83" s="303">
        <v>950299</v>
      </c>
      <c r="I83" s="304" t="s">
        <v>1222</v>
      </c>
      <c r="J83" s="287"/>
    </row>
    <row r="84" spans="1:10" ht="15" customHeight="1">
      <c r="A84" s="301" t="s">
        <v>1246</v>
      </c>
      <c r="B84" s="302" t="s">
        <v>1247</v>
      </c>
      <c r="C84" s="302" t="s">
        <v>1226</v>
      </c>
      <c r="D84" s="303">
        <v>15292</v>
      </c>
      <c r="E84" s="303">
        <v>15476</v>
      </c>
      <c r="F84" s="303">
        <v>61985</v>
      </c>
      <c r="G84" s="304" t="s">
        <v>1222</v>
      </c>
      <c r="H84" s="303">
        <v>2355546</v>
      </c>
      <c r="I84" s="304" t="s">
        <v>1222</v>
      </c>
      <c r="J84" s="287"/>
    </row>
    <row r="85" spans="1:10" ht="15" customHeight="1">
      <c r="A85" s="301" t="s">
        <v>1246</v>
      </c>
      <c r="B85" s="302" t="s">
        <v>1247</v>
      </c>
      <c r="C85" s="302" t="s">
        <v>1227</v>
      </c>
      <c r="D85" s="303">
        <v>1817</v>
      </c>
      <c r="E85" s="303">
        <v>2260</v>
      </c>
      <c r="F85" s="303">
        <v>60681</v>
      </c>
      <c r="G85" s="304" t="s">
        <v>1222</v>
      </c>
      <c r="H85" s="303">
        <v>2506999</v>
      </c>
      <c r="I85" s="304" t="s">
        <v>1222</v>
      </c>
      <c r="J85" s="287"/>
    </row>
    <row r="86" spans="1:10" ht="15" customHeight="1">
      <c r="A86" s="301" t="s">
        <v>1246</v>
      </c>
      <c r="B86" s="302" t="s">
        <v>1247</v>
      </c>
      <c r="C86" s="302" t="s">
        <v>1228</v>
      </c>
      <c r="D86" s="303">
        <v>639</v>
      </c>
      <c r="E86" s="303">
        <v>1207</v>
      </c>
      <c r="F86" s="303">
        <v>45669</v>
      </c>
      <c r="G86" s="304" t="s">
        <v>1222</v>
      </c>
      <c r="H86" s="303">
        <v>2227841</v>
      </c>
      <c r="I86" s="304" t="s">
        <v>1222</v>
      </c>
      <c r="J86" s="287"/>
    </row>
    <row r="87" spans="1:10" ht="15" customHeight="1">
      <c r="A87" s="301" t="s">
        <v>1246</v>
      </c>
      <c r="B87" s="302" t="s">
        <v>1247</v>
      </c>
      <c r="C87" s="302" t="s">
        <v>1229</v>
      </c>
      <c r="D87" s="303">
        <v>17748</v>
      </c>
      <c r="E87" s="303">
        <v>18943</v>
      </c>
      <c r="F87" s="303">
        <v>168335</v>
      </c>
      <c r="G87" s="304" t="s">
        <v>1222</v>
      </c>
      <c r="H87" s="303">
        <v>7090386</v>
      </c>
      <c r="I87" s="304" t="s">
        <v>1222</v>
      </c>
      <c r="J87" s="287"/>
    </row>
    <row r="88" spans="1:10" ht="15" customHeight="1">
      <c r="A88" s="301" t="s">
        <v>1246</v>
      </c>
      <c r="B88" s="302" t="s">
        <v>1247</v>
      </c>
      <c r="C88" s="302" t="s">
        <v>1230</v>
      </c>
      <c r="D88" s="303">
        <v>1363</v>
      </c>
      <c r="E88" s="303">
        <v>4918</v>
      </c>
      <c r="F88" s="303">
        <v>195353</v>
      </c>
      <c r="G88" s="304" t="s">
        <v>1222</v>
      </c>
      <c r="H88" s="303">
        <v>11225009</v>
      </c>
      <c r="I88" s="304" t="s">
        <v>1222</v>
      </c>
      <c r="J88" s="287"/>
    </row>
    <row r="89" spans="1:10" ht="15" customHeight="1">
      <c r="A89" s="301" t="s">
        <v>1248</v>
      </c>
      <c r="B89" s="302" t="s">
        <v>1249</v>
      </c>
      <c r="C89" s="302" t="s">
        <v>1221</v>
      </c>
      <c r="D89" s="303">
        <v>17123</v>
      </c>
      <c r="E89" s="303">
        <v>21592</v>
      </c>
      <c r="F89" s="303">
        <v>482838</v>
      </c>
      <c r="G89" s="304" t="s">
        <v>1222</v>
      </c>
      <c r="H89" s="303">
        <v>33863527</v>
      </c>
      <c r="I89" s="304" t="s">
        <v>1222</v>
      </c>
      <c r="J89" s="287"/>
    </row>
    <row r="90" spans="1:10" ht="15" customHeight="1">
      <c r="A90" s="301" t="s">
        <v>1248</v>
      </c>
      <c r="B90" s="302" t="s">
        <v>1249</v>
      </c>
      <c r="C90" s="302" t="s">
        <v>1223</v>
      </c>
      <c r="D90" s="303">
        <v>7931</v>
      </c>
      <c r="E90" s="303">
        <v>7941</v>
      </c>
      <c r="F90" s="303">
        <v>14068</v>
      </c>
      <c r="G90" s="304" t="s">
        <v>1222</v>
      </c>
      <c r="H90" s="303">
        <v>1077570</v>
      </c>
      <c r="I90" s="304" t="s">
        <v>1222</v>
      </c>
      <c r="J90" s="287"/>
    </row>
    <row r="91" spans="1:10" ht="15" customHeight="1">
      <c r="A91" s="301" t="s">
        <v>1248</v>
      </c>
      <c r="B91" s="302" t="s">
        <v>1249</v>
      </c>
      <c r="C91" s="302" t="s">
        <v>1224</v>
      </c>
      <c r="D91" s="303">
        <v>2629</v>
      </c>
      <c r="E91" s="303">
        <v>2648</v>
      </c>
      <c r="F91" s="303">
        <v>17372</v>
      </c>
      <c r="G91" s="304" t="s">
        <v>1222</v>
      </c>
      <c r="H91" s="303">
        <v>1098417</v>
      </c>
      <c r="I91" s="304" t="s">
        <v>1222</v>
      </c>
      <c r="J91" s="287"/>
    </row>
    <row r="92" spans="1:10" ht="15" customHeight="1">
      <c r="A92" s="301" t="s">
        <v>1248</v>
      </c>
      <c r="B92" s="302" t="s">
        <v>1249</v>
      </c>
      <c r="C92" s="302" t="s">
        <v>1225</v>
      </c>
      <c r="D92" s="303">
        <v>1874</v>
      </c>
      <c r="E92" s="303">
        <v>1924</v>
      </c>
      <c r="F92" s="303">
        <v>24207</v>
      </c>
      <c r="G92" s="304" t="s">
        <v>1222</v>
      </c>
      <c r="H92" s="303">
        <v>1569008</v>
      </c>
      <c r="I92" s="304" t="s">
        <v>1222</v>
      </c>
      <c r="J92" s="287"/>
    </row>
    <row r="93" spans="1:10" ht="15" customHeight="1">
      <c r="A93" s="301" t="s">
        <v>1248</v>
      </c>
      <c r="B93" s="302" t="s">
        <v>1249</v>
      </c>
      <c r="C93" s="302" t="s">
        <v>1226</v>
      </c>
      <c r="D93" s="303">
        <v>12434</v>
      </c>
      <c r="E93" s="303">
        <v>12513</v>
      </c>
      <c r="F93" s="303">
        <v>55647</v>
      </c>
      <c r="G93" s="304" t="s">
        <v>1222</v>
      </c>
      <c r="H93" s="303">
        <v>3744995</v>
      </c>
      <c r="I93" s="304" t="s">
        <v>1222</v>
      </c>
      <c r="J93" s="287"/>
    </row>
    <row r="94" spans="1:10" ht="15" customHeight="1">
      <c r="A94" s="301" t="s">
        <v>1248</v>
      </c>
      <c r="B94" s="302" t="s">
        <v>1249</v>
      </c>
      <c r="C94" s="302" t="s">
        <v>1227</v>
      </c>
      <c r="D94" s="303">
        <v>2392</v>
      </c>
      <c r="E94" s="303">
        <v>2668</v>
      </c>
      <c r="F94" s="303">
        <v>82030</v>
      </c>
      <c r="G94" s="304" t="s">
        <v>1222</v>
      </c>
      <c r="H94" s="303">
        <v>5081694</v>
      </c>
      <c r="I94" s="304" t="s">
        <v>1222</v>
      </c>
      <c r="J94" s="287"/>
    </row>
    <row r="95" spans="1:10" ht="15" customHeight="1">
      <c r="A95" s="301" t="s">
        <v>1248</v>
      </c>
      <c r="B95" s="302" t="s">
        <v>1249</v>
      </c>
      <c r="C95" s="302" t="s">
        <v>1228</v>
      </c>
      <c r="D95" s="303">
        <v>959</v>
      </c>
      <c r="E95" s="303">
        <v>1479</v>
      </c>
      <c r="F95" s="303">
        <v>91748</v>
      </c>
      <c r="G95" s="304" t="s">
        <v>1222</v>
      </c>
      <c r="H95" s="303">
        <v>5610696</v>
      </c>
      <c r="I95" s="304" t="s">
        <v>1222</v>
      </c>
      <c r="J95" s="287"/>
    </row>
    <row r="96" spans="1:10" ht="15" customHeight="1">
      <c r="A96" s="301" t="s">
        <v>1248</v>
      </c>
      <c r="B96" s="302" t="s">
        <v>1249</v>
      </c>
      <c r="C96" s="302" t="s">
        <v>1229</v>
      </c>
      <c r="D96" s="303">
        <v>15785</v>
      </c>
      <c r="E96" s="303">
        <v>16660</v>
      </c>
      <c r="F96" s="303">
        <v>229425</v>
      </c>
      <c r="G96" s="304" t="s">
        <v>1222</v>
      </c>
      <c r="H96" s="303">
        <v>14437385</v>
      </c>
      <c r="I96" s="304" t="s">
        <v>1222</v>
      </c>
      <c r="J96" s="287"/>
    </row>
    <row r="97" spans="1:10" ht="15" customHeight="1">
      <c r="A97" s="301" t="s">
        <v>1248</v>
      </c>
      <c r="B97" s="302" t="s">
        <v>1249</v>
      </c>
      <c r="C97" s="302" t="s">
        <v>1230</v>
      </c>
      <c r="D97" s="303">
        <v>1338</v>
      </c>
      <c r="E97" s="303">
        <v>4932</v>
      </c>
      <c r="F97" s="303">
        <v>253413</v>
      </c>
      <c r="G97" s="304" t="s">
        <v>1222</v>
      </c>
      <c r="H97" s="303">
        <v>19426142</v>
      </c>
      <c r="I97" s="304" t="s">
        <v>1222</v>
      </c>
      <c r="J97" s="287"/>
    </row>
    <row r="98" spans="1:10" ht="15" customHeight="1">
      <c r="A98" s="301" t="s">
        <v>1250</v>
      </c>
      <c r="B98" s="302" t="s">
        <v>1251</v>
      </c>
      <c r="C98" s="302" t="s">
        <v>1221</v>
      </c>
      <c r="D98" s="303">
        <v>409368</v>
      </c>
      <c r="E98" s="303">
        <v>502414</v>
      </c>
      <c r="F98" s="303">
        <v>6932382</v>
      </c>
      <c r="G98" s="304" t="s">
        <v>1222</v>
      </c>
      <c r="H98" s="303">
        <v>280304784</v>
      </c>
      <c r="I98" s="304" t="s">
        <v>1222</v>
      </c>
      <c r="J98" s="287"/>
    </row>
    <row r="99" spans="1:10" ht="15" customHeight="1">
      <c r="A99" s="301" t="s">
        <v>1250</v>
      </c>
      <c r="B99" s="302" t="s">
        <v>1251</v>
      </c>
      <c r="C99" s="302" t="s">
        <v>1223</v>
      </c>
      <c r="D99" s="303">
        <v>281327</v>
      </c>
      <c r="E99" s="303">
        <v>281673</v>
      </c>
      <c r="F99" s="303">
        <v>438796</v>
      </c>
      <c r="G99" s="304" t="s">
        <v>1237</v>
      </c>
      <c r="H99" s="303">
        <v>16350692</v>
      </c>
      <c r="I99" s="304" t="s">
        <v>1222</v>
      </c>
      <c r="J99" s="287"/>
    </row>
    <row r="100" spans="1:10" ht="15" customHeight="1">
      <c r="A100" s="301" t="s">
        <v>1250</v>
      </c>
      <c r="B100" s="302" t="s">
        <v>1251</v>
      </c>
      <c r="C100" s="302" t="s">
        <v>1224</v>
      </c>
      <c r="D100" s="303">
        <v>58997</v>
      </c>
      <c r="E100" s="303">
        <v>59528</v>
      </c>
      <c r="F100" s="303">
        <v>385591</v>
      </c>
      <c r="G100" s="304" t="s">
        <v>1222</v>
      </c>
      <c r="H100" s="303">
        <v>13041846</v>
      </c>
      <c r="I100" s="304" t="s">
        <v>1222</v>
      </c>
      <c r="J100" s="287"/>
    </row>
    <row r="101" spans="1:10" ht="15" customHeight="1">
      <c r="A101" s="301" t="s">
        <v>1250</v>
      </c>
      <c r="B101" s="302" t="s">
        <v>1251</v>
      </c>
      <c r="C101" s="302" t="s">
        <v>1225</v>
      </c>
      <c r="D101" s="303">
        <v>32450</v>
      </c>
      <c r="E101" s="303">
        <v>34020</v>
      </c>
      <c r="F101" s="303">
        <v>430638</v>
      </c>
      <c r="G101" s="304" t="s">
        <v>1222</v>
      </c>
      <c r="H101" s="303">
        <v>14924667</v>
      </c>
      <c r="I101" s="304" t="s">
        <v>1222</v>
      </c>
      <c r="J101" s="287"/>
    </row>
    <row r="102" spans="1:10" ht="15" customHeight="1">
      <c r="A102" s="301" t="s">
        <v>1250</v>
      </c>
      <c r="B102" s="302" t="s">
        <v>1251</v>
      </c>
      <c r="C102" s="302" t="s">
        <v>1226</v>
      </c>
      <c r="D102" s="303">
        <v>372774</v>
      </c>
      <c r="E102" s="303">
        <v>375221</v>
      </c>
      <c r="F102" s="303">
        <v>1255025</v>
      </c>
      <c r="G102" s="304" t="s">
        <v>1222</v>
      </c>
      <c r="H102" s="303">
        <v>44317205</v>
      </c>
      <c r="I102" s="304" t="s">
        <v>1222</v>
      </c>
      <c r="J102" s="287"/>
    </row>
    <row r="103" spans="1:10" ht="15" customHeight="1">
      <c r="A103" s="301" t="s">
        <v>1250</v>
      </c>
      <c r="B103" s="302" t="s">
        <v>1251</v>
      </c>
      <c r="C103" s="302" t="s">
        <v>1227</v>
      </c>
      <c r="D103" s="303">
        <v>26030</v>
      </c>
      <c r="E103" s="303">
        <v>33251</v>
      </c>
      <c r="F103" s="303">
        <v>962602</v>
      </c>
      <c r="G103" s="304" t="s">
        <v>1222</v>
      </c>
      <c r="H103" s="303">
        <v>35724746</v>
      </c>
      <c r="I103" s="304" t="s">
        <v>1222</v>
      </c>
      <c r="J103" s="287"/>
    </row>
    <row r="104" spans="1:10" ht="15" customHeight="1">
      <c r="A104" s="301" t="s">
        <v>1250</v>
      </c>
      <c r="B104" s="302" t="s">
        <v>1251</v>
      </c>
      <c r="C104" s="302" t="s">
        <v>1228</v>
      </c>
      <c r="D104" s="303">
        <v>6147</v>
      </c>
      <c r="E104" s="303">
        <v>16985</v>
      </c>
      <c r="F104" s="303">
        <v>782540</v>
      </c>
      <c r="G104" s="304" t="s">
        <v>1222</v>
      </c>
      <c r="H104" s="303">
        <v>31665936</v>
      </c>
      <c r="I104" s="304" t="s">
        <v>1222</v>
      </c>
      <c r="J104" s="287"/>
    </row>
    <row r="105" spans="1:10" ht="15" customHeight="1">
      <c r="A105" s="301" t="s">
        <v>1250</v>
      </c>
      <c r="B105" s="302" t="s">
        <v>1251</v>
      </c>
      <c r="C105" s="302" t="s">
        <v>1229</v>
      </c>
      <c r="D105" s="303">
        <v>404951</v>
      </c>
      <c r="E105" s="303">
        <v>425457</v>
      </c>
      <c r="F105" s="303">
        <v>3000167</v>
      </c>
      <c r="G105" s="304" t="s">
        <v>1222</v>
      </c>
      <c r="H105" s="303">
        <v>111707887</v>
      </c>
      <c r="I105" s="304" t="s">
        <v>1222</v>
      </c>
      <c r="J105" s="287"/>
    </row>
    <row r="106" spans="1:10" ht="15" customHeight="1">
      <c r="A106" s="301" t="s">
        <v>1250</v>
      </c>
      <c r="B106" s="302" t="s">
        <v>1251</v>
      </c>
      <c r="C106" s="302" t="s">
        <v>1230</v>
      </c>
      <c r="D106" s="303">
        <v>4417</v>
      </c>
      <c r="E106" s="303">
        <v>76957</v>
      </c>
      <c r="F106" s="303">
        <v>3932215</v>
      </c>
      <c r="G106" s="304" t="s">
        <v>1222</v>
      </c>
      <c r="H106" s="303">
        <v>168596897</v>
      </c>
      <c r="I106" s="304" t="s">
        <v>1222</v>
      </c>
      <c r="J106" s="287"/>
    </row>
    <row r="107" spans="1:10" ht="15" customHeight="1">
      <c r="A107" s="301" t="s">
        <v>1252</v>
      </c>
      <c r="B107" s="302" t="s">
        <v>1253</v>
      </c>
      <c r="C107" s="302" t="s">
        <v>1221</v>
      </c>
      <c r="D107" s="303">
        <v>168614</v>
      </c>
      <c r="E107" s="303">
        <v>216308</v>
      </c>
      <c r="F107" s="303">
        <v>3390540</v>
      </c>
      <c r="G107" s="304" t="s">
        <v>1222</v>
      </c>
      <c r="H107" s="303">
        <v>149290810</v>
      </c>
      <c r="I107" s="304" t="s">
        <v>1222</v>
      </c>
      <c r="J107" s="287"/>
    </row>
    <row r="108" spans="1:10" ht="15" customHeight="1">
      <c r="A108" s="301" t="s">
        <v>1252</v>
      </c>
      <c r="B108" s="302" t="s">
        <v>1253</v>
      </c>
      <c r="C108" s="302" t="s">
        <v>1223</v>
      </c>
      <c r="D108" s="303">
        <v>103541</v>
      </c>
      <c r="E108" s="303">
        <v>103676</v>
      </c>
      <c r="F108" s="303">
        <v>167207</v>
      </c>
      <c r="G108" s="304" t="s">
        <v>1222</v>
      </c>
      <c r="H108" s="303">
        <v>6254445</v>
      </c>
      <c r="I108" s="304" t="s">
        <v>1222</v>
      </c>
      <c r="J108" s="287"/>
    </row>
    <row r="109" spans="1:10" ht="15" customHeight="1">
      <c r="A109" s="301" t="s">
        <v>1252</v>
      </c>
      <c r="B109" s="302" t="s">
        <v>1253</v>
      </c>
      <c r="C109" s="302" t="s">
        <v>1224</v>
      </c>
      <c r="D109" s="303">
        <v>26590</v>
      </c>
      <c r="E109" s="303">
        <v>26886</v>
      </c>
      <c r="F109" s="303">
        <v>174440</v>
      </c>
      <c r="G109" s="304" t="s">
        <v>1222</v>
      </c>
      <c r="H109" s="303">
        <v>5783818</v>
      </c>
      <c r="I109" s="304" t="s">
        <v>1222</v>
      </c>
      <c r="J109" s="287"/>
    </row>
    <row r="110" spans="1:10" ht="15" customHeight="1">
      <c r="A110" s="301" t="s">
        <v>1252</v>
      </c>
      <c r="B110" s="302" t="s">
        <v>1253</v>
      </c>
      <c r="C110" s="302" t="s">
        <v>1225</v>
      </c>
      <c r="D110" s="303">
        <v>15977</v>
      </c>
      <c r="E110" s="303">
        <v>16724</v>
      </c>
      <c r="F110" s="303">
        <v>211955</v>
      </c>
      <c r="G110" s="304" t="s">
        <v>1222</v>
      </c>
      <c r="H110" s="303">
        <v>7324002</v>
      </c>
      <c r="I110" s="304" t="s">
        <v>1222</v>
      </c>
      <c r="J110" s="287"/>
    </row>
    <row r="111" spans="1:10" ht="15" customHeight="1">
      <c r="A111" s="301" t="s">
        <v>1252</v>
      </c>
      <c r="B111" s="302" t="s">
        <v>1253</v>
      </c>
      <c r="C111" s="302" t="s">
        <v>1226</v>
      </c>
      <c r="D111" s="303">
        <v>146108</v>
      </c>
      <c r="E111" s="303">
        <v>147286</v>
      </c>
      <c r="F111" s="303">
        <v>553602</v>
      </c>
      <c r="G111" s="304" t="s">
        <v>1222</v>
      </c>
      <c r="H111" s="303">
        <v>19362265</v>
      </c>
      <c r="I111" s="304" t="s">
        <v>1222</v>
      </c>
      <c r="J111" s="287"/>
    </row>
    <row r="112" spans="1:10" ht="15" customHeight="1">
      <c r="A112" s="301" t="s">
        <v>1252</v>
      </c>
      <c r="B112" s="302" t="s">
        <v>1253</v>
      </c>
      <c r="C112" s="302" t="s">
        <v>1227</v>
      </c>
      <c r="D112" s="303">
        <v>14590</v>
      </c>
      <c r="E112" s="303">
        <v>18548</v>
      </c>
      <c r="F112" s="303">
        <v>525656</v>
      </c>
      <c r="G112" s="304" t="s">
        <v>1222</v>
      </c>
      <c r="H112" s="303">
        <v>19595071</v>
      </c>
      <c r="I112" s="304" t="s">
        <v>1222</v>
      </c>
      <c r="J112" s="287"/>
    </row>
    <row r="113" spans="1:10" ht="15" customHeight="1">
      <c r="A113" s="301" t="s">
        <v>1252</v>
      </c>
      <c r="B113" s="302" t="s">
        <v>1253</v>
      </c>
      <c r="C113" s="302" t="s">
        <v>1228</v>
      </c>
      <c r="D113" s="303">
        <v>3983</v>
      </c>
      <c r="E113" s="303">
        <v>9690</v>
      </c>
      <c r="F113" s="303">
        <v>421252</v>
      </c>
      <c r="G113" s="304" t="s">
        <v>1222</v>
      </c>
      <c r="H113" s="303">
        <v>17639366</v>
      </c>
      <c r="I113" s="304" t="s">
        <v>1222</v>
      </c>
      <c r="J113" s="287"/>
    </row>
    <row r="114" spans="1:10" ht="15" customHeight="1">
      <c r="A114" s="301" t="s">
        <v>1252</v>
      </c>
      <c r="B114" s="302" t="s">
        <v>1253</v>
      </c>
      <c r="C114" s="302" t="s">
        <v>1229</v>
      </c>
      <c r="D114" s="303">
        <v>164681</v>
      </c>
      <c r="E114" s="303">
        <v>175524</v>
      </c>
      <c r="F114" s="303">
        <v>1500510</v>
      </c>
      <c r="G114" s="304" t="s">
        <v>1222</v>
      </c>
      <c r="H114" s="303">
        <v>56596702</v>
      </c>
      <c r="I114" s="304" t="s">
        <v>1222</v>
      </c>
      <c r="J114" s="287"/>
    </row>
    <row r="115" spans="1:10" ht="15" customHeight="1">
      <c r="A115" s="301" t="s">
        <v>1252</v>
      </c>
      <c r="B115" s="302" t="s">
        <v>1253</v>
      </c>
      <c r="C115" s="302" t="s">
        <v>1230</v>
      </c>
      <c r="D115" s="303">
        <v>3933</v>
      </c>
      <c r="E115" s="303">
        <v>40784</v>
      </c>
      <c r="F115" s="303">
        <v>1890030</v>
      </c>
      <c r="G115" s="304" t="s">
        <v>1222</v>
      </c>
      <c r="H115" s="303">
        <v>92694108</v>
      </c>
      <c r="I115" s="304" t="s">
        <v>1222</v>
      </c>
      <c r="J115" s="287"/>
    </row>
    <row r="116" spans="1:10" ht="15" customHeight="1">
      <c r="A116" s="301" t="s">
        <v>1254</v>
      </c>
      <c r="B116" s="302" t="s">
        <v>1255</v>
      </c>
      <c r="C116" s="302" t="s">
        <v>1221</v>
      </c>
      <c r="D116" s="303">
        <v>24923</v>
      </c>
      <c r="E116" s="303">
        <v>31496</v>
      </c>
      <c r="F116" s="303">
        <v>492089</v>
      </c>
      <c r="G116" s="304" t="s">
        <v>1222</v>
      </c>
      <c r="H116" s="303">
        <v>19078553</v>
      </c>
      <c r="I116" s="304" t="s">
        <v>1222</v>
      </c>
      <c r="J116" s="287"/>
    </row>
    <row r="117" spans="1:10" ht="15" customHeight="1">
      <c r="A117" s="301" t="s">
        <v>1254</v>
      </c>
      <c r="B117" s="302" t="s">
        <v>1255</v>
      </c>
      <c r="C117" s="302" t="s">
        <v>1223</v>
      </c>
      <c r="D117" s="303">
        <v>13843</v>
      </c>
      <c r="E117" s="303">
        <v>13868</v>
      </c>
      <c r="F117" s="303">
        <v>24403</v>
      </c>
      <c r="G117" s="304" t="s">
        <v>1222</v>
      </c>
      <c r="H117" s="303">
        <v>957934</v>
      </c>
      <c r="I117" s="304" t="s">
        <v>1222</v>
      </c>
      <c r="J117" s="287"/>
    </row>
    <row r="118" spans="1:10" ht="15" customHeight="1">
      <c r="A118" s="301" t="s">
        <v>1254</v>
      </c>
      <c r="B118" s="302" t="s">
        <v>1255</v>
      </c>
      <c r="C118" s="302" t="s">
        <v>1224</v>
      </c>
      <c r="D118" s="303">
        <v>4475</v>
      </c>
      <c r="E118" s="303">
        <v>4542</v>
      </c>
      <c r="F118" s="303">
        <v>29541</v>
      </c>
      <c r="G118" s="304" t="s">
        <v>1222</v>
      </c>
      <c r="H118" s="303">
        <v>992538</v>
      </c>
      <c r="I118" s="304" t="s">
        <v>1222</v>
      </c>
      <c r="J118" s="287"/>
    </row>
    <row r="119" spans="1:10" ht="15" customHeight="1">
      <c r="A119" s="301" t="s">
        <v>1254</v>
      </c>
      <c r="B119" s="302" t="s">
        <v>1255</v>
      </c>
      <c r="C119" s="302" t="s">
        <v>1225</v>
      </c>
      <c r="D119" s="303">
        <v>2653</v>
      </c>
      <c r="E119" s="303">
        <v>2819</v>
      </c>
      <c r="F119" s="303">
        <v>35233</v>
      </c>
      <c r="G119" s="304" t="s">
        <v>1222</v>
      </c>
      <c r="H119" s="303">
        <v>1204379</v>
      </c>
      <c r="I119" s="304" t="s">
        <v>1222</v>
      </c>
      <c r="J119" s="287"/>
    </row>
    <row r="120" spans="1:10" ht="15" customHeight="1">
      <c r="A120" s="301" t="s">
        <v>1254</v>
      </c>
      <c r="B120" s="302" t="s">
        <v>1255</v>
      </c>
      <c r="C120" s="302" t="s">
        <v>1226</v>
      </c>
      <c r="D120" s="303">
        <v>20971</v>
      </c>
      <c r="E120" s="303">
        <v>21229</v>
      </c>
      <c r="F120" s="303">
        <v>89177</v>
      </c>
      <c r="G120" s="304" t="s">
        <v>1222</v>
      </c>
      <c r="H120" s="303">
        <v>3154851</v>
      </c>
      <c r="I120" s="304" t="s">
        <v>1222</v>
      </c>
      <c r="J120" s="287"/>
    </row>
    <row r="121" spans="1:10" ht="15" customHeight="1">
      <c r="A121" s="301" t="s">
        <v>1254</v>
      </c>
      <c r="B121" s="302" t="s">
        <v>1255</v>
      </c>
      <c r="C121" s="302" t="s">
        <v>1227</v>
      </c>
      <c r="D121" s="303">
        <v>2415</v>
      </c>
      <c r="E121" s="303">
        <v>3416</v>
      </c>
      <c r="F121" s="303">
        <v>91959</v>
      </c>
      <c r="G121" s="304" t="s">
        <v>1222</v>
      </c>
      <c r="H121" s="303">
        <v>3186860</v>
      </c>
      <c r="I121" s="304" t="s">
        <v>1222</v>
      </c>
      <c r="J121" s="287"/>
    </row>
    <row r="122" spans="1:10" ht="15" customHeight="1">
      <c r="A122" s="301" t="s">
        <v>1254</v>
      </c>
      <c r="B122" s="302" t="s">
        <v>1255</v>
      </c>
      <c r="C122" s="302" t="s">
        <v>1228</v>
      </c>
      <c r="D122" s="303">
        <v>604</v>
      </c>
      <c r="E122" s="303">
        <v>1922</v>
      </c>
      <c r="F122" s="303">
        <v>77209</v>
      </c>
      <c r="G122" s="304" t="s">
        <v>1222</v>
      </c>
      <c r="H122" s="303">
        <v>2902178</v>
      </c>
      <c r="I122" s="304" t="s">
        <v>1222</v>
      </c>
      <c r="J122" s="287"/>
    </row>
    <row r="123" spans="1:10" ht="15" customHeight="1">
      <c r="A123" s="301" t="s">
        <v>1254</v>
      </c>
      <c r="B123" s="302" t="s">
        <v>1255</v>
      </c>
      <c r="C123" s="302" t="s">
        <v>1229</v>
      </c>
      <c r="D123" s="303">
        <v>23990</v>
      </c>
      <c r="E123" s="303">
        <v>26567</v>
      </c>
      <c r="F123" s="303">
        <v>258345</v>
      </c>
      <c r="G123" s="304" t="s">
        <v>1222</v>
      </c>
      <c r="H123" s="303">
        <v>9243889</v>
      </c>
      <c r="I123" s="304" t="s">
        <v>1222</v>
      </c>
      <c r="J123" s="287"/>
    </row>
    <row r="124" spans="1:10" ht="15" customHeight="1">
      <c r="A124" s="301" t="s">
        <v>1254</v>
      </c>
      <c r="B124" s="302" t="s">
        <v>1255</v>
      </c>
      <c r="C124" s="302" t="s">
        <v>1230</v>
      </c>
      <c r="D124" s="303">
        <v>933</v>
      </c>
      <c r="E124" s="303">
        <v>4929</v>
      </c>
      <c r="F124" s="303">
        <v>233744</v>
      </c>
      <c r="G124" s="304" t="s">
        <v>1222</v>
      </c>
      <c r="H124" s="303">
        <v>9834664</v>
      </c>
      <c r="I124" s="304" t="s">
        <v>1222</v>
      </c>
      <c r="J124" s="287"/>
    </row>
    <row r="125" spans="1:10" ht="15" customHeight="1">
      <c r="A125" s="301" t="s">
        <v>1256</v>
      </c>
      <c r="B125" s="302" t="s">
        <v>1057</v>
      </c>
      <c r="C125" s="302" t="s">
        <v>1221</v>
      </c>
      <c r="D125" s="303">
        <v>35966</v>
      </c>
      <c r="E125" s="303">
        <v>42899</v>
      </c>
      <c r="F125" s="303">
        <v>493786</v>
      </c>
      <c r="G125" s="304" t="s">
        <v>1222</v>
      </c>
      <c r="H125" s="303">
        <v>17605429</v>
      </c>
      <c r="I125" s="304" t="s">
        <v>1222</v>
      </c>
      <c r="J125" s="287"/>
    </row>
    <row r="126" spans="1:10" ht="15" customHeight="1">
      <c r="A126" s="301" t="s">
        <v>1256</v>
      </c>
      <c r="B126" s="302" t="s">
        <v>1057</v>
      </c>
      <c r="C126" s="302" t="s">
        <v>1223</v>
      </c>
      <c r="D126" s="303">
        <v>22041</v>
      </c>
      <c r="E126" s="303">
        <v>22051</v>
      </c>
      <c r="F126" s="303">
        <v>34658</v>
      </c>
      <c r="G126" s="304" t="s">
        <v>1222</v>
      </c>
      <c r="H126" s="303">
        <v>1124111</v>
      </c>
      <c r="I126" s="304" t="s">
        <v>1222</v>
      </c>
      <c r="J126" s="287"/>
    </row>
    <row r="127" spans="1:10" ht="15" customHeight="1">
      <c r="A127" s="301" t="s">
        <v>1256</v>
      </c>
      <c r="B127" s="302" t="s">
        <v>1057</v>
      </c>
      <c r="C127" s="302" t="s">
        <v>1224</v>
      </c>
      <c r="D127" s="303">
        <v>5891</v>
      </c>
      <c r="E127" s="303">
        <v>5951</v>
      </c>
      <c r="F127" s="303">
        <v>38853</v>
      </c>
      <c r="G127" s="304" t="s">
        <v>1222</v>
      </c>
      <c r="H127" s="303">
        <v>1097252</v>
      </c>
      <c r="I127" s="304" t="s">
        <v>1222</v>
      </c>
      <c r="J127" s="287"/>
    </row>
    <row r="128" spans="1:10" ht="15" customHeight="1">
      <c r="A128" s="301" t="s">
        <v>1256</v>
      </c>
      <c r="B128" s="302" t="s">
        <v>1057</v>
      </c>
      <c r="C128" s="302" t="s">
        <v>1225</v>
      </c>
      <c r="D128" s="303">
        <v>3403</v>
      </c>
      <c r="E128" s="303">
        <v>3596</v>
      </c>
      <c r="F128" s="303">
        <v>44560</v>
      </c>
      <c r="G128" s="304" t="s">
        <v>1222</v>
      </c>
      <c r="H128" s="303">
        <v>1303661</v>
      </c>
      <c r="I128" s="304" t="s">
        <v>1222</v>
      </c>
      <c r="J128" s="287"/>
    </row>
    <row r="129" spans="1:10" ht="15" customHeight="1">
      <c r="A129" s="301" t="s">
        <v>1256</v>
      </c>
      <c r="B129" s="302" t="s">
        <v>1057</v>
      </c>
      <c r="C129" s="302" t="s">
        <v>1226</v>
      </c>
      <c r="D129" s="303">
        <v>31335</v>
      </c>
      <c r="E129" s="303">
        <v>31598</v>
      </c>
      <c r="F129" s="303">
        <v>118071</v>
      </c>
      <c r="G129" s="304" t="s">
        <v>1222</v>
      </c>
      <c r="H129" s="303">
        <v>3525024</v>
      </c>
      <c r="I129" s="304" t="s">
        <v>1222</v>
      </c>
      <c r="J129" s="287"/>
    </row>
    <row r="130" spans="1:10" ht="15" customHeight="1">
      <c r="A130" s="301" t="s">
        <v>1256</v>
      </c>
      <c r="B130" s="302" t="s">
        <v>1057</v>
      </c>
      <c r="C130" s="302" t="s">
        <v>1227</v>
      </c>
      <c r="D130" s="303">
        <v>2697</v>
      </c>
      <c r="E130" s="303">
        <v>3831</v>
      </c>
      <c r="F130" s="303">
        <v>92911</v>
      </c>
      <c r="G130" s="304" t="s">
        <v>1222</v>
      </c>
      <c r="H130" s="303">
        <v>2942612</v>
      </c>
      <c r="I130" s="304" t="s">
        <v>1222</v>
      </c>
      <c r="J130" s="287"/>
    </row>
    <row r="131" spans="1:10" ht="15" customHeight="1">
      <c r="A131" s="301" t="s">
        <v>1256</v>
      </c>
      <c r="B131" s="302" t="s">
        <v>1057</v>
      </c>
      <c r="C131" s="302" t="s">
        <v>1228</v>
      </c>
      <c r="D131" s="303">
        <v>737</v>
      </c>
      <c r="E131" s="303">
        <v>2147</v>
      </c>
      <c r="F131" s="303">
        <v>67118</v>
      </c>
      <c r="G131" s="304" t="s">
        <v>1222</v>
      </c>
      <c r="H131" s="303">
        <v>2171373</v>
      </c>
      <c r="I131" s="304" t="s">
        <v>1222</v>
      </c>
      <c r="J131" s="287"/>
    </row>
    <row r="132" spans="1:10" ht="15" customHeight="1">
      <c r="A132" s="301" t="s">
        <v>1256</v>
      </c>
      <c r="B132" s="302" t="s">
        <v>1057</v>
      </c>
      <c r="C132" s="302" t="s">
        <v>1229</v>
      </c>
      <c r="D132" s="303">
        <v>34769</v>
      </c>
      <c r="E132" s="303">
        <v>37576</v>
      </c>
      <c r="F132" s="303">
        <v>278100</v>
      </c>
      <c r="G132" s="304" t="s">
        <v>1222</v>
      </c>
      <c r="H132" s="303">
        <v>8639009</v>
      </c>
      <c r="I132" s="304" t="s">
        <v>1222</v>
      </c>
      <c r="J132" s="287"/>
    </row>
    <row r="133" spans="1:10" ht="15" customHeight="1">
      <c r="A133" s="301" t="s">
        <v>1256</v>
      </c>
      <c r="B133" s="302" t="s">
        <v>1057</v>
      </c>
      <c r="C133" s="302" t="s">
        <v>1230</v>
      </c>
      <c r="D133" s="303">
        <v>1197</v>
      </c>
      <c r="E133" s="303">
        <v>5323</v>
      </c>
      <c r="F133" s="303">
        <v>215686</v>
      </c>
      <c r="G133" s="304" t="s">
        <v>1222</v>
      </c>
      <c r="H133" s="303">
        <v>8966420</v>
      </c>
      <c r="I133" s="304" t="s">
        <v>1222</v>
      </c>
      <c r="J133" s="287"/>
    </row>
    <row r="134" spans="1:10" ht="15" customHeight="1">
      <c r="A134" s="301" t="s">
        <v>1257</v>
      </c>
      <c r="B134" s="302" t="s">
        <v>1258</v>
      </c>
      <c r="C134" s="302" t="s">
        <v>1221</v>
      </c>
      <c r="D134" s="303">
        <v>253146</v>
      </c>
      <c r="E134" s="303">
        <v>314199</v>
      </c>
      <c r="F134" s="303">
        <v>5119826</v>
      </c>
      <c r="G134" s="304" t="s">
        <v>1222</v>
      </c>
      <c r="H134" s="303">
        <v>255694139</v>
      </c>
      <c r="I134" s="304" t="s">
        <v>1222</v>
      </c>
      <c r="J134" s="287"/>
    </row>
    <row r="135" spans="1:10" ht="15" customHeight="1">
      <c r="A135" s="301" t="s">
        <v>1257</v>
      </c>
      <c r="B135" s="302" t="s">
        <v>1258</v>
      </c>
      <c r="C135" s="302" t="s">
        <v>1223</v>
      </c>
      <c r="D135" s="303">
        <v>155238</v>
      </c>
      <c r="E135" s="303">
        <v>155402</v>
      </c>
      <c r="F135" s="303">
        <v>246620</v>
      </c>
      <c r="G135" s="304" t="s">
        <v>1237</v>
      </c>
      <c r="H135" s="303">
        <v>10779777</v>
      </c>
      <c r="I135" s="304" t="s">
        <v>1222</v>
      </c>
      <c r="J135" s="287"/>
    </row>
    <row r="136" spans="1:10" ht="15" customHeight="1">
      <c r="A136" s="301" t="s">
        <v>1257</v>
      </c>
      <c r="B136" s="302" t="s">
        <v>1258</v>
      </c>
      <c r="C136" s="302" t="s">
        <v>1224</v>
      </c>
      <c r="D136" s="303">
        <v>40130</v>
      </c>
      <c r="E136" s="303">
        <v>40514</v>
      </c>
      <c r="F136" s="303">
        <v>263015</v>
      </c>
      <c r="G136" s="304" t="s">
        <v>1222</v>
      </c>
      <c r="H136" s="303">
        <v>9758161</v>
      </c>
      <c r="I136" s="304" t="s">
        <v>1222</v>
      </c>
      <c r="J136" s="287"/>
    </row>
    <row r="137" spans="1:10" ht="15" customHeight="1">
      <c r="A137" s="301" t="s">
        <v>1257</v>
      </c>
      <c r="B137" s="302" t="s">
        <v>1258</v>
      </c>
      <c r="C137" s="302" t="s">
        <v>1225</v>
      </c>
      <c r="D137" s="303">
        <v>24563</v>
      </c>
      <c r="E137" s="303">
        <v>25780</v>
      </c>
      <c r="F137" s="303">
        <v>327198</v>
      </c>
      <c r="G137" s="304" t="s">
        <v>1222</v>
      </c>
      <c r="H137" s="303">
        <v>13023031</v>
      </c>
      <c r="I137" s="304" t="s">
        <v>1222</v>
      </c>
      <c r="J137" s="287"/>
    </row>
    <row r="138" spans="1:10" ht="15" customHeight="1">
      <c r="A138" s="301" t="s">
        <v>1257</v>
      </c>
      <c r="B138" s="302" t="s">
        <v>1258</v>
      </c>
      <c r="C138" s="302" t="s">
        <v>1226</v>
      </c>
      <c r="D138" s="303">
        <v>219931</v>
      </c>
      <c r="E138" s="303">
        <v>221696</v>
      </c>
      <c r="F138" s="303">
        <v>836833</v>
      </c>
      <c r="G138" s="304" t="s">
        <v>1222</v>
      </c>
      <c r="H138" s="303">
        <v>33560969</v>
      </c>
      <c r="I138" s="304" t="s">
        <v>1222</v>
      </c>
      <c r="J138" s="287"/>
    </row>
    <row r="139" spans="1:10" ht="15" customHeight="1">
      <c r="A139" s="301" t="s">
        <v>1257</v>
      </c>
      <c r="B139" s="302" t="s">
        <v>1258</v>
      </c>
      <c r="C139" s="302" t="s">
        <v>1227</v>
      </c>
      <c r="D139" s="303">
        <v>22844</v>
      </c>
      <c r="E139" s="303">
        <v>29163</v>
      </c>
      <c r="F139" s="303">
        <v>850612</v>
      </c>
      <c r="G139" s="304" t="s">
        <v>1222</v>
      </c>
      <c r="H139" s="303">
        <v>37370500</v>
      </c>
      <c r="I139" s="304" t="s">
        <v>1222</v>
      </c>
      <c r="J139" s="287"/>
    </row>
    <row r="140" spans="1:10" ht="15" customHeight="1">
      <c r="A140" s="301" t="s">
        <v>1257</v>
      </c>
      <c r="B140" s="302" t="s">
        <v>1258</v>
      </c>
      <c r="C140" s="302" t="s">
        <v>1228</v>
      </c>
      <c r="D140" s="303">
        <v>5914</v>
      </c>
      <c r="E140" s="303">
        <v>15310</v>
      </c>
      <c r="F140" s="303">
        <v>729929</v>
      </c>
      <c r="G140" s="304" t="s">
        <v>1222</v>
      </c>
      <c r="H140" s="303">
        <v>35393378</v>
      </c>
      <c r="I140" s="304" t="s">
        <v>1222</v>
      </c>
      <c r="J140" s="287"/>
    </row>
    <row r="141" spans="1:10" ht="15" customHeight="1">
      <c r="A141" s="301" t="s">
        <v>1257</v>
      </c>
      <c r="B141" s="302" t="s">
        <v>1258</v>
      </c>
      <c r="C141" s="302" t="s">
        <v>1229</v>
      </c>
      <c r="D141" s="303">
        <v>248689</v>
      </c>
      <c r="E141" s="303">
        <v>266169</v>
      </c>
      <c r="F141" s="303">
        <v>2417374</v>
      </c>
      <c r="G141" s="304" t="s">
        <v>1222</v>
      </c>
      <c r="H141" s="303">
        <v>106324847</v>
      </c>
      <c r="I141" s="304" t="s">
        <v>1222</v>
      </c>
      <c r="J141" s="287"/>
    </row>
    <row r="142" spans="1:10" ht="15" customHeight="1">
      <c r="A142" s="301" t="s">
        <v>1257</v>
      </c>
      <c r="B142" s="302" t="s">
        <v>1258</v>
      </c>
      <c r="C142" s="302" t="s">
        <v>1230</v>
      </c>
      <c r="D142" s="303">
        <v>4457</v>
      </c>
      <c r="E142" s="303">
        <v>48030</v>
      </c>
      <c r="F142" s="303">
        <v>2702452</v>
      </c>
      <c r="G142" s="304" t="s">
        <v>1222</v>
      </c>
      <c r="H142" s="303">
        <v>149369292</v>
      </c>
      <c r="I142" s="304" t="s">
        <v>1222</v>
      </c>
      <c r="J142" s="287"/>
    </row>
    <row r="143" spans="1:10" ht="15" customHeight="1">
      <c r="A143" s="301" t="s">
        <v>1259</v>
      </c>
      <c r="B143" s="302" t="s">
        <v>1260</v>
      </c>
      <c r="C143" s="302" t="s">
        <v>1221</v>
      </c>
      <c r="D143" s="303">
        <v>109104</v>
      </c>
      <c r="E143" s="303">
        <v>143974</v>
      </c>
      <c r="F143" s="303">
        <v>2512908</v>
      </c>
      <c r="G143" s="304" t="s">
        <v>1222</v>
      </c>
      <c r="H143" s="303">
        <v>99677281</v>
      </c>
      <c r="I143" s="304" t="s">
        <v>1222</v>
      </c>
      <c r="J143" s="287"/>
    </row>
    <row r="144" spans="1:10" ht="15" customHeight="1">
      <c r="A144" s="301" t="s">
        <v>1259</v>
      </c>
      <c r="B144" s="302" t="s">
        <v>1260</v>
      </c>
      <c r="C144" s="302" t="s">
        <v>1223</v>
      </c>
      <c r="D144" s="303">
        <v>59981</v>
      </c>
      <c r="E144" s="303">
        <v>60045</v>
      </c>
      <c r="F144" s="303">
        <v>105109</v>
      </c>
      <c r="G144" s="304" t="s">
        <v>1222</v>
      </c>
      <c r="H144" s="303">
        <v>3377169</v>
      </c>
      <c r="I144" s="304" t="s">
        <v>1222</v>
      </c>
      <c r="J144" s="287"/>
    </row>
    <row r="145" spans="1:10" ht="15" customHeight="1">
      <c r="A145" s="301" t="s">
        <v>1259</v>
      </c>
      <c r="B145" s="302" t="s">
        <v>1260</v>
      </c>
      <c r="C145" s="302" t="s">
        <v>1224</v>
      </c>
      <c r="D145" s="303">
        <v>19826</v>
      </c>
      <c r="E145" s="303">
        <v>20047</v>
      </c>
      <c r="F145" s="303">
        <v>130583</v>
      </c>
      <c r="G145" s="304" t="s">
        <v>1222</v>
      </c>
      <c r="H145" s="303">
        <v>3845351</v>
      </c>
      <c r="I145" s="304" t="s">
        <v>1222</v>
      </c>
      <c r="J145" s="287"/>
    </row>
    <row r="146" spans="1:10" ht="15" customHeight="1">
      <c r="A146" s="301" t="s">
        <v>1259</v>
      </c>
      <c r="B146" s="302" t="s">
        <v>1260</v>
      </c>
      <c r="C146" s="302" t="s">
        <v>1225</v>
      </c>
      <c r="D146" s="303">
        <v>12250</v>
      </c>
      <c r="E146" s="303">
        <v>12943</v>
      </c>
      <c r="F146" s="303">
        <v>163160</v>
      </c>
      <c r="G146" s="304" t="s">
        <v>1222</v>
      </c>
      <c r="H146" s="303">
        <v>5174565</v>
      </c>
      <c r="I146" s="304" t="s">
        <v>1222</v>
      </c>
      <c r="J146" s="287"/>
    </row>
    <row r="147" spans="1:10" ht="15" customHeight="1">
      <c r="A147" s="301" t="s">
        <v>1259</v>
      </c>
      <c r="B147" s="302" t="s">
        <v>1260</v>
      </c>
      <c r="C147" s="302" t="s">
        <v>1226</v>
      </c>
      <c r="D147" s="303">
        <v>92057</v>
      </c>
      <c r="E147" s="303">
        <v>93035</v>
      </c>
      <c r="F147" s="303">
        <v>398852</v>
      </c>
      <c r="G147" s="304" t="s">
        <v>1222</v>
      </c>
      <c r="H147" s="303">
        <v>12397085</v>
      </c>
      <c r="I147" s="304" t="s">
        <v>1222</v>
      </c>
      <c r="J147" s="287"/>
    </row>
    <row r="148" spans="1:10" ht="15" customHeight="1">
      <c r="A148" s="301" t="s">
        <v>1259</v>
      </c>
      <c r="B148" s="302" t="s">
        <v>1260</v>
      </c>
      <c r="C148" s="302" t="s">
        <v>1227</v>
      </c>
      <c r="D148" s="303">
        <v>11083</v>
      </c>
      <c r="E148" s="303">
        <v>14823</v>
      </c>
      <c r="F148" s="303">
        <v>408082</v>
      </c>
      <c r="G148" s="304" t="s">
        <v>1222</v>
      </c>
      <c r="H148" s="303">
        <v>14223863</v>
      </c>
      <c r="I148" s="304" t="s">
        <v>1222</v>
      </c>
      <c r="J148" s="287"/>
    </row>
    <row r="149" spans="1:10" ht="15" customHeight="1">
      <c r="A149" s="301" t="s">
        <v>1259</v>
      </c>
      <c r="B149" s="302" t="s">
        <v>1260</v>
      </c>
      <c r="C149" s="302" t="s">
        <v>1228</v>
      </c>
      <c r="D149" s="303">
        <v>2957</v>
      </c>
      <c r="E149" s="303">
        <v>8764</v>
      </c>
      <c r="F149" s="303">
        <v>366692</v>
      </c>
      <c r="G149" s="304" t="s">
        <v>1222</v>
      </c>
      <c r="H149" s="303">
        <v>14137083</v>
      </c>
      <c r="I149" s="304" t="s">
        <v>1222</v>
      </c>
      <c r="J149" s="287"/>
    </row>
    <row r="150" spans="1:10" ht="15" customHeight="1">
      <c r="A150" s="301" t="s">
        <v>1259</v>
      </c>
      <c r="B150" s="302" t="s">
        <v>1260</v>
      </c>
      <c r="C150" s="302" t="s">
        <v>1229</v>
      </c>
      <c r="D150" s="303">
        <v>106097</v>
      </c>
      <c r="E150" s="303">
        <v>116622</v>
      </c>
      <c r="F150" s="303">
        <v>1173626</v>
      </c>
      <c r="G150" s="304" t="s">
        <v>1222</v>
      </c>
      <c r="H150" s="303">
        <v>40758031</v>
      </c>
      <c r="I150" s="304" t="s">
        <v>1222</v>
      </c>
      <c r="J150" s="287"/>
    </row>
    <row r="151" spans="1:10" ht="15" customHeight="1">
      <c r="A151" s="301" t="s">
        <v>1259</v>
      </c>
      <c r="B151" s="302" t="s">
        <v>1260</v>
      </c>
      <c r="C151" s="302" t="s">
        <v>1230</v>
      </c>
      <c r="D151" s="303">
        <v>3007</v>
      </c>
      <c r="E151" s="303">
        <v>27352</v>
      </c>
      <c r="F151" s="303">
        <v>1339282</v>
      </c>
      <c r="G151" s="304" t="s">
        <v>1222</v>
      </c>
      <c r="H151" s="303">
        <v>58919250</v>
      </c>
      <c r="I151" s="304" t="s">
        <v>1222</v>
      </c>
      <c r="J151" s="287"/>
    </row>
    <row r="152" spans="1:10" ht="15" customHeight="1">
      <c r="A152" s="301" t="s">
        <v>1261</v>
      </c>
      <c r="B152" s="302" t="s">
        <v>1262</v>
      </c>
      <c r="C152" s="302" t="s">
        <v>1221</v>
      </c>
      <c r="D152" s="303">
        <v>62724</v>
      </c>
      <c r="E152" s="303">
        <v>80649</v>
      </c>
      <c r="F152" s="303">
        <v>1293694</v>
      </c>
      <c r="G152" s="304" t="s">
        <v>1222</v>
      </c>
      <c r="H152" s="303">
        <v>48946464</v>
      </c>
      <c r="I152" s="304" t="s">
        <v>1222</v>
      </c>
      <c r="J152" s="287"/>
    </row>
    <row r="153" spans="1:10" ht="15" customHeight="1">
      <c r="A153" s="301" t="s">
        <v>1261</v>
      </c>
      <c r="B153" s="302" t="s">
        <v>1262</v>
      </c>
      <c r="C153" s="302" t="s">
        <v>1223</v>
      </c>
      <c r="D153" s="303">
        <v>35874</v>
      </c>
      <c r="E153" s="303">
        <v>35907</v>
      </c>
      <c r="F153" s="303">
        <v>62072</v>
      </c>
      <c r="G153" s="304" t="s">
        <v>1222</v>
      </c>
      <c r="H153" s="303">
        <v>1898057</v>
      </c>
      <c r="I153" s="304" t="s">
        <v>1222</v>
      </c>
      <c r="J153" s="287"/>
    </row>
    <row r="154" spans="1:10" ht="15" customHeight="1">
      <c r="A154" s="301" t="s">
        <v>1261</v>
      </c>
      <c r="B154" s="302" t="s">
        <v>1262</v>
      </c>
      <c r="C154" s="302" t="s">
        <v>1224</v>
      </c>
      <c r="D154" s="303">
        <v>10935</v>
      </c>
      <c r="E154" s="303">
        <v>11069</v>
      </c>
      <c r="F154" s="303">
        <v>71506</v>
      </c>
      <c r="G154" s="304" t="s">
        <v>1222</v>
      </c>
      <c r="H154" s="303">
        <v>2036296</v>
      </c>
      <c r="I154" s="304" t="s">
        <v>1222</v>
      </c>
      <c r="J154" s="287"/>
    </row>
    <row r="155" spans="1:10" ht="15" customHeight="1">
      <c r="A155" s="301" t="s">
        <v>1261</v>
      </c>
      <c r="B155" s="302" t="s">
        <v>1262</v>
      </c>
      <c r="C155" s="302" t="s">
        <v>1225</v>
      </c>
      <c r="D155" s="303">
        <v>6694</v>
      </c>
      <c r="E155" s="303">
        <v>7223</v>
      </c>
      <c r="F155" s="303">
        <v>88787</v>
      </c>
      <c r="G155" s="304" t="s">
        <v>1222</v>
      </c>
      <c r="H155" s="303">
        <v>2732890</v>
      </c>
      <c r="I155" s="304" t="s">
        <v>1222</v>
      </c>
      <c r="J155" s="287"/>
    </row>
    <row r="156" spans="1:10" ht="15" customHeight="1">
      <c r="A156" s="301" t="s">
        <v>1261</v>
      </c>
      <c r="B156" s="302" t="s">
        <v>1262</v>
      </c>
      <c r="C156" s="302" t="s">
        <v>1226</v>
      </c>
      <c r="D156" s="303">
        <v>53503</v>
      </c>
      <c r="E156" s="303">
        <v>54199</v>
      </c>
      <c r="F156" s="303">
        <v>222365</v>
      </c>
      <c r="G156" s="304" t="s">
        <v>1222</v>
      </c>
      <c r="H156" s="303">
        <v>6667243</v>
      </c>
      <c r="I156" s="304" t="s">
        <v>1222</v>
      </c>
      <c r="J156" s="287"/>
    </row>
    <row r="157" spans="1:10" ht="15" customHeight="1">
      <c r="A157" s="301" t="s">
        <v>1261</v>
      </c>
      <c r="B157" s="302" t="s">
        <v>1262</v>
      </c>
      <c r="C157" s="302" t="s">
        <v>1227</v>
      </c>
      <c r="D157" s="303">
        <v>5821</v>
      </c>
      <c r="E157" s="303">
        <v>8864</v>
      </c>
      <c r="F157" s="303">
        <v>214754</v>
      </c>
      <c r="G157" s="304" t="s">
        <v>1222</v>
      </c>
      <c r="H157" s="303">
        <v>7404702</v>
      </c>
      <c r="I157" s="304" t="s">
        <v>1222</v>
      </c>
      <c r="J157" s="287"/>
    </row>
    <row r="158" spans="1:10" ht="15" customHeight="1">
      <c r="A158" s="301" t="s">
        <v>1261</v>
      </c>
      <c r="B158" s="302" t="s">
        <v>1262</v>
      </c>
      <c r="C158" s="302" t="s">
        <v>1228</v>
      </c>
      <c r="D158" s="303">
        <v>1592</v>
      </c>
      <c r="E158" s="303">
        <v>5493</v>
      </c>
      <c r="F158" s="303">
        <v>200718</v>
      </c>
      <c r="G158" s="304" t="s">
        <v>1222</v>
      </c>
      <c r="H158" s="303">
        <v>7872524</v>
      </c>
      <c r="I158" s="304" t="s">
        <v>1222</v>
      </c>
      <c r="J158" s="287"/>
    </row>
    <row r="159" spans="1:10" ht="15" customHeight="1">
      <c r="A159" s="301" t="s">
        <v>1261</v>
      </c>
      <c r="B159" s="302" t="s">
        <v>1262</v>
      </c>
      <c r="C159" s="302" t="s">
        <v>1229</v>
      </c>
      <c r="D159" s="303">
        <v>60916</v>
      </c>
      <c r="E159" s="303">
        <v>68556</v>
      </c>
      <c r="F159" s="303">
        <v>637837</v>
      </c>
      <c r="G159" s="304" t="s">
        <v>1222</v>
      </c>
      <c r="H159" s="303">
        <v>21944469</v>
      </c>
      <c r="I159" s="304" t="s">
        <v>1222</v>
      </c>
      <c r="J159" s="287"/>
    </row>
    <row r="160" spans="1:10" ht="15" customHeight="1">
      <c r="A160" s="301" t="s">
        <v>1261</v>
      </c>
      <c r="B160" s="302" t="s">
        <v>1262</v>
      </c>
      <c r="C160" s="302" t="s">
        <v>1230</v>
      </c>
      <c r="D160" s="303">
        <v>1808</v>
      </c>
      <c r="E160" s="303">
        <v>12093</v>
      </c>
      <c r="F160" s="303">
        <v>655857</v>
      </c>
      <c r="G160" s="304" t="s">
        <v>1222</v>
      </c>
      <c r="H160" s="303">
        <v>27001995</v>
      </c>
      <c r="I160" s="304" t="s">
        <v>1222</v>
      </c>
      <c r="J160" s="287"/>
    </row>
    <row r="161" spans="1:10" ht="15" customHeight="1">
      <c r="A161" s="301" t="s">
        <v>1263</v>
      </c>
      <c r="B161" s="302" t="s">
        <v>1264</v>
      </c>
      <c r="C161" s="302" t="s">
        <v>1221</v>
      </c>
      <c r="D161" s="303">
        <v>58159</v>
      </c>
      <c r="E161" s="303">
        <v>73944</v>
      </c>
      <c r="F161" s="303">
        <v>1134216</v>
      </c>
      <c r="G161" s="304" t="s">
        <v>1222</v>
      </c>
      <c r="H161" s="303">
        <v>45608072</v>
      </c>
      <c r="I161" s="304" t="s">
        <v>1222</v>
      </c>
      <c r="J161" s="287"/>
    </row>
    <row r="162" spans="1:10" ht="15" customHeight="1">
      <c r="A162" s="301" t="s">
        <v>1263</v>
      </c>
      <c r="B162" s="302" t="s">
        <v>1264</v>
      </c>
      <c r="C162" s="302" t="s">
        <v>1223</v>
      </c>
      <c r="D162" s="303">
        <v>32744</v>
      </c>
      <c r="E162" s="303">
        <v>32798</v>
      </c>
      <c r="F162" s="303">
        <v>56817</v>
      </c>
      <c r="G162" s="304" t="s">
        <v>1222</v>
      </c>
      <c r="H162" s="303">
        <v>1856582</v>
      </c>
      <c r="I162" s="304" t="s">
        <v>1222</v>
      </c>
      <c r="J162" s="287"/>
    </row>
    <row r="163" spans="1:10" ht="15" customHeight="1">
      <c r="A163" s="301" t="s">
        <v>1263</v>
      </c>
      <c r="B163" s="302" t="s">
        <v>1264</v>
      </c>
      <c r="C163" s="302" t="s">
        <v>1224</v>
      </c>
      <c r="D163" s="303">
        <v>10018</v>
      </c>
      <c r="E163" s="303">
        <v>10120</v>
      </c>
      <c r="F163" s="303">
        <v>65757</v>
      </c>
      <c r="G163" s="304" t="s">
        <v>1222</v>
      </c>
      <c r="H163" s="303">
        <v>1992698</v>
      </c>
      <c r="I163" s="304" t="s">
        <v>1222</v>
      </c>
      <c r="J163" s="287"/>
    </row>
    <row r="164" spans="1:10" ht="15" customHeight="1">
      <c r="A164" s="301" t="s">
        <v>1263</v>
      </c>
      <c r="B164" s="302" t="s">
        <v>1264</v>
      </c>
      <c r="C164" s="302" t="s">
        <v>1225</v>
      </c>
      <c r="D164" s="303">
        <v>6169</v>
      </c>
      <c r="E164" s="303">
        <v>6551</v>
      </c>
      <c r="F164" s="303">
        <v>81736</v>
      </c>
      <c r="G164" s="304" t="s">
        <v>1222</v>
      </c>
      <c r="H164" s="303">
        <v>2712884</v>
      </c>
      <c r="I164" s="304" t="s">
        <v>1222</v>
      </c>
      <c r="J164" s="287"/>
    </row>
    <row r="165" spans="1:10" ht="15" customHeight="1">
      <c r="A165" s="301" t="s">
        <v>1263</v>
      </c>
      <c r="B165" s="302" t="s">
        <v>1264</v>
      </c>
      <c r="C165" s="302" t="s">
        <v>1226</v>
      </c>
      <c r="D165" s="303">
        <v>48931</v>
      </c>
      <c r="E165" s="303">
        <v>49469</v>
      </c>
      <c r="F165" s="303">
        <v>204310</v>
      </c>
      <c r="G165" s="304" t="s">
        <v>1222</v>
      </c>
      <c r="H165" s="303">
        <v>6562164</v>
      </c>
      <c r="I165" s="304" t="s">
        <v>1222</v>
      </c>
      <c r="J165" s="287"/>
    </row>
    <row r="166" spans="1:10" ht="15" customHeight="1">
      <c r="A166" s="301" t="s">
        <v>1263</v>
      </c>
      <c r="B166" s="302" t="s">
        <v>1264</v>
      </c>
      <c r="C166" s="302" t="s">
        <v>1227</v>
      </c>
      <c r="D166" s="303">
        <v>5565</v>
      </c>
      <c r="E166" s="303">
        <v>7841</v>
      </c>
      <c r="F166" s="303">
        <v>202931</v>
      </c>
      <c r="G166" s="304" t="s">
        <v>1222</v>
      </c>
      <c r="H166" s="303">
        <v>7305438</v>
      </c>
      <c r="I166" s="304" t="s">
        <v>1222</v>
      </c>
      <c r="J166" s="287"/>
    </row>
    <row r="167" spans="1:10" ht="15" customHeight="1">
      <c r="A167" s="301" t="s">
        <v>1263</v>
      </c>
      <c r="B167" s="302" t="s">
        <v>1264</v>
      </c>
      <c r="C167" s="302" t="s">
        <v>1228</v>
      </c>
      <c r="D167" s="303">
        <v>1609</v>
      </c>
      <c r="E167" s="303">
        <v>4594</v>
      </c>
      <c r="F167" s="303">
        <v>187807</v>
      </c>
      <c r="G167" s="304" t="s">
        <v>1222</v>
      </c>
      <c r="H167" s="303">
        <v>7256457</v>
      </c>
      <c r="I167" s="304" t="s">
        <v>1222</v>
      </c>
      <c r="J167" s="287"/>
    </row>
    <row r="168" spans="1:10" ht="15" customHeight="1">
      <c r="A168" s="301" t="s">
        <v>1263</v>
      </c>
      <c r="B168" s="302" t="s">
        <v>1264</v>
      </c>
      <c r="C168" s="302" t="s">
        <v>1229</v>
      </c>
      <c r="D168" s="303">
        <v>56105</v>
      </c>
      <c r="E168" s="303">
        <v>61904</v>
      </c>
      <c r="F168" s="303">
        <v>595048</v>
      </c>
      <c r="G168" s="304" t="s">
        <v>1222</v>
      </c>
      <c r="H168" s="303">
        <v>21124059</v>
      </c>
      <c r="I168" s="304" t="s">
        <v>1222</v>
      </c>
      <c r="J168" s="287"/>
    </row>
    <row r="169" spans="1:10" ht="15" customHeight="1">
      <c r="A169" s="301" t="s">
        <v>1263</v>
      </c>
      <c r="B169" s="302" t="s">
        <v>1264</v>
      </c>
      <c r="C169" s="302" t="s">
        <v>1230</v>
      </c>
      <c r="D169" s="303">
        <v>2054</v>
      </c>
      <c r="E169" s="303">
        <v>12040</v>
      </c>
      <c r="F169" s="303">
        <v>539168</v>
      </c>
      <c r="G169" s="304" t="s">
        <v>1222</v>
      </c>
      <c r="H169" s="303">
        <v>24484013</v>
      </c>
      <c r="I169" s="304" t="s">
        <v>1222</v>
      </c>
      <c r="J169" s="287"/>
    </row>
    <row r="170" spans="1:10" ht="15" customHeight="1">
      <c r="A170" s="301" t="s">
        <v>1265</v>
      </c>
      <c r="B170" s="302" t="s">
        <v>1266</v>
      </c>
      <c r="C170" s="302" t="s">
        <v>1221</v>
      </c>
      <c r="D170" s="303">
        <v>67898</v>
      </c>
      <c r="E170" s="303">
        <v>89795</v>
      </c>
      <c r="F170" s="303">
        <v>1481323</v>
      </c>
      <c r="G170" s="304" t="s">
        <v>1222</v>
      </c>
      <c r="H170" s="303">
        <v>56039216</v>
      </c>
      <c r="I170" s="304" t="s">
        <v>1222</v>
      </c>
      <c r="J170" s="287"/>
    </row>
    <row r="171" spans="1:10" ht="15" customHeight="1">
      <c r="A171" s="301" t="s">
        <v>1265</v>
      </c>
      <c r="B171" s="302" t="s">
        <v>1266</v>
      </c>
      <c r="C171" s="302" t="s">
        <v>1223</v>
      </c>
      <c r="D171" s="303">
        <v>37246</v>
      </c>
      <c r="E171" s="303">
        <v>37280</v>
      </c>
      <c r="F171" s="303">
        <v>65877</v>
      </c>
      <c r="G171" s="304" t="s">
        <v>1222</v>
      </c>
      <c r="H171" s="303">
        <v>2027112</v>
      </c>
      <c r="I171" s="304" t="s">
        <v>1222</v>
      </c>
      <c r="J171" s="287"/>
    </row>
    <row r="172" spans="1:10" ht="15" customHeight="1">
      <c r="A172" s="301" t="s">
        <v>1265</v>
      </c>
      <c r="B172" s="302" t="s">
        <v>1266</v>
      </c>
      <c r="C172" s="302" t="s">
        <v>1224</v>
      </c>
      <c r="D172" s="303">
        <v>12212</v>
      </c>
      <c r="E172" s="303">
        <v>12346</v>
      </c>
      <c r="F172" s="303">
        <v>80160</v>
      </c>
      <c r="G172" s="304" t="s">
        <v>1222</v>
      </c>
      <c r="H172" s="303">
        <v>2292921</v>
      </c>
      <c r="I172" s="304" t="s">
        <v>1222</v>
      </c>
      <c r="J172" s="287"/>
    </row>
    <row r="173" spans="1:10" ht="15" customHeight="1">
      <c r="A173" s="301" t="s">
        <v>1265</v>
      </c>
      <c r="B173" s="302" t="s">
        <v>1266</v>
      </c>
      <c r="C173" s="302" t="s">
        <v>1225</v>
      </c>
      <c r="D173" s="303">
        <v>7639</v>
      </c>
      <c r="E173" s="303">
        <v>8043</v>
      </c>
      <c r="F173" s="303">
        <v>101294</v>
      </c>
      <c r="G173" s="304" t="s">
        <v>1222</v>
      </c>
      <c r="H173" s="303">
        <v>3051284</v>
      </c>
      <c r="I173" s="304" t="s">
        <v>1222</v>
      </c>
      <c r="J173" s="287"/>
    </row>
    <row r="174" spans="1:10" ht="15" customHeight="1">
      <c r="A174" s="301" t="s">
        <v>1265</v>
      </c>
      <c r="B174" s="302" t="s">
        <v>1266</v>
      </c>
      <c r="C174" s="302" t="s">
        <v>1226</v>
      </c>
      <c r="D174" s="303">
        <v>57097</v>
      </c>
      <c r="E174" s="303">
        <v>57669</v>
      </c>
      <c r="F174" s="303">
        <v>247331</v>
      </c>
      <c r="G174" s="304" t="s">
        <v>1222</v>
      </c>
      <c r="H174" s="303">
        <v>7371317</v>
      </c>
      <c r="I174" s="304" t="s">
        <v>1222</v>
      </c>
      <c r="J174" s="287"/>
    </row>
    <row r="175" spans="1:10" ht="15" customHeight="1">
      <c r="A175" s="301" t="s">
        <v>1265</v>
      </c>
      <c r="B175" s="302" t="s">
        <v>1266</v>
      </c>
      <c r="C175" s="302" t="s">
        <v>1227</v>
      </c>
      <c r="D175" s="303">
        <v>6621</v>
      </c>
      <c r="E175" s="303">
        <v>9007</v>
      </c>
      <c r="F175" s="303">
        <v>236647</v>
      </c>
      <c r="G175" s="304" t="s">
        <v>1222</v>
      </c>
      <c r="H175" s="303">
        <v>8077905</v>
      </c>
      <c r="I175" s="304" t="s">
        <v>1222</v>
      </c>
      <c r="J175" s="287"/>
    </row>
    <row r="176" spans="1:10" ht="15" customHeight="1">
      <c r="A176" s="301" t="s">
        <v>1265</v>
      </c>
      <c r="B176" s="302" t="s">
        <v>1266</v>
      </c>
      <c r="C176" s="302" t="s">
        <v>1228</v>
      </c>
      <c r="D176" s="303">
        <v>1798</v>
      </c>
      <c r="E176" s="303">
        <v>5234</v>
      </c>
      <c r="F176" s="303">
        <v>202539</v>
      </c>
      <c r="G176" s="304" t="s">
        <v>1222</v>
      </c>
      <c r="H176" s="303">
        <v>7285738</v>
      </c>
      <c r="I176" s="304" t="s">
        <v>1222</v>
      </c>
      <c r="J176" s="287"/>
    </row>
    <row r="177" spans="1:10" ht="15" customHeight="1">
      <c r="A177" s="301" t="s">
        <v>1265</v>
      </c>
      <c r="B177" s="302" t="s">
        <v>1266</v>
      </c>
      <c r="C177" s="302" t="s">
        <v>1229</v>
      </c>
      <c r="D177" s="303">
        <v>65516</v>
      </c>
      <c r="E177" s="303">
        <v>71910</v>
      </c>
      <c r="F177" s="303">
        <v>686517</v>
      </c>
      <c r="G177" s="304" t="s">
        <v>1222</v>
      </c>
      <c r="H177" s="303">
        <v>22734960</v>
      </c>
      <c r="I177" s="304" t="s">
        <v>1222</v>
      </c>
      <c r="J177" s="287"/>
    </row>
    <row r="178" spans="1:10" ht="15" customHeight="1">
      <c r="A178" s="301" t="s">
        <v>1265</v>
      </c>
      <c r="B178" s="302" t="s">
        <v>1266</v>
      </c>
      <c r="C178" s="302" t="s">
        <v>1230</v>
      </c>
      <c r="D178" s="303">
        <v>2382</v>
      </c>
      <c r="E178" s="303">
        <v>17885</v>
      </c>
      <c r="F178" s="303">
        <v>794806</v>
      </c>
      <c r="G178" s="304" t="s">
        <v>1222</v>
      </c>
      <c r="H178" s="303">
        <v>33304256</v>
      </c>
      <c r="I178" s="304" t="s">
        <v>1222</v>
      </c>
      <c r="J178" s="287"/>
    </row>
    <row r="179" spans="1:10" ht="15" customHeight="1">
      <c r="A179" s="301" t="s">
        <v>1267</v>
      </c>
      <c r="B179" s="302" t="s">
        <v>1268</v>
      </c>
      <c r="C179" s="302" t="s">
        <v>1221</v>
      </c>
      <c r="D179" s="303">
        <v>80893</v>
      </c>
      <c r="E179" s="303">
        <v>104059</v>
      </c>
      <c r="F179" s="303">
        <v>1644282</v>
      </c>
      <c r="G179" s="304" t="s">
        <v>1222</v>
      </c>
      <c r="H179" s="303">
        <v>68864331</v>
      </c>
      <c r="I179" s="304" t="s">
        <v>1222</v>
      </c>
      <c r="J179" s="287"/>
    </row>
    <row r="180" spans="1:10" ht="15" customHeight="1">
      <c r="A180" s="301" t="s">
        <v>1267</v>
      </c>
      <c r="B180" s="302" t="s">
        <v>1268</v>
      </c>
      <c r="C180" s="302" t="s">
        <v>1223</v>
      </c>
      <c r="D180" s="303">
        <v>43874</v>
      </c>
      <c r="E180" s="303">
        <v>43924</v>
      </c>
      <c r="F180" s="303">
        <v>78597</v>
      </c>
      <c r="G180" s="304" t="s">
        <v>1222</v>
      </c>
      <c r="H180" s="303">
        <v>2964240</v>
      </c>
      <c r="I180" s="304" t="s">
        <v>1222</v>
      </c>
      <c r="J180" s="287"/>
    </row>
    <row r="181" spans="1:10" ht="15" customHeight="1">
      <c r="A181" s="301" t="s">
        <v>1267</v>
      </c>
      <c r="B181" s="302" t="s">
        <v>1268</v>
      </c>
      <c r="C181" s="302" t="s">
        <v>1224</v>
      </c>
      <c r="D181" s="303">
        <v>15076</v>
      </c>
      <c r="E181" s="303">
        <v>15259</v>
      </c>
      <c r="F181" s="303">
        <v>99479</v>
      </c>
      <c r="G181" s="304" t="s">
        <v>1222</v>
      </c>
      <c r="H181" s="303">
        <v>3131848</v>
      </c>
      <c r="I181" s="304" t="s">
        <v>1222</v>
      </c>
      <c r="J181" s="287"/>
    </row>
    <row r="182" spans="1:10" ht="15" customHeight="1">
      <c r="A182" s="301" t="s">
        <v>1267</v>
      </c>
      <c r="B182" s="302" t="s">
        <v>1268</v>
      </c>
      <c r="C182" s="302" t="s">
        <v>1225</v>
      </c>
      <c r="D182" s="303">
        <v>9151</v>
      </c>
      <c r="E182" s="303">
        <v>9653</v>
      </c>
      <c r="F182" s="303">
        <v>121892</v>
      </c>
      <c r="G182" s="304" t="s">
        <v>1222</v>
      </c>
      <c r="H182" s="303">
        <v>4072272</v>
      </c>
      <c r="I182" s="304" t="s">
        <v>1222</v>
      </c>
      <c r="J182" s="287"/>
    </row>
    <row r="183" spans="1:10" ht="15" customHeight="1">
      <c r="A183" s="301" t="s">
        <v>1267</v>
      </c>
      <c r="B183" s="302" t="s">
        <v>1268</v>
      </c>
      <c r="C183" s="302" t="s">
        <v>1226</v>
      </c>
      <c r="D183" s="303">
        <v>68101</v>
      </c>
      <c r="E183" s="303">
        <v>68836</v>
      </c>
      <c r="F183" s="303">
        <v>299968</v>
      </c>
      <c r="G183" s="304" t="s">
        <v>1222</v>
      </c>
      <c r="H183" s="303">
        <v>10168360</v>
      </c>
      <c r="I183" s="304" t="s">
        <v>1222</v>
      </c>
      <c r="J183" s="287"/>
    </row>
    <row r="184" spans="1:10" ht="15" customHeight="1">
      <c r="A184" s="301" t="s">
        <v>1267</v>
      </c>
      <c r="B184" s="302" t="s">
        <v>1268</v>
      </c>
      <c r="C184" s="302" t="s">
        <v>1227</v>
      </c>
      <c r="D184" s="303">
        <v>8521</v>
      </c>
      <c r="E184" s="303">
        <v>11380</v>
      </c>
      <c r="F184" s="303">
        <v>325173</v>
      </c>
      <c r="G184" s="304" t="s">
        <v>1222</v>
      </c>
      <c r="H184" s="303">
        <v>11723183</v>
      </c>
      <c r="I184" s="304" t="s">
        <v>1222</v>
      </c>
      <c r="J184" s="287"/>
    </row>
    <row r="185" spans="1:10" ht="15" customHeight="1">
      <c r="A185" s="301" t="s">
        <v>1267</v>
      </c>
      <c r="B185" s="302" t="s">
        <v>1268</v>
      </c>
      <c r="C185" s="302" t="s">
        <v>1228</v>
      </c>
      <c r="D185" s="303">
        <v>2098</v>
      </c>
      <c r="E185" s="303">
        <v>5746</v>
      </c>
      <c r="F185" s="303">
        <v>266984</v>
      </c>
      <c r="G185" s="304" t="s">
        <v>1222</v>
      </c>
      <c r="H185" s="303">
        <v>11451551</v>
      </c>
      <c r="I185" s="304" t="s">
        <v>1222</v>
      </c>
      <c r="J185" s="287"/>
    </row>
    <row r="186" spans="1:10" ht="15" customHeight="1">
      <c r="A186" s="301" t="s">
        <v>1267</v>
      </c>
      <c r="B186" s="302" t="s">
        <v>1268</v>
      </c>
      <c r="C186" s="302" t="s">
        <v>1229</v>
      </c>
      <c r="D186" s="303">
        <v>78720</v>
      </c>
      <c r="E186" s="303">
        <v>85962</v>
      </c>
      <c r="F186" s="303">
        <v>892125</v>
      </c>
      <c r="G186" s="304" t="s">
        <v>1222</v>
      </c>
      <c r="H186" s="303">
        <v>33343094</v>
      </c>
      <c r="I186" s="304" t="s">
        <v>1222</v>
      </c>
      <c r="J186" s="287"/>
    </row>
    <row r="187" spans="1:10" ht="15" customHeight="1">
      <c r="A187" s="301" t="s">
        <v>1267</v>
      </c>
      <c r="B187" s="302" t="s">
        <v>1268</v>
      </c>
      <c r="C187" s="302" t="s">
        <v>1230</v>
      </c>
      <c r="D187" s="303">
        <v>2173</v>
      </c>
      <c r="E187" s="303">
        <v>18097</v>
      </c>
      <c r="F187" s="303">
        <v>752157</v>
      </c>
      <c r="G187" s="304" t="s">
        <v>1222</v>
      </c>
      <c r="H187" s="303">
        <v>35521237</v>
      </c>
      <c r="I187" s="304" t="s">
        <v>1222</v>
      </c>
      <c r="J187" s="287"/>
    </row>
    <row r="188" spans="1:10" ht="15" customHeight="1">
      <c r="A188" s="301" t="s">
        <v>1269</v>
      </c>
      <c r="B188" s="302" t="s">
        <v>1270</v>
      </c>
      <c r="C188" s="302" t="s">
        <v>1221</v>
      </c>
      <c r="D188" s="303">
        <v>33078</v>
      </c>
      <c r="E188" s="303">
        <v>40120</v>
      </c>
      <c r="F188" s="303">
        <v>486838</v>
      </c>
      <c r="G188" s="304" t="s">
        <v>1222</v>
      </c>
      <c r="H188" s="303">
        <v>18486234</v>
      </c>
      <c r="I188" s="304" t="s">
        <v>1222</v>
      </c>
      <c r="J188" s="287"/>
    </row>
    <row r="189" spans="1:10" ht="15" customHeight="1">
      <c r="A189" s="301" t="s">
        <v>1269</v>
      </c>
      <c r="B189" s="302" t="s">
        <v>1270</v>
      </c>
      <c r="C189" s="302" t="s">
        <v>1223</v>
      </c>
      <c r="D189" s="303">
        <v>20534</v>
      </c>
      <c r="E189" s="303">
        <v>20563</v>
      </c>
      <c r="F189" s="303">
        <v>32186</v>
      </c>
      <c r="G189" s="304" t="s">
        <v>1222</v>
      </c>
      <c r="H189" s="303">
        <v>1120613</v>
      </c>
      <c r="I189" s="304" t="s">
        <v>1222</v>
      </c>
      <c r="J189" s="287"/>
    </row>
    <row r="190" spans="1:10" ht="15" customHeight="1">
      <c r="A190" s="301" t="s">
        <v>1269</v>
      </c>
      <c r="B190" s="302" t="s">
        <v>1270</v>
      </c>
      <c r="C190" s="302" t="s">
        <v>1224</v>
      </c>
      <c r="D190" s="303">
        <v>5277</v>
      </c>
      <c r="E190" s="303">
        <v>5338</v>
      </c>
      <c r="F190" s="303">
        <v>34638</v>
      </c>
      <c r="G190" s="304" t="s">
        <v>1222</v>
      </c>
      <c r="H190" s="303">
        <v>1071532</v>
      </c>
      <c r="I190" s="304" t="s">
        <v>1222</v>
      </c>
      <c r="J190" s="287"/>
    </row>
    <row r="191" spans="1:10" ht="15" customHeight="1">
      <c r="A191" s="301" t="s">
        <v>1269</v>
      </c>
      <c r="B191" s="302" t="s">
        <v>1270</v>
      </c>
      <c r="C191" s="302" t="s">
        <v>1225</v>
      </c>
      <c r="D191" s="303">
        <v>3102</v>
      </c>
      <c r="E191" s="303">
        <v>3285</v>
      </c>
      <c r="F191" s="303">
        <v>41298</v>
      </c>
      <c r="G191" s="304" t="s">
        <v>1222</v>
      </c>
      <c r="H191" s="303">
        <v>1312278</v>
      </c>
      <c r="I191" s="304" t="s">
        <v>1222</v>
      </c>
      <c r="J191" s="287"/>
    </row>
    <row r="192" spans="1:10" ht="15" customHeight="1">
      <c r="A192" s="301" t="s">
        <v>1269</v>
      </c>
      <c r="B192" s="302" t="s">
        <v>1270</v>
      </c>
      <c r="C192" s="302" t="s">
        <v>1226</v>
      </c>
      <c r="D192" s="303">
        <v>28913</v>
      </c>
      <c r="E192" s="303">
        <v>29186</v>
      </c>
      <c r="F192" s="303">
        <v>108122</v>
      </c>
      <c r="G192" s="304" t="s">
        <v>1222</v>
      </c>
      <c r="H192" s="303">
        <v>3504423</v>
      </c>
      <c r="I192" s="304" t="s">
        <v>1222</v>
      </c>
      <c r="J192" s="287"/>
    </row>
    <row r="193" spans="1:10" ht="15" customHeight="1">
      <c r="A193" s="301" t="s">
        <v>1269</v>
      </c>
      <c r="B193" s="302" t="s">
        <v>1270</v>
      </c>
      <c r="C193" s="302" t="s">
        <v>1227</v>
      </c>
      <c r="D193" s="303">
        <v>2535</v>
      </c>
      <c r="E193" s="303">
        <v>3657</v>
      </c>
      <c r="F193" s="303">
        <v>92581</v>
      </c>
      <c r="G193" s="304" t="s">
        <v>1222</v>
      </c>
      <c r="H193" s="303">
        <v>3166846</v>
      </c>
      <c r="I193" s="304" t="s">
        <v>1222</v>
      </c>
      <c r="J193" s="287"/>
    </row>
    <row r="194" spans="1:10" ht="15" customHeight="1">
      <c r="A194" s="301" t="s">
        <v>1269</v>
      </c>
      <c r="B194" s="302" t="s">
        <v>1270</v>
      </c>
      <c r="C194" s="302" t="s">
        <v>1228</v>
      </c>
      <c r="D194" s="303">
        <v>621</v>
      </c>
      <c r="E194" s="303">
        <v>2262</v>
      </c>
      <c r="F194" s="303">
        <v>78254</v>
      </c>
      <c r="G194" s="304" t="s">
        <v>1222</v>
      </c>
      <c r="H194" s="303">
        <v>2893826</v>
      </c>
      <c r="I194" s="304" t="s">
        <v>1222</v>
      </c>
      <c r="J194" s="287"/>
    </row>
    <row r="195" spans="1:10" ht="15" customHeight="1">
      <c r="A195" s="301" t="s">
        <v>1269</v>
      </c>
      <c r="B195" s="302" t="s">
        <v>1270</v>
      </c>
      <c r="C195" s="302" t="s">
        <v>1229</v>
      </c>
      <c r="D195" s="303">
        <v>32069</v>
      </c>
      <c r="E195" s="303">
        <v>35105</v>
      </c>
      <c r="F195" s="303">
        <v>278957</v>
      </c>
      <c r="G195" s="304" t="s">
        <v>1222</v>
      </c>
      <c r="H195" s="303">
        <v>9565095</v>
      </c>
      <c r="I195" s="304" t="s">
        <v>1222</v>
      </c>
      <c r="J195" s="287"/>
    </row>
    <row r="196" spans="1:10" ht="15" customHeight="1">
      <c r="A196" s="301" t="s">
        <v>1269</v>
      </c>
      <c r="B196" s="302" t="s">
        <v>1270</v>
      </c>
      <c r="C196" s="302" t="s">
        <v>1230</v>
      </c>
      <c r="D196" s="303">
        <v>1009</v>
      </c>
      <c r="E196" s="303">
        <v>5015</v>
      </c>
      <c r="F196" s="303">
        <v>207881</v>
      </c>
      <c r="G196" s="304" t="s">
        <v>1222</v>
      </c>
      <c r="H196" s="303">
        <v>8921139</v>
      </c>
      <c r="I196" s="304" t="s">
        <v>1222</v>
      </c>
      <c r="J196" s="287"/>
    </row>
    <row r="197" spans="1:10" ht="15" customHeight="1">
      <c r="A197" s="301" t="s">
        <v>1271</v>
      </c>
      <c r="B197" s="302" t="s">
        <v>1272</v>
      </c>
      <c r="C197" s="302" t="s">
        <v>1221</v>
      </c>
      <c r="D197" s="303">
        <v>107324</v>
      </c>
      <c r="E197" s="303">
        <v>134305</v>
      </c>
      <c r="F197" s="303">
        <v>2152458</v>
      </c>
      <c r="G197" s="304" t="s">
        <v>1222</v>
      </c>
      <c r="H197" s="303">
        <v>105889051</v>
      </c>
      <c r="I197" s="304" t="s">
        <v>1222</v>
      </c>
      <c r="J197" s="287"/>
    </row>
    <row r="198" spans="1:10" ht="15" customHeight="1">
      <c r="A198" s="301" t="s">
        <v>1271</v>
      </c>
      <c r="B198" s="302" t="s">
        <v>1272</v>
      </c>
      <c r="C198" s="302" t="s">
        <v>1223</v>
      </c>
      <c r="D198" s="303">
        <v>61518</v>
      </c>
      <c r="E198" s="303">
        <v>61585</v>
      </c>
      <c r="F198" s="303">
        <v>104930</v>
      </c>
      <c r="G198" s="304" t="s">
        <v>1222</v>
      </c>
      <c r="H198" s="303">
        <v>4500711</v>
      </c>
      <c r="I198" s="304" t="s">
        <v>1222</v>
      </c>
      <c r="J198" s="287"/>
    </row>
    <row r="199" spans="1:10" ht="15" customHeight="1">
      <c r="A199" s="301" t="s">
        <v>1271</v>
      </c>
      <c r="B199" s="302" t="s">
        <v>1272</v>
      </c>
      <c r="C199" s="302" t="s">
        <v>1224</v>
      </c>
      <c r="D199" s="303">
        <v>18270</v>
      </c>
      <c r="E199" s="303">
        <v>18408</v>
      </c>
      <c r="F199" s="303">
        <v>120138</v>
      </c>
      <c r="G199" s="304" t="s">
        <v>1222</v>
      </c>
      <c r="H199" s="303">
        <v>4585276</v>
      </c>
      <c r="I199" s="304" t="s">
        <v>1222</v>
      </c>
      <c r="J199" s="287"/>
    </row>
    <row r="200" spans="1:10" ht="15" customHeight="1">
      <c r="A200" s="301" t="s">
        <v>1271</v>
      </c>
      <c r="B200" s="302" t="s">
        <v>1272</v>
      </c>
      <c r="C200" s="302" t="s">
        <v>1225</v>
      </c>
      <c r="D200" s="303">
        <v>11427</v>
      </c>
      <c r="E200" s="303">
        <v>11915</v>
      </c>
      <c r="F200" s="303">
        <v>152081</v>
      </c>
      <c r="G200" s="304" t="s">
        <v>1222</v>
      </c>
      <c r="H200" s="303">
        <v>6183127</v>
      </c>
      <c r="I200" s="304" t="s">
        <v>1222</v>
      </c>
      <c r="J200" s="287"/>
    </row>
    <row r="201" spans="1:10" ht="15" customHeight="1">
      <c r="A201" s="301" t="s">
        <v>1271</v>
      </c>
      <c r="B201" s="302" t="s">
        <v>1272</v>
      </c>
      <c r="C201" s="302" t="s">
        <v>1226</v>
      </c>
      <c r="D201" s="303">
        <v>91215</v>
      </c>
      <c r="E201" s="303">
        <v>91908</v>
      </c>
      <c r="F201" s="303">
        <v>377149</v>
      </c>
      <c r="G201" s="304" t="s">
        <v>1222</v>
      </c>
      <c r="H201" s="303">
        <v>15269114</v>
      </c>
      <c r="I201" s="304" t="s">
        <v>1222</v>
      </c>
      <c r="J201" s="287"/>
    </row>
    <row r="202" spans="1:10" ht="15" customHeight="1">
      <c r="A202" s="301" t="s">
        <v>1271</v>
      </c>
      <c r="B202" s="302" t="s">
        <v>1272</v>
      </c>
      <c r="C202" s="302" t="s">
        <v>1227</v>
      </c>
      <c r="D202" s="303">
        <v>10677</v>
      </c>
      <c r="E202" s="303">
        <v>13241</v>
      </c>
      <c r="F202" s="303">
        <v>395709</v>
      </c>
      <c r="G202" s="304" t="s">
        <v>1222</v>
      </c>
      <c r="H202" s="303">
        <v>17708872</v>
      </c>
      <c r="I202" s="304" t="s">
        <v>1222</v>
      </c>
      <c r="J202" s="287"/>
    </row>
    <row r="203" spans="1:10" ht="15" customHeight="1">
      <c r="A203" s="301" t="s">
        <v>1271</v>
      </c>
      <c r="B203" s="302" t="s">
        <v>1272</v>
      </c>
      <c r="C203" s="302" t="s">
        <v>1228</v>
      </c>
      <c r="D203" s="303">
        <v>2711</v>
      </c>
      <c r="E203" s="303">
        <v>6529</v>
      </c>
      <c r="F203" s="303">
        <v>318598</v>
      </c>
      <c r="G203" s="304" t="s">
        <v>1222</v>
      </c>
      <c r="H203" s="303">
        <v>15773833</v>
      </c>
      <c r="I203" s="304" t="s">
        <v>1222</v>
      </c>
      <c r="J203" s="287"/>
    </row>
    <row r="204" spans="1:10" ht="15" customHeight="1">
      <c r="A204" s="301" t="s">
        <v>1271</v>
      </c>
      <c r="B204" s="302" t="s">
        <v>1272</v>
      </c>
      <c r="C204" s="302" t="s">
        <v>1229</v>
      </c>
      <c r="D204" s="303">
        <v>104603</v>
      </c>
      <c r="E204" s="303">
        <v>111678</v>
      </c>
      <c r="F204" s="303">
        <v>1091456</v>
      </c>
      <c r="G204" s="304" t="s">
        <v>1222</v>
      </c>
      <c r="H204" s="303">
        <v>48751819</v>
      </c>
      <c r="I204" s="304" t="s">
        <v>1222</v>
      </c>
      <c r="J204" s="287"/>
    </row>
    <row r="205" spans="1:10" ht="15" customHeight="1">
      <c r="A205" s="301" t="s">
        <v>1271</v>
      </c>
      <c r="B205" s="302" t="s">
        <v>1272</v>
      </c>
      <c r="C205" s="302" t="s">
        <v>1230</v>
      </c>
      <c r="D205" s="303">
        <v>2721</v>
      </c>
      <c r="E205" s="303">
        <v>22627</v>
      </c>
      <c r="F205" s="303">
        <v>1061002</v>
      </c>
      <c r="G205" s="304" t="s">
        <v>1222</v>
      </c>
      <c r="H205" s="303">
        <v>57137232</v>
      </c>
      <c r="I205" s="304" t="s">
        <v>1222</v>
      </c>
      <c r="J205" s="287"/>
    </row>
    <row r="206" spans="1:10" ht="15" customHeight="1">
      <c r="A206" s="301" t="s">
        <v>1273</v>
      </c>
      <c r="B206" s="302" t="s">
        <v>1274</v>
      </c>
      <c r="C206" s="302" t="s">
        <v>1221</v>
      </c>
      <c r="D206" s="303">
        <v>138385</v>
      </c>
      <c r="E206" s="303">
        <v>171278</v>
      </c>
      <c r="F206" s="303">
        <v>3035897</v>
      </c>
      <c r="G206" s="304" t="s">
        <v>1222</v>
      </c>
      <c r="H206" s="303">
        <v>173247358</v>
      </c>
      <c r="I206" s="304" t="s">
        <v>1222</v>
      </c>
      <c r="J206" s="287"/>
    </row>
    <row r="207" spans="1:10" ht="15" customHeight="1">
      <c r="A207" s="301" t="s">
        <v>1273</v>
      </c>
      <c r="B207" s="302" t="s">
        <v>1274</v>
      </c>
      <c r="C207" s="302" t="s">
        <v>1223</v>
      </c>
      <c r="D207" s="303">
        <v>80356</v>
      </c>
      <c r="E207" s="303">
        <v>80445</v>
      </c>
      <c r="F207" s="303">
        <v>136720</v>
      </c>
      <c r="G207" s="304" t="s">
        <v>1222</v>
      </c>
      <c r="H207" s="303">
        <v>6495516</v>
      </c>
      <c r="I207" s="304" t="s">
        <v>1222</v>
      </c>
      <c r="J207" s="287"/>
    </row>
    <row r="208" spans="1:10" ht="15" customHeight="1">
      <c r="A208" s="301" t="s">
        <v>1273</v>
      </c>
      <c r="B208" s="302" t="s">
        <v>1274</v>
      </c>
      <c r="C208" s="302" t="s">
        <v>1224</v>
      </c>
      <c r="D208" s="303">
        <v>24198</v>
      </c>
      <c r="E208" s="303">
        <v>24481</v>
      </c>
      <c r="F208" s="303">
        <v>158783</v>
      </c>
      <c r="G208" s="304" t="s">
        <v>1222</v>
      </c>
      <c r="H208" s="303">
        <v>6570573</v>
      </c>
      <c r="I208" s="304" t="s">
        <v>1222</v>
      </c>
      <c r="J208" s="287"/>
    </row>
    <row r="209" spans="1:10" ht="15" customHeight="1">
      <c r="A209" s="301" t="s">
        <v>1273</v>
      </c>
      <c r="B209" s="302" t="s">
        <v>1274</v>
      </c>
      <c r="C209" s="302" t="s">
        <v>1225</v>
      </c>
      <c r="D209" s="303">
        <v>14493</v>
      </c>
      <c r="E209" s="303">
        <v>15147</v>
      </c>
      <c r="F209" s="303">
        <v>193393</v>
      </c>
      <c r="G209" s="304" t="s">
        <v>1222</v>
      </c>
      <c r="H209" s="303">
        <v>8510528</v>
      </c>
      <c r="I209" s="304" t="s">
        <v>1222</v>
      </c>
      <c r="J209" s="287"/>
    </row>
    <row r="210" spans="1:10" ht="15" customHeight="1">
      <c r="A210" s="301" t="s">
        <v>1273</v>
      </c>
      <c r="B210" s="302" t="s">
        <v>1274</v>
      </c>
      <c r="C210" s="302" t="s">
        <v>1226</v>
      </c>
      <c r="D210" s="303">
        <v>119047</v>
      </c>
      <c r="E210" s="303">
        <v>120073</v>
      </c>
      <c r="F210" s="303">
        <v>488896</v>
      </c>
      <c r="G210" s="304" t="s">
        <v>1222</v>
      </c>
      <c r="H210" s="303">
        <v>21576617</v>
      </c>
      <c r="I210" s="304" t="s">
        <v>1222</v>
      </c>
      <c r="J210" s="287"/>
    </row>
    <row r="211" spans="1:10" ht="15" customHeight="1">
      <c r="A211" s="301" t="s">
        <v>1273</v>
      </c>
      <c r="B211" s="302" t="s">
        <v>1274</v>
      </c>
      <c r="C211" s="302" t="s">
        <v>1227</v>
      </c>
      <c r="D211" s="303">
        <v>12917</v>
      </c>
      <c r="E211" s="303">
        <v>16019</v>
      </c>
      <c r="F211" s="303">
        <v>478514</v>
      </c>
      <c r="G211" s="304" t="s">
        <v>1222</v>
      </c>
      <c r="H211" s="303">
        <v>24473706</v>
      </c>
      <c r="I211" s="304" t="s">
        <v>1222</v>
      </c>
      <c r="J211" s="287"/>
    </row>
    <row r="212" spans="1:10" ht="15" customHeight="1">
      <c r="A212" s="301" t="s">
        <v>1273</v>
      </c>
      <c r="B212" s="302" t="s">
        <v>1274</v>
      </c>
      <c r="C212" s="302" t="s">
        <v>1228</v>
      </c>
      <c r="D212" s="303">
        <v>3401</v>
      </c>
      <c r="E212" s="303">
        <v>8844</v>
      </c>
      <c r="F212" s="303">
        <v>436824</v>
      </c>
      <c r="G212" s="304" t="s">
        <v>1222</v>
      </c>
      <c r="H212" s="303">
        <v>23380857</v>
      </c>
      <c r="I212" s="304" t="s">
        <v>1222</v>
      </c>
      <c r="J212" s="287"/>
    </row>
    <row r="213" spans="1:10" ht="15" customHeight="1">
      <c r="A213" s="301" t="s">
        <v>1273</v>
      </c>
      <c r="B213" s="302" t="s">
        <v>1274</v>
      </c>
      <c r="C213" s="302" t="s">
        <v>1229</v>
      </c>
      <c r="D213" s="303">
        <v>135365</v>
      </c>
      <c r="E213" s="303">
        <v>144936</v>
      </c>
      <c r="F213" s="303">
        <v>1404234</v>
      </c>
      <c r="G213" s="304" t="s">
        <v>1222</v>
      </c>
      <c r="H213" s="303">
        <v>69431180</v>
      </c>
      <c r="I213" s="304" t="s">
        <v>1222</v>
      </c>
      <c r="J213" s="287"/>
    </row>
    <row r="214" spans="1:10" ht="15" customHeight="1">
      <c r="A214" s="301" t="s">
        <v>1273</v>
      </c>
      <c r="B214" s="302" t="s">
        <v>1274</v>
      </c>
      <c r="C214" s="302" t="s">
        <v>1230</v>
      </c>
      <c r="D214" s="303">
        <v>3020</v>
      </c>
      <c r="E214" s="303">
        <v>26342</v>
      </c>
      <c r="F214" s="303">
        <v>1631663</v>
      </c>
      <c r="G214" s="304" t="s">
        <v>1222</v>
      </c>
      <c r="H214" s="303">
        <v>103816178</v>
      </c>
      <c r="I214" s="304" t="s">
        <v>1222</v>
      </c>
      <c r="J214" s="287"/>
    </row>
    <row r="215" spans="1:10" ht="15" customHeight="1">
      <c r="A215" s="301" t="s">
        <v>1275</v>
      </c>
      <c r="B215" s="302" t="s">
        <v>1276</v>
      </c>
      <c r="C215" s="302" t="s">
        <v>1221</v>
      </c>
      <c r="D215" s="303">
        <v>172118</v>
      </c>
      <c r="E215" s="303">
        <v>217440</v>
      </c>
      <c r="F215" s="303">
        <v>3468089</v>
      </c>
      <c r="G215" s="304" t="s">
        <v>1222</v>
      </c>
      <c r="H215" s="303">
        <v>152248431</v>
      </c>
      <c r="I215" s="304" t="s">
        <v>1222</v>
      </c>
      <c r="J215" s="287"/>
    </row>
    <row r="216" spans="1:10" ht="15" customHeight="1">
      <c r="A216" s="301" t="s">
        <v>1275</v>
      </c>
      <c r="B216" s="302" t="s">
        <v>1276</v>
      </c>
      <c r="C216" s="302" t="s">
        <v>1223</v>
      </c>
      <c r="D216" s="303">
        <v>99326</v>
      </c>
      <c r="E216" s="303">
        <v>99418</v>
      </c>
      <c r="F216" s="303">
        <v>167319</v>
      </c>
      <c r="G216" s="304" t="s">
        <v>1222</v>
      </c>
      <c r="H216" s="303">
        <v>6356286</v>
      </c>
      <c r="I216" s="304" t="s">
        <v>1222</v>
      </c>
      <c r="J216" s="287"/>
    </row>
    <row r="217" spans="1:10" ht="15" customHeight="1">
      <c r="A217" s="301" t="s">
        <v>1275</v>
      </c>
      <c r="B217" s="302" t="s">
        <v>1276</v>
      </c>
      <c r="C217" s="302" t="s">
        <v>1224</v>
      </c>
      <c r="D217" s="303">
        <v>31296</v>
      </c>
      <c r="E217" s="303">
        <v>31587</v>
      </c>
      <c r="F217" s="303">
        <v>205825</v>
      </c>
      <c r="G217" s="304" t="s">
        <v>1222</v>
      </c>
      <c r="H217" s="303">
        <v>6790713</v>
      </c>
      <c r="I217" s="304" t="s">
        <v>1222</v>
      </c>
      <c r="J217" s="287"/>
    </row>
    <row r="218" spans="1:10" ht="15" customHeight="1">
      <c r="A218" s="301" t="s">
        <v>1275</v>
      </c>
      <c r="B218" s="302" t="s">
        <v>1276</v>
      </c>
      <c r="C218" s="302" t="s">
        <v>1225</v>
      </c>
      <c r="D218" s="303">
        <v>18756</v>
      </c>
      <c r="E218" s="303">
        <v>19738</v>
      </c>
      <c r="F218" s="303">
        <v>251102</v>
      </c>
      <c r="G218" s="304" t="s">
        <v>1222</v>
      </c>
      <c r="H218" s="303">
        <v>8867116</v>
      </c>
      <c r="I218" s="304" t="s">
        <v>1222</v>
      </c>
      <c r="J218" s="287"/>
    </row>
    <row r="219" spans="1:10" ht="15" customHeight="1">
      <c r="A219" s="301" t="s">
        <v>1275</v>
      </c>
      <c r="B219" s="302" t="s">
        <v>1276</v>
      </c>
      <c r="C219" s="302" t="s">
        <v>1226</v>
      </c>
      <c r="D219" s="303">
        <v>149378</v>
      </c>
      <c r="E219" s="303">
        <v>150743</v>
      </c>
      <c r="F219" s="303">
        <v>624246</v>
      </c>
      <c r="G219" s="304" t="s">
        <v>1222</v>
      </c>
      <c r="H219" s="303">
        <v>22014115</v>
      </c>
      <c r="I219" s="304" t="s">
        <v>1222</v>
      </c>
      <c r="J219" s="287"/>
    </row>
    <row r="220" spans="1:10" ht="15" customHeight="1">
      <c r="A220" s="301" t="s">
        <v>1275</v>
      </c>
      <c r="B220" s="302" t="s">
        <v>1276</v>
      </c>
      <c r="C220" s="302" t="s">
        <v>1227</v>
      </c>
      <c r="D220" s="303">
        <v>15954</v>
      </c>
      <c r="E220" s="303">
        <v>21714</v>
      </c>
      <c r="F220" s="303">
        <v>602846</v>
      </c>
      <c r="G220" s="304" t="s">
        <v>1222</v>
      </c>
      <c r="H220" s="303">
        <v>23570402</v>
      </c>
      <c r="I220" s="304" t="s">
        <v>1222</v>
      </c>
      <c r="J220" s="287"/>
    </row>
    <row r="221" spans="1:10" ht="15" customHeight="1">
      <c r="A221" s="301" t="s">
        <v>1275</v>
      </c>
      <c r="B221" s="302" t="s">
        <v>1276</v>
      </c>
      <c r="C221" s="302" t="s">
        <v>1228</v>
      </c>
      <c r="D221" s="303">
        <v>3721</v>
      </c>
      <c r="E221" s="303">
        <v>11314</v>
      </c>
      <c r="F221" s="303">
        <v>528809</v>
      </c>
      <c r="G221" s="304" t="s">
        <v>1222</v>
      </c>
      <c r="H221" s="303">
        <v>22708681</v>
      </c>
      <c r="I221" s="304" t="s">
        <v>1222</v>
      </c>
      <c r="J221" s="287"/>
    </row>
    <row r="222" spans="1:10" ht="15" customHeight="1">
      <c r="A222" s="301" t="s">
        <v>1275</v>
      </c>
      <c r="B222" s="302" t="s">
        <v>1276</v>
      </c>
      <c r="C222" s="302" t="s">
        <v>1229</v>
      </c>
      <c r="D222" s="303">
        <v>169053</v>
      </c>
      <c r="E222" s="303">
        <v>183771</v>
      </c>
      <c r="F222" s="303">
        <v>1755901</v>
      </c>
      <c r="G222" s="304" t="s">
        <v>1222</v>
      </c>
      <c r="H222" s="303">
        <v>68293198</v>
      </c>
      <c r="I222" s="304" t="s">
        <v>1222</v>
      </c>
      <c r="J222" s="287"/>
    </row>
    <row r="223" spans="1:10" ht="15" customHeight="1">
      <c r="A223" s="301" t="s">
        <v>1275</v>
      </c>
      <c r="B223" s="302" t="s">
        <v>1276</v>
      </c>
      <c r="C223" s="302" t="s">
        <v>1230</v>
      </c>
      <c r="D223" s="303">
        <v>3065</v>
      </c>
      <c r="E223" s="303">
        <v>33669</v>
      </c>
      <c r="F223" s="303">
        <v>1712188</v>
      </c>
      <c r="G223" s="304" t="s">
        <v>1222</v>
      </c>
      <c r="H223" s="303">
        <v>83955233</v>
      </c>
      <c r="I223" s="304" t="s">
        <v>1222</v>
      </c>
      <c r="J223" s="287"/>
    </row>
    <row r="224" spans="1:10" ht="15" customHeight="1">
      <c r="A224" s="301" t="s">
        <v>1277</v>
      </c>
      <c r="B224" s="302" t="s">
        <v>1278</v>
      </c>
      <c r="C224" s="302" t="s">
        <v>1221</v>
      </c>
      <c r="D224" s="303">
        <v>117124</v>
      </c>
      <c r="E224" s="303">
        <v>145776</v>
      </c>
      <c r="F224" s="303">
        <v>2480643</v>
      </c>
      <c r="G224" s="304" t="s">
        <v>1222</v>
      </c>
      <c r="H224" s="303">
        <v>116324440</v>
      </c>
      <c r="I224" s="304" t="s">
        <v>1222</v>
      </c>
      <c r="J224" s="287"/>
    </row>
    <row r="225" spans="1:10" ht="15" customHeight="1">
      <c r="A225" s="301" t="s">
        <v>1277</v>
      </c>
      <c r="B225" s="302" t="s">
        <v>1278</v>
      </c>
      <c r="C225" s="302" t="s">
        <v>1223</v>
      </c>
      <c r="D225" s="303">
        <v>70075</v>
      </c>
      <c r="E225" s="303">
        <v>70137</v>
      </c>
      <c r="F225" s="303">
        <v>107920</v>
      </c>
      <c r="G225" s="304" t="s">
        <v>1222</v>
      </c>
      <c r="H225" s="303">
        <v>4307137</v>
      </c>
      <c r="I225" s="304" t="s">
        <v>1222</v>
      </c>
      <c r="J225" s="287"/>
    </row>
    <row r="226" spans="1:10" ht="15" customHeight="1">
      <c r="A226" s="301" t="s">
        <v>1277</v>
      </c>
      <c r="B226" s="302" t="s">
        <v>1278</v>
      </c>
      <c r="C226" s="302" t="s">
        <v>1224</v>
      </c>
      <c r="D226" s="303">
        <v>18396</v>
      </c>
      <c r="E226" s="303">
        <v>18597</v>
      </c>
      <c r="F226" s="303">
        <v>121081</v>
      </c>
      <c r="G226" s="304" t="s">
        <v>1222</v>
      </c>
      <c r="H226" s="303">
        <v>4106107</v>
      </c>
      <c r="I226" s="304" t="s">
        <v>1222</v>
      </c>
      <c r="J226" s="287"/>
    </row>
    <row r="227" spans="1:10" ht="15" customHeight="1">
      <c r="A227" s="301" t="s">
        <v>1277</v>
      </c>
      <c r="B227" s="302" t="s">
        <v>1278</v>
      </c>
      <c r="C227" s="302" t="s">
        <v>1225</v>
      </c>
      <c r="D227" s="303">
        <v>12065</v>
      </c>
      <c r="E227" s="303">
        <v>12731</v>
      </c>
      <c r="F227" s="303">
        <v>161228</v>
      </c>
      <c r="G227" s="304" t="s">
        <v>1222</v>
      </c>
      <c r="H227" s="303">
        <v>5530633</v>
      </c>
      <c r="I227" s="304" t="s">
        <v>1222</v>
      </c>
      <c r="J227" s="287"/>
    </row>
    <row r="228" spans="1:10" ht="15" customHeight="1">
      <c r="A228" s="301" t="s">
        <v>1277</v>
      </c>
      <c r="B228" s="302" t="s">
        <v>1278</v>
      </c>
      <c r="C228" s="302" t="s">
        <v>1226</v>
      </c>
      <c r="D228" s="303">
        <v>100536</v>
      </c>
      <c r="E228" s="303">
        <v>101465</v>
      </c>
      <c r="F228" s="303">
        <v>390229</v>
      </c>
      <c r="G228" s="304" t="s">
        <v>1222</v>
      </c>
      <c r="H228" s="303">
        <v>13943877</v>
      </c>
      <c r="I228" s="304" t="s">
        <v>1222</v>
      </c>
      <c r="J228" s="287"/>
    </row>
    <row r="229" spans="1:10" ht="15" customHeight="1">
      <c r="A229" s="301" t="s">
        <v>1277</v>
      </c>
      <c r="B229" s="302" t="s">
        <v>1278</v>
      </c>
      <c r="C229" s="302" t="s">
        <v>1227</v>
      </c>
      <c r="D229" s="303">
        <v>11129</v>
      </c>
      <c r="E229" s="303">
        <v>14970</v>
      </c>
      <c r="F229" s="303">
        <v>422819</v>
      </c>
      <c r="G229" s="304" t="s">
        <v>1222</v>
      </c>
      <c r="H229" s="303">
        <v>16448552</v>
      </c>
      <c r="I229" s="304" t="s">
        <v>1222</v>
      </c>
      <c r="J229" s="287"/>
    </row>
    <row r="230" spans="1:10" ht="15" customHeight="1">
      <c r="A230" s="301" t="s">
        <v>1277</v>
      </c>
      <c r="B230" s="302" t="s">
        <v>1278</v>
      </c>
      <c r="C230" s="302" t="s">
        <v>1228</v>
      </c>
      <c r="D230" s="303">
        <v>2835</v>
      </c>
      <c r="E230" s="303">
        <v>8240</v>
      </c>
      <c r="F230" s="303">
        <v>373861</v>
      </c>
      <c r="G230" s="304" t="s">
        <v>1222</v>
      </c>
      <c r="H230" s="303">
        <v>15772560</v>
      </c>
      <c r="I230" s="304" t="s">
        <v>1222</v>
      </c>
      <c r="J230" s="287"/>
    </row>
    <row r="231" spans="1:10" ht="15" customHeight="1">
      <c r="A231" s="301" t="s">
        <v>1277</v>
      </c>
      <c r="B231" s="302" t="s">
        <v>1278</v>
      </c>
      <c r="C231" s="302" t="s">
        <v>1229</v>
      </c>
      <c r="D231" s="303">
        <v>114500</v>
      </c>
      <c r="E231" s="303">
        <v>124675</v>
      </c>
      <c r="F231" s="303">
        <v>1186909</v>
      </c>
      <c r="G231" s="304" t="s">
        <v>1222</v>
      </c>
      <c r="H231" s="303">
        <v>46164989</v>
      </c>
      <c r="I231" s="304" t="s">
        <v>1222</v>
      </c>
      <c r="J231" s="287"/>
    </row>
    <row r="232" spans="1:10" ht="15" customHeight="1">
      <c r="A232" s="301" t="s">
        <v>1277</v>
      </c>
      <c r="B232" s="302" t="s">
        <v>1278</v>
      </c>
      <c r="C232" s="302" t="s">
        <v>1230</v>
      </c>
      <c r="D232" s="303">
        <v>2624</v>
      </c>
      <c r="E232" s="303">
        <v>21101</v>
      </c>
      <c r="F232" s="303">
        <v>1293734</v>
      </c>
      <c r="G232" s="304" t="s">
        <v>1222</v>
      </c>
      <c r="H232" s="303">
        <v>70159451</v>
      </c>
      <c r="I232" s="304" t="s">
        <v>1222</v>
      </c>
      <c r="J232" s="287"/>
    </row>
    <row r="233" spans="1:10" ht="15" customHeight="1">
      <c r="A233" s="301" t="s">
        <v>1279</v>
      </c>
      <c r="B233" s="302" t="s">
        <v>1280</v>
      </c>
      <c r="C233" s="302" t="s">
        <v>1221</v>
      </c>
      <c r="D233" s="303">
        <v>44734</v>
      </c>
      <c r="E233" s="303">
        <v>58644</v>
      </c>
      <c r="F233" s="303">
        <v>895804</v>
      </c>
      <c r="G233" s="304" t="s">
        <v>1222</v>
      </c>
      <c r="H233" s="303">
        <v>30897159</v>
      </c>
      <c r="I233" s="304" t="s">
        <v>1222</v>
      </c>
      <c r="J233" s="287"/>
    </row>
    <row r="234" spans="1:10" ht="15" customHeight="1">
      <c r="A234" s="301" t="s">
        <v>1279</v>
      </c>
      <c r="B234" s="302" t="s">
        <v>1280</v>
      </c>
      <c r="C234" s="302" t="s">
        <v>1223</v>
      </c>
      <c r="D234" s="303">
        <v>24610</v>
      </c>
      <c r="E234" s="303">
        <v>24630</v>
      </c>
      <c r="F234" s="303">
        <v>45466</v>
      </c>
      <c r="G234" s="304" t="s">
        <v>1222</v>
      </c>
      <c r="H234" s="303">
        <v>1328962</v>
      </c>
      <c r="I234" s="304" t="s">
        <v>1222</v>
      </c>
      <c r="J234" s="287"/>
    </row>
    <row r="235" spans="1:10" ht="15" customHeight="1">
      <c r="A235" s="301" t="s">
        <v>1279</v>
      </c>
      <c r="B235" s="302" t="s">
        <v>1280</v>
      </c>
      <c r="C235" s="302" t="s">
        <v>1224</v>
      </c>
      <c r="D235" s="303">
        <v>8456</v>
      </c>
      <c r="E235" s="303">
        <v>8565</v>
      </c>
      <c r="F235" s="303">
        <v>55416</v>
      </c>
      <c r="G235" s="304" t="s">
        <v>1222</v>
      </c>
      <c r="H235" s="303">
        <v>1497462</v>
      </c>
      <c r="I235" s="304" t="s">
        <v>1222</v>
      </c>
      <c r="J235" s="287"/>
    </row>
    <row r="236" spans="1:10" ht="15" customHeight="1">
      <c r="A236" s="301" t="s">
        <v>1279</v>
      </c>
      <c r="B236" s="302" t="s">
        <v>1280</v>
      </c>
      <c r="C236" s="302" t="s">
        <v>1225</v>
      </c>
      <c r="D236" s="303">
        <v>4860</v>
      </c>
      <c r="E236" s="303">
        <v>5240</v>
      </c>
      <c r="F236" s="303">
        <v>64137</v>
      </c>
      <c r="G236" s="304" t="s">
        <v>1222</v>
      </c>
      <c r="H236" s="303">
        <v>1861214</v>
      </c>
      <c r="I236" s="304" t="s">
        <v>1222</v>
      </c>
      <c r="J236" s="287"/>
    </row>
    <row r="237" spans="1:10" ht="15" customHeight="1">
      <c r="A237" s="301" t="s">
        <v>1279</v>
      </c>
      <c r="B237" s="302" t="s">
        <v>1280</v>
      </c>
      <c r="C237" s="302" t="s">
        <v>1226</v>
      </c>
      <c r="D237" s="303">
        <v>37926</v>
      </c>
      <c r="E237" s="303">
        <v>38435</v>
      </c>
      <c r="F237" s="303">
        <v>165019</v>
      </c>
      <c r="G237" s="304" t="s">
        <v>1222</v>
      </c>
      <c r="H237" s="303">
        <v>4687638</v>
      </c>
      <c r="I237" s="304" t="s">
        <v>1222</v>
      </c>
      <c r="J237" s="287"/>
    </row>
    <row r="238" spans="1:10" ht="15" customHeight="1">
      <c r="A238" s="301" t="s">
        <v>1279</v>
      </c>
      <c r="B238" s="302" t="s">
        <v>1280</v>
      </c>
      <c r="C238" s="302" t="s">
        <v>1227</v>
      </c>
      <c r="D238" s="303">
        <v>4035</v>
      </c>
      <c r="E238" s="303">
        <v>5492</v>
      </c>
      <c r="F238" s="303">
        <v>145492</v>
      </c>
      <c r="G238" s="304" t="s">
        <v>1222</v>
      </c>
      <c r="H238" s="303">
        <v>4647467</v>
      </c>
      <c r="I238" s="304" t="s">
        <v>1222</v>
      </c>
      <c r="J238" s="287"/>
    </row>
    <row r="239" spans="1:10" ht="15" customHeight="1">
      <c r="A239" s="301" t="s">
        <v>1279</v>
      </c>
      <c r="B239" s="302" t="s">
        <v>1280</v>
      </c>
      <c r="C239" s="302" t="s">
        <v>1228</v>
      </c>
      <c r="D239" s="303">
        <v>1105</v>
      </c>
      <c r="E239" s="303">
        <v>3385</v>
      </c>
      <c r="F239" s="303">
        <v>119805</v>
      </c>
      <c r="G239" s="304" t="s">
        <v>1222</v>
      </c>
      <c r="H239" s="303">
        <v>4051295</v>
      </c>
      <c r="I239" s="304" t="s">
        <v>1222</v>
      </c>
      <c r="J239" s="287"/>
    </row>
    <row r="240" spans="1:10" ht="15" customHeight="1">
      <c r="A240" s="301" t="s">
        <v>1279</v>
      </c>
      <c r="B240" s="302" t="s">
        <v>1280</v>
      </c>
      <c r="C240" s="302" t="s">
        <v>1229</v>
      </c>
      <c r="D240" s="303">
        <v>43066</v>
      </c>
      <c r="E240" s="303">
        <v>47312</v>
      </c>
      <c r="F240" s="303">
        <v>430316</v>
      </c>
      <c r="G240" s="304" t="s">
        <v>1222</v>
      </c>
      <c r="H240" s="303">
        <v>13386400</v>
      </c>
      <c r="I240" s="304" t="s">
        <v>1222</v>
      </c>
      <c r="J240" s="287"/>
    </row>
    <row r="241" spans="1:10" ht="15" customHeight="1">
      <c r="A241" s="301" t="s">
        <v>1279</v>
      </c>
      <c r="B241" s="302" t="s">
        <v>1280</v>
      </c>
      <c r="C241" s="302" t="s">
        <v>1230</v>
      </c>
      <c r="D241" s="303">
        <v>1668</v>
      </c>
      <c r="E241" s="303">
        <v>11332</v>
      </c>
      <c r="F241" s="303">
        <v>465488</v>
      </c>
      <c r="G241" s="304" t="s">
        <v>1222</v>
      </c>
      <c r="H241" s="303">
        <v>17510759</v>
      </c>
      <c r="I241" s="304" t="s">
        <v>1222</v>
      </c>
      <c r="J241" s="287"/>
    </row>
    <row r="242" spans="1:10" ht="15" customHeight="1">
      <c r="A242" s="301" t="s">
        <v>1281</v>
      </c>
      <c r="B242" s="302" t="s">
        <v>1282</v>
      </c>
      <c r="C242" s="302" t="s">
        <v>1221</v>
      </c>
      <c r="D242" s="303">
        <v>113678</v>
      </c>
      <c r="E242" s="303">
        <v>146604</v>
      </c>
      <c r="F242" s="303">
        <v>2320239</v>
      </c>
      <c r="G242" s="304" t="s">
        <v>1222</v>
      </c>
      <c r="H242" s="303">
        <v>95330830</v>
      </c>
      <c r="I242" s="304" t="s">
        <v>1222</v>
      </c>
      <c r="J242" s="287"/>
    </row>
    <row r="243" spans="1:10" ht="15" customHeight="1">
      <c r="A243" s="301" t="s">
        <v>1281</v>
      </c>
      <c r="B243" s="302" t="s">
        <v>1282</v>
      </c>
      <c r="C243" s="302" t="s">
        <v>1223</v>
      </c>
      <c r="D243" s="303">
        <v>66843</v>
      </c>
      <c r="E243" s="303">
        <v>66925</v>
      </c>
      <c r="F243" s="303">
        <v>112484</v>
      </c>
      <c r="G243" s="304" t="s">
        <v>1222</v>
      </c>
      <c r="H243" s="303">
        <v>3559152</v>
      </c>
      <c r="I243" s="304" t="s">
        <v>1222</v>
      </c>
      <c r="J243" s="287"/>
    </row>
    <row r="244" spans="1:10" ht="15" customHeight="1">
      <c r="A244" s="301" t="s">
        <v>1281</v>
      </c>
      <c r="B244" s="302" t="s">
        <v>1282</v>
      </c>
      <c r="C244" s="302" t="s">
        <v>1224</v>
      </c>
      <c r="D244" s="303">
        <v>18822</v>
      </c>
      <c r="E244" s="303">
        <v>19019</v>
      </c>
      <c r="F244" s="303">
        <v>123309</v>
      </c>
      <c r="G244" s="304" t="s">
        <v>1222</v>
      </c>
      <c r="H244" s="303">
        <v>3799038</v>
      </c>
      <c r="I244" s="304" t="s">
        <v>1222</v>
      </c>
      <c r="J244" s="287"/>
    </row>
    <row r="245" spans="1:10" ht="15" customHeight="1">
      <c r="A245" s="301" t="s">
        <v>1281</v>
      </c>
      <c r="B245" s="302" t="s">
        <v>1282</v>
      </c>
      <c r="C245" s="302" t="s">
        <v>1225</v>
      </c>
      <c r="D245" s="303">
        <v>11784</v>
      </c>
      <c r="E245" s="303">
        <v>12476</v>
      </c>
      <c r="F245" s="303">
        <v>157267</v>
      </c>
      <c r="G245" s="304" t="s">
        <v>1222</v>
      </c>
      <c r="H245" s="303">
        <v>5098325</v>
      </c>
      <c r="I245" s="304" t="s">
        <v>1222</v>
      </c>
      <c r="J245" s="287"/>
    </row>
    <row r="246" spans="1:10" ht="15" customHeight="1">
      <c r="A246" s="301" t="s">
        <v>1281</v>
      </c>
      <c r="B246" s="302" t="s">
        <v>1282</v>
      </c>
      <c r="C246" s="302" t="s">
        <v>1226</v>
      </c>
      <c r="D246" s="303">
        <v>97449</v>
      </c>
      <c r="E246" s="303">
        <v>98420</v>
      </c>
      <c r="F246" s="303">
        <v>393060</v>
      </c>
      <c r="G246" s="304" t="s">
        <v>1222</v>
      </c>
      <c r="H246" s="303">
        <v>12456515</v>
      </c>
      <c r="I246" s="304" t="s">
        <v>1222</v>
      </c>
      <c r="J246" s="287"/>
    </row>
    <row r="247" spans="1:10" ht="15" customHeight="1">
      <c r="A247" s="301" t="s">
        <v>1281</v>
      </c>
      <c r="B247" s="302" t="s">
        <v>1282</v>
      </c>
      <c r="C247" s="302" t="s">
        <v>1227</v>
      </c>
      <c r="D247" s="303">
        <v>10732</v>
      </c>
      <c r="E247" s="303">
        <v>14821</v>
      </c>
      <c r="F247" s="303">
        <v>397933</v>
      </c>
      <c r="G247" s="304" t="s">
        <v>1222</v>
      </c>
      <c r="H247" s="303">
        <v>14161056</v>
      </c>
      <c r="I247" s="304" t="s">
        <v>1222</v>
      </c>
      <c r="J247" s="287"/>
    </row>
    <row r="248" spans="1:10" ht="15" customHeight="1">
      <c r="A248" s="301" t="s">
        <v>1281</v>
      </c>
      <c r="B248" s="302" t="s">
        <v>1282</v>
      </c>
      <c r="C248" s="302" t="s">
        <v>1228</v>
      </c>
      <c r="D248" s="303">
        <v>2657</v>
      </c>
      <c r="E248" s="303">
        <v>7956</v>
      </c>
      <c r="F248" s="303">
        <v>318470</v>
      </c>
      <c r="G248" s="304" t="s">
        <v>1222</v>
      </c>
      <c r="H248" s="303">
        <v>12433463</v>
      </c>
      <c r="I248" s="304" t="s">
        <v>1222</v>
      </c>
      <c r="J248" s="287"/>
    </row>
    <row r="249" spans="1:10" ht="15" customHeight="1">
      <c r="A249" s="301" t="s">
        <v>1281</v>
      </c>
      <c r="B249" s="302" t="s">
        <v>1282</v>
      </c>
      <c r="C249" s="302" t="s">
        <v>1229</v>
      </c>
      <c r="D249" s="303">
        <v>110838</v>
      </c>
      <c r="E249" s="303">
        <v>121197</v>
      </c>
      <c r="F249" s="303">
        <v>1109463</v>
      </c>
      <c r="G249" s="304" t="s">
        <v>1222</v>
      </c>
      <c r="H249" s="303">
        <v>39051034</v>
      </c>
      <c r="I249" s="304" t="s">
        <v>1222</v>
      </c>
      <c r="J249" s="287"/>
    </row>
    <row r="250" spans="1:10" ht="15" customHeight="1">
      <c r="A250" s="301" t="s">
        <v>1281</v>
      </c>
      <c r="B250" s="302" t="s">
        <v>1282</v>
      </c>
      <c r="C250" s="302" t="s">
        <v>1230</v>
      </c>
      <c r="D250" s="303">
        <v>2840</v>
      </c>
      <c r="E250" s="303">
        <v>25407</v>
      </c>
      <c r="F250" s="303">
        <v>1210776</v>
      </c>
      <c r="G250" s="304" t="s">
        <v>1222</v>
      </c>
      <c r="H250" s="303">
        <v>56279796</v>
      </c>
      <c r="I250" s="304" t="s">
        <v>1222</v>
      </c>
      <c r="J250" s="287"/>
    </row>
    <row r="251" spans="1:10" ht="15" customHeight="1">
      <c r="A251" s="301" t="s">
        <v>1283</v>
      </c>
      <c r="B251" s="302" t="s">
        <v>1058</v>
      </c>
      <c r="C251" s="302" t="s">
        <v>1221</v>
      </c>
      <c r="D251" s="303">
        <v>31370</v>
      </c>
      <c r="E251" s="303">
        <v>36241</v>
      </c>
      <c r="F251" s="303">
        <v>343842</v>
      </c>
      <c r="G251" s="304" t="s">
        <v>1222</v>
      </c>
      <c r="H251" s="303">
        <v>11885907</v>
      </c>
      <c r="I251" s="304" t="s">
        <v>1222</v>
      </c>
      <c r="J251" s="287"/>
    </row>
    <row r="252" spans="1:10" ht="15" customHeight="1">
      <c r="A252" s="301" t="s">
        <v>1283</v>
      </c>
      <c r="B252" s="302" t="s">
        <v>1058</v>
      </c>
      <c r="C252" s="302" t="s">
        <v>1223</v>
      </c>
      <c r="D252" s="303">
        <v>19938</v>
      </c>
      <c r="E252" s="303">
        <v>19949</v>
      </c>
      <c r="F252" s="303">
        <v>31268</v>
      </c>
      <c r="G252" s="304" t="s">
        <v>1222</v>
      </c>
      <c r="H252" s="303">
        <v>1003240</v>
      </c>
      <c r="I252" s="304" t="s">
        <v>1222</v>
      </c>
      <c r="J252" s="287"/>
    </row>
    <row r="253" spans="1:10" ht="15" customHeight="1">
      <c r="A253" s="301" t="s">
        <v>1283</v>
      </c>
      <c r="B253" s="302" t="s">
        <v>1058</v>
      </c>
      <c r="C253" s="302" t="s">
        <v>1224</v>
      </c>
      <c r="D253" s="303">
        <v>5148</v>
      </c>
      <c r="E253" s="303">
        <v>5193</v>
      </c>
      <c r="F253" s="303">
        <v>33879</v>
      </c>
      <c r="G253" s="304" t="s">
        <v>1222</v>
      </c>
      <c r="H253" s="303">
        <v>921906</v>
      </c>
      <c r="I253" s="304" t="s">
        <v>1222</v>
      </c>
      <c r="J253" s="287"/>
    </row>
    <row r="254" spans="1:10" ht="15" customHeight="1">
      <c r="A254" s="301" t="s">
        <v>1283</v>
      </c>
      <c r="B254" s="302" t="s">
        <v>1058</v>
      </c>
      <c r="C254" s="302" t="s">
        <v>1225</v>
      </c>
      <c r="D254" s="303">
        <v>2860</v>
      </c>
      <c r="E254" s="303">
        <v>3054</v>
      </c>
      <c r="F254" s="303">
        <v>37844</v>
      </c>
      <c r="G254" s="304" t="s">
        <v>1222</v>
      </c>
      <c r="H254" s="303">
        <v>1093783</v>
      </c>
      <c r="I254" s="304" t="s">
        <v>1222</v>
      </c>
      <c r="J254" s="287"/>
    </row>
    <row r="255" spans="1:10" ht="15" customHeight="1">
      <c r="A255" s="301" t="s">
        <v>1283</v>
      </c>
      <c r="B255" s="302" t="s">
        <v>1058</v>
      </c>
      <c r="C255" s="302" t="s">
        <v>1226</v>
      </c>
      <c r="D255" s="303">
        <v>27946</v>
      </c>
      <c r="E255" s="303">
        <v>28196</v>
      </c>
      <c r="F255" s="303">
        <v>102991</v>
      </c>
      <c r="G255" s="304" t="s">
        <v>1222</v>
      </c>
      <c r="H255" s="303">
        <v>3018929</v>
      </c>
      <c r="I255" s="304" t="s">
        <v>1222</v>
      </c>
      <c r="J255" s="287"/>
    </row>
    <row r="256" spans="1:10" ht="15" customHeight="1">
      <c r="A256" s="301" t="s">
        <v>1283</v>
      </c>
      <c r="B256" s="302" t="s">
        <v>1058</v>
      </c>
      <c r="C256" s="302" t="s">
        <v>1227</v>
      </c>
      <c r="D256" s="303">
        <v>2109</v>
      </c>
      <c r="E256" s="303">
        <v>2937</v>
      </c>
      <c r="F256" s="303">
        <v>72707</v>
      </c>
      <c r="G256" s="304" t="s">
        <v>1222</v>
      </c>
      <c r="H256" s="303">
        <v>2219815</v>
      </c>
      <c r="I256" s="304" t="s">
        <v>1222</v>
      </c>
      <c r="J256" s="287"/>
    </row>
    <row r="257" spans="1:10" ht="15" customHeight="1">
      <c r="A257" s="301" t="s">
        <v>1283</v>
      </c>
      <c r="B257" s="302" t="s">
        <v>1058</v>
      </c>
      <c r="C257" s="302" t="s">
        <v>1228</v>
      </c>
      <c r="D257" s="303">
        <v>504</v>
      </c>
      <c r="E257" s="303">
        <v>1517</v>
      </c>
      <c r="F257" s="303">
        <v>56685</v>
      </c>
      <c r="G257" s="304" t="s">
        <v>1222</v>
      </c>
      <c r="H257" s="303">
        <v>2053957</v>
      </c>
      <c r="I257" s="304" t="s">
        <v>1222</v>
      </c>
      <c r="J257" s="287"/>
    </row>
    <row r="258" spans="1:10" ht="15" customHeight="1">
      <c r="A258" s="301" t="s">
        <v>1283</v>
      </c>
      <c r="B258" s="302" t="s">
        <v>1058</v>
      </c>
      <c r="C258" s="302" t="s">
        <v>1229</v>
      </c>
      <c r="D258" s="303">
        <v>30559</v>
      </c>
      <c r="E258" s="303">
        <v>32650</v>
      </c>
      <c r="F258" s="303">
        <v>232383</v>
      </c>
      <c r="G258" s="304" t="s">
        <v>1222</v>
      </c>
      <c r="H258" s="303">
        <v>7292701</v>
      </c>
      <c r="I258" s="304" t="s">
        <v>1222</v>
      </c>
      <c r="J258" s="287"/>
    </row>
    <row r="259" spans="1:10" ht="15" customHeight="1">
      <c r="A259" s="301" t="s">
        <v>1283</v>
      </c>
      <c r="B259" s="302" t="s">
        <v>1058</v>
      </c>
      <c r="C259" s="302" t="s">
        <v>1230</v>
      </c>
      <c r="D259" s="303">
        <v>811</v>
      </c>
      <c r="E259" s="303">
        <v>3591</v>
      </c>
      <c r="F259" s="303">
        <v>111459</v>
      </c>
      <c r="G259" s="304" t="s">
        <v>1222</v>
      </c>
      <c r="H259" s="303">
        <v>4593206</v>
      </c>
      <c r="I259" s="304" t="s">
        <v>1222</v>
      </c>
      <c r="J259" s="287"/>
    </row>
    <row r="260" spans="1:10" ht="15" customHeight="1">
      <c r="A260" s="301" t="s">
        <v>1284</v>
      </c>
      <c r="B260" s="302" t="s">
        <v>1285</v>
      </c>
      <c r="C260" s="302" t="s">
        <v>1221</v>
      </c>
      <c r="D260" s="303">
        <v>42029</v>
      </c>
      <c r="E260" s="303">
        <v>52294</v>
      </c>
      <c r="F260" s="303">
        <v>818289</v>
      </c>
      <c r="G260" s="304" t="s">
        <v>1222</v>
      </c>
      <c r="H260" s="303">
        <v>31736125</v>
      </c>
      <c r="I260" s="304" t="s">
        <v>1222</v>
      </c>
      <c r="J260" s="287"/>
    </row>
    <row r="261" spans="1:10" ht="15" customHeight="1">
      <c r="A261" s="301" t="s">
        <v>1284</v>
      </c>
      <c r="B261" s="302" t="s">
        <v>1285</v>
      </c>
      <c r="C261" s="302" t="s">
        <v>1223</v>
      </c>
      <c r="D261" s="303">
        <v>24393</v>
      </c>
      <c r="E261" s="303">
        <v>24406</v>
      </c>
      <c r="F261" s="303">
        <v>40758</v>
      </c>
      <c r="G261" s="304" t="s">
        <v>1222</v>
      </c>
      <c r="H261" s="303">
        <v>1238410</v>
      </c>
      <c r="I261" s="304" t="s">
        <v>1222</v>
      </c>
      <c r="J261" s="287"/>
    </row>
    <row r="262" spans="1:10" ht="15" customHeight="1">
      <c r="A262" s="301" t="s">
        <v>1284</v>
      </c>
      <c r="B262" s="302" t="s">
        <v>1285</v>
      </c>
      <c r="C262" s="302" t="s">
        <v>1224</v>
      </c>
      <c r="D262" s="303">
        <v>7147</v>
      </c>
      <c r="E262" s="303">
        <v>7221</v>
      </c>
      <c r="F262" s="303">
        <v>46736</v>
      </c>
      <c r="G262" s="304" t="s">
        <v>1222</v>
      </c>
      <c r="H262" s="303">
        <v>1358504</v>
      </c>
      <c r="I262" s="304" t="s">
        <v>1222</v>
      </c>
      <c r="J262" s="287"/>
    </row>
    <row r="263" spans="1:10" ht="15" customHeight="1">
      <c r="A263" s="301" t="s">
        <v>1284</v>
      </c>
      <c r="B263" s="302" t="s">
        <v>1285</v>
      </c>
      <c r="C263" s="302" t="s">
        <v>1225</v>
      </c>
      <c r="D263" s="303">
        <v>4256</v>
      </c>
      <c r="E263" s="303">
        <v>4549</v>
      </c>
      <c r="F263" s="303">
        <v>56473</v>
      </c>
      <c r="G263" s="304" t="s">
        <v>1222</v>
      </c>
      <c r="H263" s="303">
        <v>1749675</v>
      </c>
      <c r="I263" s="304" t="s">
        <v>1222</v>
      </c>
      <c r="J263" s="287"/>
    </row>
    <row r="264" spans="1:10" ht="15" customHeight="1">
      <c r="A264" s="301" t="s">
        <v>1284</v>
      </c>
      <c r="B264" s="302" t="s">
        <v>1285</v>
      </c>
      <c r="C264" s="302" t="s">
        <v>1226</v>
      </c>
      <c r="D264" s="303">
        <v>35796</v>
      </c>
      <c r="E264" s="303">
        <v>36176</v>
      </c>
      <c r="F264" s="303">
        <v>143967</v>
      </c>
      <c r="G264" s="304" t="s">
        <v>1222</v>
      </c>
      <c r="H264" s="303">
        <v>4346589</v>
      </c>
      <c r="I264" s="304" t="s">
        <v>1222</v>
      </c>
      <c r="J264" s="287"/>
    </row>
    <row r="265" spans="1:10" ht="15" customHeight="1">
      <c r="A265" s="301" t="s">
        <v>1284</v>
      </c>
      <c r="B265" s="302" t="s">
        <v>1285</v>
      </c>
      <c r="C265" s="302" t="s">
        <v>1227</v>
      </c>
      <c r="D265" s="303">
        <v>3788</v>
      </c>
      <c r="E265" s="303">
        <v>5312</v>
      </c>
      <c r="F265" s="303">
        <v>136430</v>
      </c>
      <c r="G265" s="304" t="s">
        <v>1222</v>
      </c>
      <c r="H265" s="303">
        <v>4733842</v>
      </c>
      <c r="I265" s="304" t="s">
        <v>1222</v>
      </c>
      <c r="J265" s="287"/>
    </row>
    <row r="266" spans="1:10" ht="15" customHeight="1">
      <c r="A266" s="301" t="s">
        <v>1284</v>
      </c>
      <c r="B266" s="302" t="s">
        <v>1285</v>
      </c>
      <c r="C266" s="302" t="s">
        <v>1228</v>
      </c>
      <c r="D266" s="303">
        <v>997</v>
      </c>
      <c r="E266" s="303">
        <v>3210</v>
      </c>
      <c r="F266" s="303">
        <v>110753</v>
      </c>
      <c r="G266" s="304" t="s">
        <v>1222</v>
      </c>
      <c r="H266" s="303">
        <v>4211720</v>
      </c>
      <c r="I266" s="304" t="s">
        <v>1222</v>
      </c>
      <c r="J266" s="287"/>
    </row>
    <row r="267" spans="1:10" ht="15" customHeight="1">
      <c r="A267" s="301" t="s">
        <v>1284</v>
      </c>
      <c r="B267" s="302" t="s">
        <v>1285</v>
      </c>
      <c r="C267" s="302" t="s">
        <v>1229</v>
      </c>
      <c r="D267" s="303">
        <v>40581</v>
      </c>
      <c r="E267" s="303">
        <v>44698</v>
      </c>
      <c r="F267" s="303">
        <v>391150</v>
      </c>
      <c r="G267" s="304" t="s">
        <v>1222</v>
      </c>
      <c r="H267" s="303">
        <v>13292151</v>
      </c>
      <c r="I267" s="304" t="s">
        <v>1222</v>
      </c>
      <c r="J267" s="287"/>
    </row>
    <row r="268" spans="1:10" ht="15" customHeight="1">
      <c r="A268" s="301" t="s">
        <v>1284</v>
      </c>
      <c r="B268" s="302" t="s">
        <v>1285</v>
      </c>
      <c r="C268" s="302" t="s">
        <v>1230</v>
      </c>
      <c r="D268" s="303">
        <v>1448</v>
      </c>
      <c r="E268" s="303">
        <v>7596</v>
      </c>
      <c r="F268" s="303">
        <v>427139</v>
      </c>
      <c r="G268" s="304" t="s">
        <v>1222</v>
      </c>
      <c r="H268" s="303">
        <v>18443974</v>
      </c>
      <c r="I268" s="304" t="s">
        <v>1222</v>
      </c>
      <c r="J268" s="287"/>
    </row>
    <row r="269" spans="1:10" ht="15" customHeight="1">
      <c r="A269" s="301" t="s">
        <v>1286</v>
      </c>
      <c r="B269" s="302" t="s">
        <v>203</v>
      </c>
      <c r="C269" s="302" t="s">
        <v>1221</v>
      </c>
      <c r="D269" s="303">
        <v>47408</v>
      </c>
      <c r="E269" s="303">
        <v>59417</v>
      </c>
      <c r="F269" s="303">
        <v>1014570</v>
      </c>
      <c r="G269" s="304" t="s">
        <v>1222</v>
      </c>
      <c r="H269" s="303">
        <v>40126669</v>
      </c>
      <c r="I269" s="304" t="s">
        <v>1222</v>
      </c>
      <c r="J269" s="287"/>
    </row>
    <row r="270" spans="1:10" ht="15" customHeight="1">
      <c r="A270" s="301" t="s">
        <v>1286</v>
      </c>
      <c r="B270" s="302" t="s">
        <v>203</v>
      </c>
      <c r="C270" s="302" t="s">
        <v>1223</v>
      </c>
      <c r="D270" s="303">
        <v>27715</v>
      </c>
      <c r="E270" s="303">
        <v>27763</v>
      </c>
      <c r="F270" s="303">
        <v>42718</v>
      </c>
      <c r="G270" s="304" t="s">
        <v>1237</v>
      </c>
      <c r="H270" s="303">
        <v>2151422</v>
      </c>
      <c r="I270" s="304" t="s">
        <v>1222</v>
      </c>
      <c r="J270" s="287"/>
    </row>
    <row r="271" spans="1:10" ht="15" customHeight="1">
      <c r="A271" s="301" t="s">
        <v>1286</v>
      </c>
      <c r="B271" s="302" t="s">
        <v>203</v>
      </c>
      <c r="C271" s="302" t="s">
        <v>1224</v>
      </c>
      <c r="D271" s="303">
        <v>7317</v>
      </c>
      <c r="E271" s="303">
        <v>7389</v>
      </c>
      <c r="F271" s="303">
        <v>48023</v>
      </c>
      <c r="G271" s="304" t="s">
        <v>1222</v>
      </c>
      <c r="H271" s="303">
        <v>1670335</v>
      </c>
      <c r="I271" s="304" t="s">
        <v>1222</v>
      </c>
      <c r="J271" s="287"/>
    </row>
    <row r="272" spans="1:10" ht="15" customHeight="1">
      <c r="A272" s="301" t="s">
        <v>1286</v>
      </c>
      <c r="B272" s="302" t="s">
        <v>203</v>
      </c>
      <c r="C272" s="302" t="s">
        <v>1225</v>
      </c>
      <c r="D272" s="303">
        <v>4659</v>
      </c>
      <c r="E272" s="303">
        <v>4911</v>
      </c>
      <c r="F272" s="303">
        <v>61234</v>
      </c>
      <c r="G272" s="304" t="s">
        <v>1222</v>
      </c>
      <c r="H272" s="303">
        <v>2166245</v>
      </c>
      <c r="I272" s="304" t="s">
        <v>1222</v>
      </c>
      <c r="J272" s="287"/>
    </row>
    <row r="273" spans="1:10" ht="15" customHeight="1">
      <c r="A273" s="301" t="s">
        <v>1286</v>
      </c>
      <c r="B273" s="302" t="s">
        <v>203</v>
      </c>
      <c r="C273" s="302" t="s">
        <v>1226</v>
      </c>
      <c r="D273" s="303">
        <v>39691</v>
      </c>
      <c r="E273" s="303">
        <v>40063</v>
      </c>
      <c r="F273" s="303">
        <v>151975</v>
      </c>
      <c r="G273" s="304" t="s">
        <v>1222</v>
      </c>
      <c r="H273" s="303">
        <v>5988002</v>
      </c>
      <c r="I273" s="304" t="s">
        <v>1222</v>
      </c>
      <c r="J273" s="287"/>
    </row>
    <row r="274" spans="1:10" ht="15" customHeight="1">
      <c r="A274" s="301" t="s">
        <v>1286</v>
      </c>
      <c r="B274" s="302" t="s">
        <v>203</v>
      </c>
      <c r="C274" s="302" t="s">
        <v>1227</v>
      </c>
      <c r="D274" s="303">
        <v>4150</v>
      </c>
      <c r="E274" s="303">
        <v>5184</v>
      </c>
      <c r="F274" s="303">
        <v>141263</v>
      </c>
      <c r="G274" s="304" t="s">
        <v>1222</v>
      </c>
      <c r="H274" s="303">
        <v>5402441</v>
      </c>
      <c r="I274" s="304" t="s">
        <v>1222</v>
      </c>
      <c r="J274" s="287"/>
    </row>
    <row r="275" spans="1:10" ht="15" customHeight="1">
      <c r="A275" s="301" t="s">
        <v>1286</v>
      </c>
      <c r="B275" s="302" t="s">
        <v>203</v>
      </c>
      <c r="C275" s="302" t="s">
        <v>1228</v>
      </c>
      <c r="D275" s="303">
        <v>1483</v>
      </c>
      <c r="E275" s="303">
        <v>3009</v>
      </c>
      <c r="F275" s="303">
        <v>121207</v>
      </c>
      <c r="G275" s="304" t="s">
        <v>1222</v>
      </c>
      <c r="H275" s="303">
        <v>4517323</v>
      </c>
      <c r="I275" s="304" t="s">
        <v>1222</v>
      </c>
      <c r="J275" s="287"/>
    </row>
    <row r="276" spans="1:10" ht="15" customHeight="1">
      <c r="A276" s="301" t="s">
        <v>1286</v>
      </c>
      <c r="B276" s="302" t="s">
        <v>203</v>
      </c>
      <c r="C276" s="302" t="s">
        <v>1229</v>
      </c>
      <c r="D276" s="303">
        <v>45324</v>
      </c>
      <c r="E276" s="303">
        <v>48256</v>
      </c>
      <c r="F276" s="303">
        <v>414445</v>
      </c>
      <c r="G276" s="304" t="s">
        <v>1222</v>
      </c>
      <c r="H276" s="303">
        <v>15907766</v>
      </c>
      <c r="I276" s="304" t="s">
        <v>1222</v>
      </c>
      <c r="J276" s="287"/>
    </row>
    <row r="277" spans="1:10" ht="15" customHeight="1">
      <c r="A277" s="301" t="s">
        <v>1286</v>
      </c>
      <c r="B277" s="302" t="s">
        <v>203</v>
      </c>
      <c r="C277" s="302" t="s">
        <v>1230</v>
      </c>
      <c r="D277" s="303">
        <v>2084</v>
      </c>
      <c r="E277" s="303">
        <v>11161</v>
      </c>
      <c r="F277" s="303">
        <v>600125</v>
      </c>
      <c r="G277" s="304" t="s">
        <v>1222</v>
      </c>
      <c r="H277" s="303">
        <v>24218903</v>
      </c>
      <c r="I277" s="304" t="s">
        <v>1222</v>
      </c>
      <c r="J277" s="287"/>
    </row>
    <row r="278" spans="1:10" ht="15" customHeight="1">
      <c r="A278" s="301" t="s">
        <v>1287</v>
      </c>
      <c r="B278" s="302" t="s">
        <v>1288</v>
      </c>
      <c r="C278" s="302" t="s">
        <v>1221</v>
      </c>
      <c r="D278" s="303">
        <v>30522</v>
      </c>
      <c r="E278" s="303">
        <v>37213</v>
      </c>
      <c r="F278" s="303">
        <v>548985</v>
      </c>
      <c r="G278" s="304" t="s">
        <v>1222</v>
      </c>
      <c r="H278" s="303">
        <v>24055321</v>
      </c>
      <c r="I278" s="304" t="s">
        <v>1222</v>
      </c>
      <c r="J278" s="287"/>
    </row>
    <row r="279" spans="1:10" ht="15" customHeight="1">
      <c r="A279" s="301" t="s">
        <v>1287</v>
      </c>
      <c r="B279" s="302" t="s">
        <v>1288</v>
      </c>
      <c r="C279" s="302" t="s">
        <v>1223</v>
      </c>
      <c r="D279" s="303">
        <v>17051</v>
      </c>
      <c r="E279" s="303">
        <v>17076</v>
      </c>
      <c r="F279" s="303">
        <v>29749</v>
      </c>
      <c r="G279" s="304" t="s">
        <v>1222</v>
      </c>
      <c r="H279" s="303">
        <v>1238275</v>
      </c>
      <c r="I279" s="304" t="s">
        <v>1222</v>
      </c>
      <c r="J279" s="287"/>
    </row>
    <row r="280" spans="1:10" ht="15" customHeight="1">
      <c r="A280" s="301" t="s">
        <v>1287</v>
      </c>
      <c r="B280" s="302" t="s">
        <v>1288</v>
      </c>
      <c r="C280" s="302" t="s">
        <v>1224</v>
      </c>
      <c r="D280" s="303">
        <v>5403</v>
      </c>
      <c r="E280" s="303">
        <v>5445</v>
      </c>
      <c r="F280" s="303">
        <v>35567</v>
      </c>
      <c r="G280" s="304" t="s">
        <v>1222</v>
      </c>
      <c r="H280" s="303">
        <v>1297772</v>
      </c>
      <c r="I280" s="304" t="s">
        <v>1222</v>
      </c>
      <c r="J280" s="287"/>
    </row>
    <row r="281" spans="1:10" ht="15" customHeight="1">
      <c r="A281" s="301" t="s">
        <v>1287</v>
      </c>
      <c r="B281" s="302" t="s">
        <v>1288</v>
      </c>
      <c r="C281" s="302" t="s">
        <v>1225</v>
      </c>
      <c r="D281" s="303">
        <v>3209</v>
      </c>
      <c r="E281" s="303">
        <v>3364</v>
      </c>
      <c r="F281" s="303">
        <v>42436</v>
      </c>
      <c r="G281" s="304" t="s">
        <v>1222</v>
      </c>
      <c r="H281" s="303">
        <v>1640586</v>
      </c>
      <c r="I281" s="304" t="s">
        <v>1222</v>
      </c>
      <c r="J281" s="287"/>
    </row>
    <row r="282" spans="1:10" ht="15" customHeight="1">
      <c r="A282" s="301" t="s">
        <v>1287</v>
      </c>
      <c r="B282" s="302" t="s">
        <v>1288</v>
      </c>
      <c r="C282" s="302" t="s">
        <v>1226</v>
      </c>
      <c r="D282" s="303">
        <v>25663</v>
      </c>
      <c r="E282" s="303">
        <v>25885</v>
      </c>
      <c r="F282" s="303">
        <v>107752</v>
      </c>
      <c r="G282" s="304" t="s">
        <v>1222</v>
      </c>
      <c r="H282" s="303">
        <v>4176633</v>
      </c>
      <c r="I282" s="304" t="s">
        <v>1222</v>
      </c>
      <c r="J282" s="287"/>
    </row>
    <row r="283" spans="1:10" ht="15" customHeight="1">
      <c r="A283" s="301" t="s">
        <v>1287</v>
      </c>
      <c r="B283" s="302" t="s">
        <v>1288</v>
      </c>
      <c r="C283" s="302" t="s">
        <v>1227</v>
      </c>
      <c r="D283" s="303">
        <v>2836</v>
      </c>
      <c r="E283" s="303">
        <v>3537</v>
      </c>
      <c r="F283" s="303">
        <v>98404</v>
      </c>
      <c r="G283" s="304" t="s">
        <v>1222</v>
      </c>
      <c r="H283" s="303">
        <v>4172932</v>
      </c>
      <c r="I283" s="304" t="s">
        <v>1222</v>
      </c>
      <c r="J283" s="287"/>
    </row>
    <row r="284" spans="1:10" ht="15" customHeight="1">
      <c r="A284" s="301" t="s">
        <v>1287</v>
      </c>
      <c r="B284" s="302" t="s">
        <v>1288</v>
      </c>
      <c r="C284" s="302" t="s">
        <v>1228</v>
      </c>
      <c r="D284" s="303">
        <v>784</v>
      </c>
      <c r="E284" s="303">
        <v>1864</v>
      </c>
      <c r="F284" s="303">
        <v>77879</v>
      </c>
      <c r="G284" s="304" t="s">
        <v>1222</v>
      </c>
      <c r="H284" s="303">
        <v>3446528</v>
      </c>
      <c r="I284" s="304" t="s">
        <v>1222</v>
      </c>
      <c r="J284" s="287"/>
    </row>
    <row r="285" spans="1:10" ht="15" customHeight="1">
      <c r="A285" s="301" t="s">
        <v>1287</v>
      </c>
      <c r="B285" s="302" t="s">
        <v>1288</v>
      </c>
      <c r="C285" s="302" t="s">
        <v>1229</v>
      </c>
      <c r="D285" s="303">
        <v>29283</v>
      </c>
      <c r="E285" s="303">
        <v>31286</v>
      </c>
      <c r="F285" s="303">
        <v>284035</v>
      </c>
      <c r="G285" s="304" t="s">
        <v>1222</v>
      </c>
      <c r="H285" s="303">
        <v>11796093</v>
      </c>
      <c r="I285" s="304" t="s">
        <v>1222</v>
      </c>
      <c r="J285" s="287"/>
    </row>
    <row r="286" spans="1:10" ht="15" customHeight="1">
      <c r="A286" s="301" t="s">
        <v>1287</v>
      </c>
      <c r="B286" s="302" t="s">
        <v>1288</v>
      </c>
      <c r="C286" s="302" t="s">
        <v>1230</v>
      </c>
      <c r="D286" s="303">
        <v>1239</v>
      </c>
      <c r="E286" s="303">
        <v>5927</v>
      </c>
      <c r="F286" s="303">
        <v>264950</v>
      </c>
      <c r="G286" s="304" t="s">
        <v>1222</v>
      </c>
      <c r="H286" s="303">
        <v>12259228</v>
      </c>
      <c r="I286" s="304" t="s">
        <v>1222</v>
      </c>
      <c r="J286" s="287"/>
    </row>
    <row r="287" spans="1:10" ht="15" customHeight="1">
      <c r="A287" s="301" t="s">
        <v>1289</v>
      </c>
      <c r="B287" s="302" t="s">
        <v>1290</v>
      </c>
      <c r="C287" s="302" t="s">
        <v>1221</v>
      </c>
      <c r="D287" s="303">
        <v>192704</v>
      </c>
      <c r="E287" s="303">
        <v>228289</v>
      </c>
      <c r="F287" s="303">
        <v>3440470</v>
      </c>
      <c r="G287" s="304" t="s">
        <v>1222</v>
      </c>
      <c r="H287" s="303">
        <v>189910527</v>
      </c>
      <c r="I287" s="304" t="s">
        <v>1222</v>
      </c>
      <c r="J287" s="287"/>
    </row>
    <row r="288" spans="1:10" ht="15" customHeight="1">
      <c r="A288" s="301" t="s">
        <v>1289</v>
      </c>
      <c r="B288" s="302" t="s">
        <v>1290</v>
      </c>
      <c r="C288" s="302" t="s">
        <v>1223</v>
      </c>
      <c r="D288" s="303">
        <v>119296</v>
      </c>
      <c r="E288" s="303">
        <v>119417</v>
      </c>
      <c r="F288" s="303">
        <v>204038</v>
      </c>
      <c r="G288" s="304" t="s">
        <v>1222</v>
      </c>
      <c r="H288" s="303">
        <v>8547812</v>
      </c>
      <c r="I288" s="304" t="s">
        <v>1222</v>
      </c>
      <c r="J288" s="287"/>
    </row>
    <row r="289" spans="1:10" ht="15" customHeight="1">
      <c r="A289" s="301" t="s">
        <v>1289</v>
      </c>
      <c r="B289" s="302" t="s">
        <v>1290</v>
      </c>
      <c r="C289" s="302" t="s">
        <v>1224</v>
      </c>
      <c r="D289" s="303">
        <v>31440</v>
      </c>
      <c r="E289" s="303">
        <v>31675</v>
      </c>
      <c r="F289" s="303">
        <v>205665</v>
      </c>
      <c r="G289" s="304" t="s">
        <v>1222</v>
      </c>
      <c r="H289" s="303">
        <v>7986882</v>
      </c>
      <c r="I289" s="304" t="s">
        <v>1222</v>
      </c>
      <c r="J289" s="287"/>
    </row>
    <row r="290" spans="1:10" ht="15" customHeight="1">
      <c r="A290" s="301" t="s">
        <v>1289</v>
      </c>
      <c r="B290" s="302" t="s">
        <v>1290</v>
      </c>
      <c r="C290" s="302" t="s">
        <v>1225</v>
      </c>
      <c r="D290" s="303">
        <v>18621</v>
      </c>
      <c r="E290" s="303">
        <v>19285</v>
      </c>
      <c r="F290" s="303">
        <v>247650</v>
      </c>
      <c r="G290" s="304" t="s">
        <v>1222</v>
      </c>
      <c r="H290" s="303">
        <v>10650834</v>
      </c>
      <c r="I290" s="304" t="s">
        <v>1222</v>
      </c>
      <c r="J290" s="287"/>
    </row>
    <row r="291" spans="1:10" ht="15" customHeight="1">
      <c r="A291" s="301" t="s">
        <v>1289</v>
      </c>
      <c r="B291" s="302" t="s">
        <v>1290</v>
      </c>
      <c r="C291" s="302" t="s">
        <v>1226</v>
      </c>
      <c r="D291" s="303">
        <v>169357</v>
      </c>
      <c r="E291" s="303">
        <v>170377</v>
      </c>
      <c r="F291" s="303">
        <v>657353</v>
      </c>
      <c r="G291" s="304" t="s">
        <v>1222</v>
      </c>
      <c r="H291" s="303">
        <v>27185528</v>
      </c>
      <c r="I291" s="304" t="s">
        <v>1222</v>
      </c>
      <c r="J291" s="287"/>
    </row>
    <row r="292" spans="1:10" ht="15" customHeight="1">
      <c r="A292" s="301" t="s">
        <v>1289</v>
      </c>
      <c r="B292" s="302" t="s">
        <v>1290</v>
      </c>
      <c r="C292" s="302" t="s">
        <v>1227</v>
      </c>
      <c r="D292" s="303">
        <v>16299</v>
      </c>
      <c r="E292" s="303">
        <v>19127</v>
      </c>
      <c r="F292" s="303">
        <v>603324</v>
      </c>
      <c r="G292" s="304" t="s">
        <v>1222</v>
      </c>
      <c r="H292" s="303">
        <v>28150120</v>
      </c>
      <c r="I292" s="304" t="s">
        <v>1222</v>
      </c>
      <c r="J292" s="287"/>
    </row>
    <row r="293" spans="1:10" ht="15" customHeight="1">
      <c r="A293" s="301" t="s">
        <v>1289</v>
      </c>
      <c r="B293" s="302" t="s">
        <v>1290</v>
      </c>
      <c r="C293" s="302" t="s">
        <v>1228</v>
      </c>
      <c r="D293" s="303">
        <v>3842</v>
      </c>
      <c r="E293" s="303">
        <v>7996</v>
      </c>
      <c r="F293" s="303">
        <v>475050</v>
      </c>
      <c r="G293" s="304" t="s">
        <v>1222</v>
      </c>
      <c r="H293" s="303">
        <v>24334191</v>
      </c>
      <c r="I293" s="304" t="s">
        <v>1222</v>
      </c>
      <c r="J293" s="287"/>
    </row>
    <row r="294" spans="1:10" ht="15" customHeight="1">
      <c r="A294" s="301" t="s">
        <v>1289</v>
      </c>
      <c r="B294" s="302" t="s">
        <v>1290</v>
      </c>
      <c r="C294" s="302" t="s">
        <v>1229</v>
      </c>
      <c r="D294" s="303">
        <v>189498</v>
      </c>
      <c r="E294" s="303">
        <v>197500</v>
      </c>
      <c r="F294" s="303">
        <v>1735727</v>
      </c>
      <c r="G294" s="304" t="s">
        <v>1222</v>
      </c>
      <c r="H294" s="303">
        <v>79669839</v>
      </c>
      <c r="I294" s="304" t="s">
        <v>1222</v>
      </c>
      <c r="J294" s="287"/>
    </row>
    <row r="295" spans="1:10" ht="15" customHeight="1">
      <c r="A295" s="301" t="s">
        <v>1289</v>
      </c>
      <c r="B295" s="302" t="s">
        <v>1290</v>
      </c>
      <c r="C295" s="302" t="s">
        <v>1230</v>
      </c>
      <c r="D295" s="303">
        <v>3206</v>
      </c>
      <c r="E295" s="303">
        <v>30789</v>
      </c>
      <c r="F295" s="303">
        <v>1704743</v>
      </c>
      <c r="G295" s="304" t="s">
        <v>1222</v>
      </c>
      <c r="H295" s="303">
        <v>110240688</v>
      </c>
      <c r="I295" s="304" t="s">
        <v>1222</v>
      </c>
      <c r="J295" s="287"/>
    </row>
    <row r="296" spans="1:10" ht="15" customHeight="1">
      <c r="A296" s="301" t="s">
        <v>1291</v>
      </c>
      <c r="B296" s="302" t="s">
        <v>1292</v>
      </c>
      <c r="C296" s="302" t="s">
        <v>1221</v>
      </c>
      <c r="D296" s="303">
        <v>35019</v>
      </c>
      <c r="E296" s="303">
        <v>43883</v>
      </c>
      <c r="F296" s="303">
        <v>602715</v>
      </c>
      <c r="G296" s="304" t="s">
        <v>1222</v>
      </c>
      <c r="H296" s="303">
        <v>22380464</v>
      </c>
      <c r="I296" s="304" t="s">
        <v>1222</v>
      </c>
      <c r="J296" s="287"/>
    </row>
    <row r="297" spans="1:10" ht="15" customHeight="1">
      <c r="A297" s="301" t="s">
        <v>1291</v>
      </c>
      <c r="B297" s="302" t="s">
        <v>1292</v>
      </c>
      <c r="C297" s="302" t="s">
        <v>1223</v>
      </c>
      <c r="D297" s="303">
        <v>19637</v>
      </c>
      <c r="E297" s="303">
        <v>19665</v>
      </c>
      <c r="F297" s="303">
        <v>33952</v>
      </c>
      <c r="G297" s="304" t="s">
        <v>1222</v>
      </c>
      <c r="H297" s="303">
        <v>1150974</v>
      </c>
      <c r="I297" s="304" t="s">
        <v>1222</v>
      </c>
      <c r="J297" s="287"/>
    </row>
    <row r="298" spans="1:10" ht="15" customHeight="1">
      <c r="A298" s="301" t="s">
        <v>1291</v>
      </c>
      <c r="B298" s="302" t="s">
        <v>1292</v>
      </c>
      <c r="C298" s="302" t="s">
        <v>1224</v>
      </c>
      <c r="D298" s="303">
        <v>5931</v>
      </c>
      <c r="E298" s="303">
        <v>5994</v>
      </c>
      <c r="F298" s="303">
        <v>39181</v>
      </c>
      <c r="G298" s="304" t="s">
        <v>1222</v>
      </c>
      <c r="H298" s="303">
        <v>1198180</v>
      </c>
      <c r="I298" s="304" t="s">
        <v>1222</v>
      </c>
      <c r="J298" s="287"/>
    </row>
    <row r="299" spans="1:10" ht="15" customHeight="1">
      <c r="A299" s="301" t="s">
        <v>1291</v>
      </c>
      <c r="B299" s="302" t="s">
        <v>1292</v>
      </c>
      <c r="C299" s="302" t="s">
        <v>1225</v>
      </c>
      <c r="D299" s="303">
        <v>3734</v>
      </c>
      <c r="E299" s="303">
        <v>3895</v>
      </c>
      <c r="F299" s="303">
        <v>49400</v>
      </c>
      <c r="G299" s="304" t="s">
        <v>1222</v>
      </c>
      <c r="H299" s="303">
        <v>1595627</v>
      </c>
      <c r="I299" s="304" t="s">
        <v>1222</v>
      </c>
      <c r="J299" s="287"/>
    </row>
    <row r="300" spans="1:10" ht="15" customHeight="1">
      <c r="A300" s="301" t="s">
        <v>1291</v>
      </c>
      <c r="B300" s="302" t="s">
        <v>1292</v>
      </c>
      <c r="C300" s="302" t="s">
        <v>1226</v>
      </c>
      <c r="D300" s="303">
        <v>29302</v>
      </c>
      <c r="E300" s="303">
        <v>29554</v>
      </c>
      <c r="F300" s="303">
        <v>122533</v>
      </c>
      <c r="G300" s="304" t="s">
        <v>1222</v>
      </c>
      <c r="H300" s="303">
        <v>3944781</v>
      </c>
      <c r="I300" s="304" t="s">
        <v>1222</v>
      </c>
      <c r="J300" s="287"/>
    </row>
    <row r="301" spans="1:10" ht="15" customHeight="1">
      <c r="A301" s="301" t="s">
        <v>1291</v>
      </c>
      <c r="B301" s="302" t="s">
        <v>1292</v>
      </c>
      <c r="C301" s="302" t="s">
        <v>1227</v>
      </c>
      <c r="D301" s="303">
        <v>3289</v>
      </c>
      <c r="E301" s="303">
        <v>4371</v>
      </c>
      <c r="F301" s="303">
        <v>115020</v>
      </c>
      <c r="G301" s="304" t="s">
        <v>1222</v>
      </c>
      <c r="H301" s="303">
        <v>3891088</v>
      </c>
      <c r="I301" s="304" t="s">
        <v>1222</v>
      </c>
      <c r="J301" s="287"/>
    </row>
    <row r="302" spans="1:10" ht="15" customHeight="1">
      <c r="A302" s="301" t="s">
        <v>1291</v>
      </c>
      <c r="B302" s="302" t="s">
        <v>1292</v>
      </c>
      <c r="C302" s="302" t="s">
        <v>1228</v>
      </c>
      <c r="D302" s="303">
        <v>898</v>
      </c>
      <c r="E302" s="303">
        <v>2412</v>
      </c>
      <c r="F302" s="303">
        <v>91309</v>
      </c>
      <c r="G302" s="304" t="s">
        <v>1222</v>
      </c>
      <c r="H302" s="303">
        <v>3380094</v>
      </c>
      <c r="I302" s="304" t="s">
        <v>1222</v>
      </c>
      <c r="J302" s="287"/>
    </row>
    <row r="303" spans="1:10" ht="15" customHeight="1">
      <c r="A303" s="301" t="s">
        <v>1291</v>
      </c>
      <c r="B303" s="302" t="s">
        <v>1292</v>
      </c>
      <c r="C303" s="302" t="s">
        <v>1229</v>
      </c>
      <c r="D303" s="303">
        <v>33489</v>
      </c>
      <c r="E303" s="303">
        <v>36337</v>
      </c>
      <c r="F303" s="303">
        <v>328862</v>
      </c>
      <c r="G303" s="304" t="s">
        <v>1222</v>
      </c>
      <c r="H303" s="303">
        <v>11215963</v>
      </c>
      <c r="I303" s="304" t="s">
        <v>1222</v>
      </c>
      <c r="J303" s="287"/>
    </row>
    <row r="304" spans="1:10" ht="15" customHeight="1">
      <c r="A304" s="301" t="s">
        <v>1291</v>
      </c>
      <c r="B304" s="302" t="s">
        <v>1292</v>
      </c>
      <c r="C304" s="302" t="s">
        <v>1230</v>
      </c>
      <c r="D304" s="303">
        <v>1530</v>
      </c>
      <c r="E304" s="303">
        <v>7546</v>
      </c>
      <c r="F304" s="303">
        <v>273853</v>
      </c>
      <c r="G304" s="304" t="s">
        <v>1222</v>
      </c>
      <c r="H304" s="303">
        <v>11164501</v>
      </c>
      <c r="I304" s="304" t="s">
        <v>1222</v>
      </c>
      <c r="J304" s="287"/>
    </row>
    <row r="305" spans="1:10" ht="15" customHeight="1">
      <c r="A305" s="301" t="s">
        <v>1293</v>
      </c>
      <c r="B305" s="302" t="s">
        <v>1294</v>
      </c>
      <c r="C305" s="302" t="s">
        <v>1221</v>
      </c>
      <c r="D305" s="303">
        <v>450189</v>
      </c>
      <c r="E305" s="303">
        <v>527001</v>
      </c>
      <c r="F305" s="303">
        <v>7556521</v>
      </c>
      <c r="G305" s="304" t="s">
        <v>1222</v>
      </c>
      <c r="H305" s="303">
        <v>451846838</v>
      </c>
      <c r="I305" s="304" t="s">
        <v>1222</v>
      </c>
      <c r="J305" s="287"/>
    </row>
    <row r="306" spans="1:10" ht="15" customHeight="1">
      <c r="A306" s="301" t="s">
        <v>1293</v>
      </c>
      <c r="B306" s="302" t="s">
        <v>1294</v>
      </c>
      <c r="C306" s="302" t="s">
        <v>1223</v>
      </c>
      <c r="D306" s="303">
        <v>295452</v>
      </c>
      <c r="E306" s="303">
        <v>295664</v>
      </c>
      <c r="F306" s="303">
        <v>486234</v>
      </c>
      <c r="G306" s="304" t="s">
        <v>1222</v>
      </c>
      <c r="H306" s="303">
        <v>20671998</v>
      </c>
      <c r="I306" s="304" t="s">
        <v>1222</v>
      </c>
      <c r="J306" s="287"/>
    </row>
    <row r="307" spans="1:10" ht="15" customHeight="1">
      <c r="A307" s="301" t="s">
        <v>1293</v>
      </c>
      <c r="B307" s="302" t="s">
        <v>1294</v>
      </c>
      <c r="C307" s="302" t="s">
        <v>1224</v>
      </c>
      <c r="D307" s="303">
        <v>69156</v>
      </c>
      <c r="E307" s="303">
        <v>69647</v>
      </c>
      <c r="F307" s="303">
        <v>451716</v>
      </c>
      <c r="G307" s="304" t="s">
        <v>1222</v>
      </c>
      <c r="H307" s="303">
        <v>17815035</v>
      </c>
      <c r="I307" s="304" t="s">
        <v>1222</v>
      </c>
      <c r="J307" s="287"/>
    </row>
    <row r="308" spans="1:10" ht="15" customHeight="1">
      <c r="A308" s="301" t="s">
        <v>1293</v>
      </c>
      <c r="B308" s="302" t="s">
        <v>1294</v>
      </c>
      <c r="C308" s="302" t="s">
        <v>1225</v>
      </c>
      <c r="D308" s="303">
        <v>39811</v>
      </c>
      <c r="E308" s="303">
        <v>41312</v>
      </c>
      <c r="F308" s="303">
        <v>530431</v>
      </c>
      <c r="G308" s="304" t="s">
        <v>1222</v>
      </c>
      <c r="H308" s="303">
        <v>22831332</v>
      </c>
      <c r="I308" s="304" t="s">
        <v>1222</v>
      </c>
      <c r="J308" s="287"/>
    </row>
    <row r="309" spans="1:10" ht="15" customHeight="1">
      <c r="A309" s="301" t="s">
        <v>1293</v>
      </c>
      <c r="B309" s="302" t="s">
        <v>1294</v>
      </c>
      <c r="C309" s="302" t="s">
        <v>1226</v>
      </c>
      <c r="D309" s="303">
        <v>404419</v>
      </c>
      <c r="E309" s="303">
        <v>406623</v>
      </c>
      <c r="F309" s="303">
        <v>1468381</v>
      </c>
      <c r="G309" s="304" t="s">
        <v>1222</v>
      </c>
      <c r="H309" s="303">
        <v>61318365</v>
      </c>
      <c r="I309" s="304" t="s">
        <v>1222</v>
      </c>
      <c r="J309" s="287"/>
    </row>
    <row r="310" spans="1:10" ht="15" customHeight="1">
      <c r="A310" s="301" t="s">
        <v>1293</v>
      </c>
      <c r="B310" s="302" t="s">
        <v>1294</v>
      </c>
      <c r="C310" s="302" t="s">
        <v>1227</v>
      </c>
      <c r="D310" s="303">
        <v>33977</v>
      </c>
      <c r="E310" s="303">
        <v>41115</v>
      </c>
      <c r="F310" s="303">
        <v>1268670</v>
      </c>
      <c r="G310" s="304" t="s">
        <v>1222</v>
      </c>
      <c r="H310" s="303">
        <v>63271582</v>
      </c>
      <c r="I310" s="304" t="s">
        <v>1222</v>
      </c>
      <c r="J310" s="287"/>
    </row>
    <row r="311" spans="1:10" ht="15" customHeight="1">
      <c r="A311" s="301" t="s">
        <v>1293</v>
      </c>
      <c r="B311" s="302" t="s">
        <v>1294</v>
      </c>
      <c r="C311" s="302" t="s">
        <v>1228</v>
      </c>
      <c r="D311" s="303">
        <v>7457</v>
      </c>
      <c r="E311" s="303">
        <v>19189</v>
      </c>
      <c r="F311" s="303">
        <v>1121681</v>
      </c>
      <c r="G311" s="304" t="s">
        <v>1222</v>
      </c>
      <c r="H311" s="303">
        <v>63677328</v>
      </c>
      <c r="I311" s="304" t="s">
        <v>1222</v>
      </c>
      <c r="J311" s="287"/>
    </row>
    <row r="312" spans="1:10" ht="15" customHeight="1">
      <c r="A312" s="301" t="s">
        <v>1293</v>
      </c>
      <c r="B312" s="302" t="s">
        <v>1294</v>
      </c>
      <c r="C312" s="302" t="s">
        <v>1229</v>
      </c>
      <c r="D312" s="303">
        <v>445853</v>
      </c>
      <c r="E312" s="303">
        <v>466927</v>
      </c>
      <c r="F312" s="303">
        <v>3858732</v>
      </c>
      <c r="G312" s="304" t="s">
        <v>1222</v>
      </c>
      <c r="H312" s="303">
        <v>188267275</v>
      </c>
      <c r="I312" s="304" t="s">
        <v>1222</v>
      </c>
      <c r="J312" s="287"/>
    </row>
    <row r="313" spans="1:10" ht="15" customHeight="1">
      <c r="A313" s="301" t="s">
        <v>1293</v>
      </c>
      <c r="B313" s="302" t="s">
        <v>1294</v>
      </c>
      <c r="C313" s="302" t="s">
        <v>1230</v>
      </c>
      <c r="D313" s="303">
        <v>4336</v>
      </c>
      <c r="E313" s="303">
        <v>60074</v>
      </c>
      <c r="F313" s="303">
        <v>3697789</v>
      </c>
      <c r="G313" s="304" t="s">
        <v>1222</v>
      </c>
      <c r="H313" s="303">
        <v>263579563</v>
      </c>
      <c r="I313" s="304" t="s">
        <v>1222</v>
      </c>
      <c r="J313" s="287"/>
    </row>
    <row r="314" spans="1:10" ht="15" customHeight="1">
      <c r="A314" s="301" t="s">
        <v>1295</v>
      </c>
      <c r="B314" s="302" t="s">
        <v>1296</v>
      </c>
      <c r="C314" s="302" t="s">
        <v>1221</v>
      </c>
      <c r="D314" s="303">
        <v>167077</v>
      </c>
      <c r="E314" s="303">
        <v>217404</v>
      </c>
      <c r="F314" s="303">
        <v>3352151</v>
      </c>
      <c r="G314" s="304" t="s">
        <v>1222</v>
      </c>
      <c r="H314" s="303">
        <v>137928718</v>
      </c>
      <c r="I314" s="304" t="s">
        <v>1222</v>
      </c>
      <c r="J314" s="287"/>
    </row>
    <row r="315" spans="1:10" ht="15" customHeight="1">
      <c r="A315" s="301" t="s">
        <v>1295</v>
      </c>
      <c r="B315" s="302" t="s">
        <v>1296</v>
      </c>
      <c r="C315" s="302" t="s">
        <v>1223</v>
      </c>
      <c r="D315" s="303">
        <v>99073</v>
      </c>
      <c r="E315" s="303">
        <v>99193</v>
      </c>
      <c r="F315" s="303">
        <v>165815</v>
      </c>
      <c r="G315" s="304" t="s">
        <v>1222</v>
      </c>
      <c r="H315" s="303">
        <v>5659736</v>
      </c>
      <c r="I315" s="304" t="s">
        <v>1222</v>
      </c>
      <c r="J315" s="287"/>
    </row>
    <row r="316" spans="1:10" ht="15" customHeight="1">
      <c r="A316" s="301" t="s">
        <v>1295</v>
      </c>
      <c r="B316" s="302" t="s">
        <v>1296</v>
      </c>
      <c r="C316" s="302" t="s">
        <v>1224</v>
      </c>
      <c r="D316" s="303">
        <v>28613</v>
      </c>
      <c r="E316" s="303">
        <v>28971</v>
      </c>
      <c r="F316" s="303">
        <v>187859</v>
      </c>
      <c r="G316" s="304" t="s">
        <v>1222</v>
      </c>
      <c r="H316" s="303">
        <v>5799107</v>
      </c>
      <c r="I316" s="304" t="s">
        <v>1222</v>
      </c>
      <c r="J316" s="287"/>
    </row>
    <row r="317" spans="1:10" ht="15" customHeight="1">
      <c r="A317" s="301" t="s">
        <v>1295</v>
      </c>
      <c r="B317" s="302" t="s">
        <v>1296</v>
      </c>
      <c r="C317" s="302" t="s">
        <v>1225</v>
      </c>
      <c r="D317" s="303">
        <v>17259</v>
      </c>
      <c r="E317" s="303">
        <v>18287</v>
      </c>
      <c r="F317" s="303">
        <v>229744</v>
      </c>
      <c r="G317" s="304" t="s">
        <v>1222</v>
      </c>
      <c r="H317" s="303">
        <v>7356425</v>
      </c>
      <c r="I317" s="304" t="s">
        <v>1222</v>
      </c>
      <c r="J317" s="287"/>
    </row>
    <row r="318" spans="1:10" ht="15" customHeight="1">
      <c r="A318" s="301" t="s">
        <v>1295</v>
      </c>
      <c r="B318" s="302" t="s">
        <v>1296</v>
      </c>
      <c r="C318" s="302" t="s">
        <v>1226</v>
      </c>
      <c r="D318" s="303">
        <v>144945</v>
      </c>
      <c r="E318" s="303">
        <v>146451</v>
      </c>
      <c r="F318" s="303">
        <v>583418</v>
      </c>
      <c r="G318" s="304" t="s">
        <v>1222</v>
      </c>
      <c r="H318" s="303">
        <v>18815268</v>
      </c>
      <c r="I318" s="304" t="s">
        <v>1222</v>
      </c>
      <c r="J318" s="287"/>
    </row>
    <row r="319" spans="1:10" ht="15" customHeight="1">
      <c r="A319" s="301" t="s">
        <v>1295</v>
      </c>
      <c r="B319" s="302" t="s">
        <v>1296</v>
      </c>
      <c r="C319" s="302" t="s">
        <v>1227</v>
      </c>
      <c r="D319" s="303">
        <v>15071</v>
      </c>
      <c r="E319" s="303">
        <v>20402</v>
      </c>
      <c r="F319" s="303">
        <v>550787</v>
      </c>
      <c r="G319" s="304" t="s">
        <v>1222</v>
      </c>
      <c r="H319" s="303">
        <v>18663030</v>
      </c>
      <c r="I319" s="304" t="s">
        <v>1222</v>
      </c>
      <c r="J319" s="287"/>
    </row>
    <row r="320" spans="1:10" ht="15" customHeight="1">
      <c r="A320" s="301" t="s">
        <v>1295</v>
      </c>
      <c r="B320" s="302" t="s">
        <v>1296</v>
      </c>
      <c r="C320" s="302" t="s">
        <v>1228</v>
      </c>
      <c r="D320" s="303">
        <v>3590</v>
      </c>
      <c r="E320" s="303">
        <v>10603</v>
      </c>
      <c r="F320" s="303">
        <v>421792</v>
      </c>
      <c r="G320" s="304" t="s">
        <v>1222</v>
      </c>
      <c r="H320" s="303">
        <v>16452620</v>
      </c>
      <c r="I320" s="304" t="s">
        <v>1222</v>
      </c>
      <c r="J320" s="287"/>
    </row>
    <row r="321" spans="1:10" ht="15" customHeight="1">
      <c r="A321" s="301" t="s">
        <v>1295</v>
      </c>
      <c r="B321" s="302" t="s">
        <v>1296</v>
      </c>
      <c r="C321" s="302" t="s">
        <v>1229</v>
      </c>
      <c r="D321" s="303">
        <v>163606</v>
      </c>
      <c r="E321" s="303">
        <v>177456</v>
      </c>
      <c r="F321" s="303">
        <v>1555997</v>
      </c>
      <c r="G321" s="304" t="s">
        <v>1222</v>
      </c>
      <c r="H321" s="303">
        <v>53930918</v>
      </c>
      <c r="I321" s="304" t="s">
        <v>1222</v>
      </c>
      <c r="J321" s="287"/>
    </row>
    <row r="322" spans="1:10" ht="15" customHeight="1">
      <c r="A322" s="301" t="s">
        <v>1295</v>
      </c>
      <c r="B322" s="302" t="s">
        <v>1296</v>
      </c>
      <c r="C322" s="302" t="s">
        <v>1230</v>
      </c>
      <c r="D322" s="303">
        <v>3471</v>
      </c>
      <c r="E322" s="303">
        <v>39948</v>
      </c>
      <c r="F322" s="303">
        <v>1796154</v>
      </c>
      <c r="G322" s="304" t="s">
        <v>1222</v>
      </c>
      <c r="H322" s="303">
        <v>83997800</v>
      </c>
      <c r="I322" s="304" t="s">
        <v>1222</v>
      </c>
      <c r="J322" s="287"/>
    </row>
    <row r="323" spans="1:10" ht="15" customHeight="1">
      <c r="A323" s="301" t="s">
        <v>1297</v>
      </c>
      <c r="B323" s="302" t="s">
        <v>1298</v>
      </c>
      <c r="C323" s="302" t="s">
        <v>1221</v>
      </c>
      <c r="D323" s="303">
        <v>19520</v>
      </c>
      <c r="E323" s="303">
        <v>23551</v>
      </c>
      <c r="F323" s="303">
        <v>331278</v>
      </c>
      <c r="G323" s="304" t="s">
        <v>1222</v>
      </c>
      <c r="H323" s="303">
        <v>14705136</v>
      </c>
      <c r="I323" s="304" t="s">
        <v>1222</v>
      </c>
      <c r="J323" s="287"/>
    </row>
    <row r="324" spans="1:10" ht="15" customHeight="1">
      <c r="A324" s="301" t="s">
        <v>1297</v>
      </c>
      <c r="B324" s="302" t="s">
        <v>1298</v>
      </c>
      <c r="C324" s="302" t="s">
        <v>1223</v>
      </c>
      <c r="D324" s="303">
        <v>10836</v>
      </c>
      <c r="E324" s="303">
        <v>10842</v>
      </c>
      <c r="F324" s="303">
        <v>17336</v>
      </c>
      <c r="G324" s="304" t="s">
        <v>1222</v>
      </c>
      <c r="H324" s="303">
        <v>665018</v>
      </c>
      <c r="I324" s="304" t="s">
        <v>1222</v>
      </c>
      <c r="J324" s="287"/>
    </row>
    <row r="325" spans="1:10" ht="15" customHeight="1">
      <c r="A325" s="301" t="s">
        <v>1297</v>
      </c>
      <c r="B325" s="302" t="s">
        <v>1298</v>
      </c>
      <c r="C325" s="302" t="s">
        <v>1224</v>
      </c>
      <c r="D325" s="303">
        <v>3326</v>
      </c>
      <c r="E325" s="303">
        <v>3358</v>
      </c>
      <c r="F325" s="303">
        <v>21789</v>
      </c>
      <c r="G325" s="304" t="s">
        <v>1222</v>
      </c>
      <c r="H325" s="303">
        <v>723000</v>
      </c>
      <c r="I325" s="304" t="s">
        <v>1222</v>
      </c>
      <c r="J325" s="287"/>
    </row>
    <row r="326" spans="1:10" ht="15" customHeight="1">
      <c r="A326" s="301" t="s">
        <v>1297</v>
      </c>
      <c r="B326" s="302" t="s">
        <v>1298</v>
      </c>
      <c r="C326" s="302" t="s">
        <v>1225</v>
      </c>
      <c r="D326" s="303">
        <v>2084</v>
      </c>
      <c r="E326" s="303">
        <v>2245</v>
      </c>
      <c r="F326" s="303">
        <v>27783</v>
      </c>
      <c r="G326" s="304" t="s">
        <v>1222</v>
      </c>
      <c r="H326" s="303">
        <v>995000</v>
      </c>
      <c r="I326" s="304" t="s">
        <v>1222</v>
      </c>
      <c r="J326" s="287"/>
    </row>
    <row r="327" spans="1:10" ht="15" customHeight="1">
      <c r="A327" s="301" t="s">
        <v>1297</v>
      </c>
      <c r="B327" s="302" t="s">
        <v>1298</v>
      </c>
      <c r="C327" s="302" t="s">
        <v>1226</v>
      </c>
      <c r="D327" s="303">
        <v>16246</v>
      </c>
      <c r="E327" s="303">
        <v>16445</v>
      </c>
      <c r="F327" s="303">
        <v>66908</v>
      </c>
      <c r="G327" s="304" t="s">
        <v>1222</v>
      </c>
      <c r="H327" s="303">
        <v>2383018</v>
      </c>
      <c r="I327" s="304" t="s">
        <v>1222</v>
      </c>
      <c r="J327" s="287"/>
    </row>
    <row r="328" spans="1:10" ht="15" customHeight="1">
      <c r="A328" s="301" t="s">
        <v>1297</v>
      </c>
      <c r="B328" s="302" t="s">
        <v>1298</v>
      </c>
      <c r="C328" s="302" t="s">
        <v>1227</v>
      </c>
      <c r="D328" s="303">
        <v>1942</v>
      </c>
      <c r="E328" s="303">
        <v>2751</v>
      </c>
      <c r="F328" s="303">
        <v>70026</v>
      </c>
      <c r="G328" s="304" t="s">
        <v>1222</v>
      </c>
      <c r="H328" s="303">
        <v>2825049</v>
      </c>
      <c r="I328" s="304" t="s">
        <v>1222</v>
      </c>
      <c r="J328" s="287"/>
    </row>
    <row r="329" spans="1:10" ht="15" customHeight="1">
      <c r="A329" s="301" t="s">
        <v>1297</v>
      </c>
      <c r="B329" s="302" t="s">
        <v>1298</v>
      </c>
      <c r="C329" s="302" t="s">
        <v>1228</v>
      </c>
      <c r="D329" s="303">
        <v>523</v>
      </c>
      <c r="E329" s="303">
        <v>1447</v>
      </c>
      <c r="F329" s="303">
        <v>57315</v>
      </c>
      <c r="G329" s="304" t="s">
        <v>1222</v>
      </c>
      <c r="H329" s="303">
        <v>2327132</v>
      </c>
      <c r="I329" s="304" t="s">
        <v>1222</v>
      </c>
      <c r="J329" s="287"/>
    </row>
    <row r="330" spans="1:10" ht="15" customHeight="1">
      <c r="A330" s="301" t="s">
        <v>1297</v>
      </c>
      <c r="B330" s="302" t="s">
        <v>1298</v>
      </c>
      <c r="C330" s="302" t="s">
        <v>1229</v>
      </c>
      <c r="D330" s="303">
        <v>18711</v>
      </c>
      <c r="E330" s="303">
        <v>20643</v>
      </c>
      <c r="F330" s="303">
        <v>194249</v>
      </c>
      <c r="G330" s="304" t="s">
        <v>1222</v>
      </c>
      <c r="H330" s="303">
        <v>7535199</v>
      </c>
      <c r="I330" s="304" t="s">
        <v>1222</v>
      </c>
      <c r="J330" s="287"/>
    </row>
    <row r="331" spans="1:10" ht="15" customHeight="1">
      <c r="A331" s="301" t="s">
        <v>1297</v>
      </c>
      <c r="B331" s="302" t="s">
        <v>1298</v>
      </c>
      <c r="C331" s="302" t="s">
        <v>1230</v>
      </c>
      <c r="D331" s="303">
        <v>809</v>
      </c>
      <c r="E331" s="303">
        <v>2908</v>
      </c>
      <c r="F331" s="303">
        <v>137029</v>
      </c>
      <c r="G331" s="304" t="s">
        <v>1222</v>
      </c>
      <c r="H331" s="303">
        <v>7169937</v>
      </c>
      <c r="I331" s="304" t="s">
        <v>1222</v>
      </c>
      <c r="J331" s="287"/>
    </row>
    <row r="332" spans="1:10" ht="15" customHeight="1">
      <c r="A332" s="301" t="s">
        <v>1299</v>
      </c>
      <c r="B332" s="302" t="s">
        <v>1300</v>
      </c>
      <c r="C332" s="302" t="s">
        <v>1221</v>
      </c>
      <c r="D332" s="303">
        <v>186870</v>
      </c>
      <c r="E332" s="303">
        <v>250842</v>
      </c>
      <c r="F332" s="303">
        <v>4548143</v>
      </c>
      <c r="G332" s="304" t="s">
        <v>1222</v>
      </c>
      <c r="H332" s="303">
        <v>191069504</v>
      </c>
      <c r="I332" s="304" t="s">
        <v>1222</v>
      </c>
      <c r="J332" s="287"/>
    </row>
    <row r="333" spans="1:10" ht="15" customHeight="1">
      <c r="A333" s="301" t="s">
        <v>1299</v>
      </c>
      <c r="B333" s="302" t="s">
        <v>1300</v>
      </c>
      <c r="C333" s="302" t="s">
        <v>1223</v>
      </c>
      <c r="D333" s="303">
        <v>100957</v>
      </c>
      <c r="E333" s="303">
        <v>101096</v>
      </c>
      <c r="F333" s="303">
        <v>178820</v>
      </c>
      <c r="G333" s="304" t="s">
        <v>1222</v>
      </c>
      <c r="H333" s="303">
        <v>6118883</v>
      </c>
      <c r="I333" s="304" t="s">
        <v>1222</v>
      </c>
      <c r="J333" s="287"/>
    </row>
    <row r="334" spans="1:10" ht="15" customHeight="1">
      <c r="A334" s="301" t="s">
        <v>1299</v>
      </c>
      <c r="B334" s="302" t="s">
        <v>1300</v>
      </c>
      <c r="C334" s="302" t="s">
        <v>1224</v>
      </c>
      <c r="D334" s="303">
        <v>35075</v>
      </c>
      <c r="E334" s="303">
        <v>35481</v>
      </c>
      <c r="F334" s="303">
        <v>231043</v>
      </c>
      <c r="G334" s="304" t="s">
        <v>1222</v>
      </c>
      <c r="H334" s="303">
        <v>7225048</v>
      </c>
      <c r="I334" s="304" t="s">
        <v>1222</v>
      </c>
      <c r="J334" s="287"/>
    </row>
    <row r="335" spans="1:10" ht="15" customHeight="1">
      <c r="A335" s="301" t="s">
        <v>1299</v>
      </c>
      <c r="B335" s="302" t="s">
        <v>1300</v>
      </c>
      <c r="C335" s="302" t="s">
        <v>1225</v>
      </c>
      <c r="D335" s="303">
        <v>22215</v>
      </c>
      <c r="E335" s="303">
        <v>23549</v>
      </c>
      <c r="F335" s="303">
        <v>297543</v>
      </c>
      <c r="G335" s="304" t="s">
        <v>1222</v>
      </c>
      <c r="H335" s="303">
        <v>10113780</v>
      </c>
      <c r="I335" s="304" t="s">
        <v>1222</v>
      </c>
      <c r="J335" s="287"/>
    </row>
    <row r="336" spans="1:10" ht="15" customHeight="1">
      <c r="A336" s="301" t="s">
        <v>1299</v>
      </c>
      <c r="B336" s="302" t="s">
        <v>1300</v>
      </c>
      <c r="C336" s="302" t="s">
        <v>1226</v>
      </c>
      <c r="D336" s="303">
        <v>158247</v>
      </c>
      <c r="E336" s="303">
        <v>160126</v>
      </c>
      <c r="F336" s="303">
        <v>707406</v>
      </c>
      <c r="G336" s="304" t="s">
        <v>1222</v>
      </c>
      <c r="H336" s="303">
        <v>23457711</v>
      </c>
      <c r="I336" s="304" t="s">
        <v>1222</v>
      </c>
      <c r="J336" s="287"/>
    </row>
    <row r="337" spans="1:10" ht="15" customHeight="1">
      <c r="A337" s="301" t="s">
        <v>1299</v>
      </c>
      <c r="B337" s="302" t="s">
        <v>1300</v>
      </c>
      <c r="C337" s="302" t="s">
        <v>1227</v>
      </c>
      <c r="D337" s="303">
        <v>19998</v>
      </c>
      <c r="E337" s="303">
        <v>27021</v>
      </c>
      <c r="F337" s="303">
        <v>755493</v>
      </c>
      <c r="G337" s="304" t="s">
        <v>1222</v>
      </c>
      <c r="H337" s="303">
        <v>27820726</v>
      </c>
      <c r="I337" s="304" t="s">
        <v>1222</v>
      </c>
      <c r="J337" s="287"/>
    </row>
    <row r="338" spans="1:10" ht="15" customHeight="1">
      <c r="A338" s="301" t="s">
        <v>1299</v>
      </c>
      <c r="B338" s="302" t="s">
        <v>1300</v>
      </c>
      <c r="C338" s="302" t="s">
        <v>1228</v>
      </c>
      <c r="D338" s="303">
        <v>4817</v>
      </c>
      <c r="E338" s="303">
        <v>14454</v>
      </c>
      <c r="F338" s="303">
        <v>661046</v>
      </c>
      <c r="G338" s="304" t="s">
        <v>1222</v>
      </c>
      <c r="H338" s="303">
        <v>25976113</v>
      </c>
      <c r="I338" s="304" t="s">
        <v>1222</v>
      </c>
      <c r="J338" s="287"/>
    </row>
    <row r="339" spans="1:10" ht="15" customHeight="1">
      <c r="A339" s="301" t="s">
        <v>1299</v>
      </c>
      <c r="B339" s="302" t="s">
        <v>1300</v>
      </c>
      <c r="C339" s="302" t="s">
        <v>1229</v>
      </c>
      <c r="D339" s="303">
        <v>183062</v>
      </c>
      <c r="E339" s="303">
        <v>201601</v>
      </c>
      <c r="F339" s="303">
        <v>2123945</v>
      </c>
      <c r="G339" s="304" t="s">
        <v>1222</v>
      </c>
      <c r="H339" s="303">
        <v>77254550</v>
      </c>
      <c r="I339" s="304" t="s">
        <v>1222</v>
      </c>
      <c r="J339" s="287"/>
    </row>
    <row r="340" spans="1:10" ht="15" customHeight="1">
      <c r="A340" s="301" t="s">
        <v>1299</v>
      </c>
      <c r="B340" s="302" t="s">
        <v>1300</v>
      </c>
      <c r="C340" s="302" t="s">
        <v>1230</v>
      </c>
      <c r="D340" s="303">
        <v>3808</v>
      </c>
      <c r="E340" s="303">
        <v>49241</v>
      </c>
      <c r="F340" s="303">
        <v>2424198</v>
      </c>
      <c r="G340" s="304" t="s">
        <v>1222</v>
      </c>
      <c r="H340" s="303">
        <v>113814954</v>
      </c>
      <c r="I340" s="304" t="s">
        <v>1222</v>
      </c>
      <c r="J340" s="287"/>
    </row>
    <row r="341" spans="1:10" ht="15" customHeight="1">
      <c r="A341" s="301" t="s">
        <v>1301</v>
      </c>
      <c r="B341" s="302" t="s">
        <v>1302</v>
      </c>
      <c r="C341" s="302" t="s">
        <v>1221</v>
      </c>
      <c r="D341" s="303">
        <v>72041</v>
      </c>
      <c r="E341" s="303">
        <v>90954</v>
      </c>
      <c r="F341" s="303">
        <v>1305183</v>
      </c>
      <c r="G341" s="304" t="s">
        <v>1222</v>
      </c>
      <c r="H341" s="303">
        <v>53518174</v>
      </c>
      <c r="I341" s="304" t="s">
        <v>1222</v>
      </c>
      <c r="J341" s="287"/>
    </row>
    <row r="342" spans="1:10" ht="15" customHeight="1">
      <c r="A342" s="301" t="s">
        <v>1301</v>
      </c>
      <c r="B342" s="302" t="s">
        <v>1302</v>
      </c>
      <c r="C342" s="302" t="s">
        <v>1223</v>
      </c>
      <c r="D342" s="303">
        <v>41923</v>
      </c>
      <c r="E342" s="303">
        <v>41984</v>
      </c>
      <c r="F342" s="303">
        <v>72174</v>
      </c>
      <c r="G342" s="304" t="s">
        <v>1222</v>
      </c>
      <c r="H342" s="303">
        <v>2554521</v>
      </c>
      <c r="I342" s="304" t="s">
        <v>1222</v>
      </c>
      <c r="J342" s="287"/>
    </row>
    <row r="343" spans="1:10" ht="15" customHeight="1">
      <c r="A343" s="301" t="s">
        <v>1301</v>
      </c>
      <c r="B343" s="302" t="s">
        <v>1302</v>
      </c>
      <c r="C343" s="302" t="s">
        <v>1224</v>
      </c>
      <c r="D343" s="303">
        <v>12545</v>
      </c>
      <c r="E343" s="303">
        <v>12668</v>
      </c>
      <c r="F343" s="303">
        <v>82100</v>
      </c>
      <c r="G343" s="304" t="s">
        <v>1222</v>
      </c>
      <c r="H343" s="303">
        <v>2536540</v>
      </c>
      <c r="I343" s="304" t="s">
        <v>1222</v>
      </c>
      <c r="J343" s="287"/>
    </row>
    <row r="344" spans="1:10" ht="15" customHeight="1">
      <c r="A344" s="301" t="s">
        <v>1301</v>
      </c>
      <c r="B344" s="302" t="s">
        <v>1302</v>
      </c>
      <c r="C344" s="302" t="s">
        <v>1225</v>
      </c>
      <c r="D344" s="303">
        <v>7310</v>
      </c>
      <c r="E344" s="303">
        <v>7719</v>
      </c>
      <c r="F344" s="303">
        <v>97424</v>
      </c>
      <c r="G344" s="304" t="s">
        <v>1222</v>
      </c>
      <c r="H344" s="303">
        <v>3200169</v>
      </c>
      <c r="I344" s="304" t="s">
        <v>1222</v>
      </c>
      <c r="J344" s="287"/>
    </row>
    <row r="345" spans="1:10" ht="15" customHeight="1">
      <c r="A345" s="301" t="s">
        <v>1301</v>
      </c>
      <c r="B345" s="302" t="s">
        <v>1302</v>
      </c>
      <c r="C345" s="302" t="s">
        <v>1226</v>
      </c>
      <c r="D345" s="303">
        <v>61778</v>
      </c>
      <c r="E345" s="303">
        <v>62371</v>
      </c>
      <c r="F345" s="303">
        <v>251698</v>
      </c>
      <c r="G345" s="304" t="s">
        <v>1222</v>
      </c>
      <c r="H345" s="303">
        <v>8291230</v>
      </c>
      <c r="I345" s="304" t="s">
        <v>1222</v>
      </c>
      <c r="J345" s="287"/>
    </row>
    <row r="346" spans="1:10" ht="15" customHeight="1">
      <c r="A346" s="301" t="s">
        <v>1301</v>
      </c>
      <c r="B346" s="302" t="s">
        <v>1302</v>
      </c>
      <c r="C346" s="302" t="s">
        <v>1227</v>
      </c>
      <c r="D346" s="303">
        <v>6485</v>
      </c>
      <c r="E346" s="303">
        <v>8876</v>
      </c>
      <c r="F346" s="303">
        <v>242451</v>
      </c>
      <c r="G346" s="304" t="s">
        <v>1222</v>
      </c>
      <c r="H346" s="303">
        <v>8632061</v>
      </c>
      <c r="I346" s="304" t="s">
        <v>1222</v>
      </c>
      <c r="J346" s="287"/>
    </row>
    <row r="347" spans="1:10" ht="15" customHeight="1">
      <c r="A347" s="301" t="s">
        <v>1301</v>
      </c>
      <c r="B347" s="302" t="s">
        <v>1302</v>
      </c>
      <c r="C347" s="302" t="s">
        <v>1228</v>
      </c>
      <c r="D347" s="303">
        <v>1703</v>
      </c>
      <c r="E347" s="303">
        <v>5081</v>
      </c>
      <c r="F347" s="303">
        <v>199583</v>
      </c>
      <c r="G347" s="304" t="s">
        <v>1222</v>
      </c>
      <c r="H347" s="303">
        <v>8051894</v>
      </c>
      <c r="I347" s="304" t="s">
        <v>1222</v>
      </c>
      <c r="J347" s="287"/>
    </row>
    <row r="348" spans="1:10" ht="15" customHeight="1">
      <c r="A348" s="301" t="s">
        <v>1301</v>
      </c>
      <c r="B348" s="302" t="s">
        <v>1302</v>
      </c>
      <c r="C348" s="302" t="s">
        <v>1229</v>
      </c>
      <c r="D348" s="303">
        <v>69966</v>
      </c>
      <c r="E348" s="303">
        <v>76328</v>
      </c>
      <c r="F348" s="303">
        <v>693732</v>
      </c>
      <c r="G348" s="304" t="s">
        <v>1222</v>
      </c>
      <c r="H348" s="303">
        <v>24975185</v>
      </c>
      <c r="I348" s="304" t="s">
        <v>1222</v>
      </c>
      <c r="J348" s="287"/>
    </row>
    <row r="349" spans="1:10" ht="15" customHeight="1">
      <c r="A349" s="301" t="s">
        <v>1301</v>
      </c>
      <c r="B349" s="302" t="s">
        <v>1302</v>
      </c>
      <c r="C349" s="302" t="s">
        <v>1230</v>
      </c>
      <c r="D349" s="303">
        <v>2075</v>
      </c>
      <c r="E349" s="303">
        <v>14626</v>
      </c>
      <c r="F349" s="303">
        <v>611451</v>
      </c>
      <c r="G349" s="304" t="s">
        <v>1222</v>
      </c>
      <c r="H349" s="303">
        <v>28542989</v>
      </c>
      <c r="I349" s="304" t="s">
        <v>1222</v>
      </c>
      <c r="J349" s="287"/>
    </row>
    <row r="350" spans="1:10" ht="15" customHeight="1">
      <c r="A350" s="301" t="s">
        <v>1303</v>
      </c>
      <c r="B350" s="302" t="s">
        <v>1056</v>
      </c>
      <c r="C350" s="302" t="s">
        <v>1221</v>
      </c>
      <c r="D350" s="303">
        <v>87717</v>
      </c>
      <c r="E350" s="303">
        <v>107549</v>
      </c>
      <c r="F350" s="303">
        <v>1363523</v>
      </c>
      <c r="G350" s="304" t="s">
        <v>1222</v>
      </c>
      <c r="H350" s="303">
        <v>58477866</v>
      </c>
      <c r="I350" s="304" t="s">
        <v>1222</v>
      </c>
      <c r="J350" s="287"/>
    </row>
    <row r="351" spans="1:10" ht="15" customHeight="1">
      <c r="A351" s="301" t="s">
        <v>1303</v>
      </c>
      <c r="B351" s="302" t="s">
        <v>1056</v>
      </c>
      <c r="C351" s="302" t="s">
        <v>1223</v>
      </c>
      <c r="D351" s="303">
        <v>52471</v>
      </c>
      <c r="E351" s="303">
        <v>52513</v>
      </c>
      <c r="F351" s="303">
        <v>86750</v>
      </c>
      <c r="G351" s="304" t="s">
        <v>1222</v>
      </c>
      <c r="H351" s="303">
        <v>2908044</v>
      </c>
      <c r="I351" s="304" t="s">
        <v>1222</v>
      </c>
      <c r="J351" s="287"/>
    </row>
    <row r="352" spans="1:10" ht="15" customHeight="1">
      <c r="A352" s="301" t="s">
        <v>1303</v>
      </c>
      <c r="B352" s="302" t="s">
        <v>1056</v>
      </c>
      <c r="C352" s="302" t="s">
        <v>1224</v>
      </c>
      <c r="D352" s="303">
        <v>15127</v>
      </c>
      <c r="E352" s="303">
        <v>15281</v>
      </c>
      <c r="F352" s="303">
        <v>99272</v>
      </c>
      <c r="G352" s="304" t="s">
        <v>1222</v>
      </c>
      <c r="H352" s="303">
        <v>2978592</v>
      </c>
      <c r="I352" s="304" t="s">
        <v>1222</v>
      </c>
      <c r="J352" s="287"/>
    </row>
    <row r="353" spans="1:10" ht="15" customHeight="1">
      <c r="A353" s="301" t="s">
        <v>1303</v>
      </c>
      <c r="B353" s="302" t="s">
        <v>1056</v>
      </c>
      <c r="C353" s="302" t="s">
        <v>1225</v>
      </c>
      <c r="D353" s="303">
        <v>9099</v>
      </c>
      <c r="E353" s="303">
        <v>9651</v>
      </c>
      <c r="F353" s="303">
        <v>120576</v>
      </c>
      <c r="G353" s="304" t="s">
        <v>1222</v>
      </c>
      <c r="H353" s="303">
        <v>3823315</v>
      </c>
      <c r="I353" s="304" t="s">
        <v>1222</v>
      </c>
      <c r="J353" s="287"/>
    </row>
    <row r="354" spans="1:10" ht="15" customHeight="1">
      <c r="A354" s="301" t="s">
        <v>1303</v>
      </c>
      <c r="B354" s="302" t="s">
        <v>1056</v>
      </c>
      <c r="C354" s="302" t="s">
        <v>1226</v>
      </c>
      <c r="D354" s="303">
        <v>76697</v>
      </c>
      <c r="E354" s="303">
        <v>77445</v>
      </c>
      <c r="F354" s="303">
        <v>306598</v>
      </c>
      <c r="G354" s="304" t="s">
        <v>1222</v>
      </c>
      <c r="H354" s="303">
        <v>9709951</v>
      </c>
      <c r="I354" s="304" t="s">
        <v>1222</v>
      </c>
      <c r="J354" s="287"/>
    </row>
    <row r="355" spans="1:10" ht="15" customHeight="1">
      <c r="A355" s="301" t="s">
        <v>1303</v>
      </c>
      <c r="B355" s="302" t="s">
        <v>1056</v>
      </c>
      <c r="C355" s="302" t="s">
        <v>1227</v>
      </c>
      <c r="D355" s="303">
        <v>7137</v>
      </c>
      <c r="E355" s="303">
        <v>10094</v>
      </c>
      <c r="F355" s="303">
        <v>254986</v>
      </c>
      <c r="G355" s="304" t="s">
        <v>1222</v>
      </c>
      <c r="H355" s="303">
        <v>9522922</v>
      </c>
      <c r="I355" s="304" t="s">
        <v>1222</v>
      </c>
      <c r="J355" s="287"/>
    </row>
    <row r="356" spans="1:10" ht="15" customHeight="1">
      <c r="A356" s="301" t="s">
        <v>1303</v>
      </c>
      <c r="B356" s="302" t="s">
        <v>1056</v>
      </c>
      <c r="C356" s="302" t="s">
        <v>1228</v>
      </c>
      <c r="D356" s="303">
        <v>1763</v>
      </c>
      <c r="E356" s="303">
        <v>5781</v>
      </c>
      <c r="F356" s="303">
        <v>195548</v>
      </c>
      <c r="G356" s="304" t="s">
        <v>1222</v>
      </c>
      <c r="H356" s="303">
        <v>7961547</v>
      </c>
      <c r="I356" s="304" t="s">
        <v>1222</v>
      </c>
      <c r="J356" s="287"/>
    </row>
    <row r="357" spans="1:10" ht="15" customHeight="1">
      <c r="A357" s="301" t="s">
        <v>1303</v>
      </c>
      <c r="B357" s="302" t="s">
        <v>1056</v>
      </c>
      <c r="C357" s="302" t="s">
        <v>1229</v>
      </c>
      <c r="D357" s="303">
        <v>85597</v>
      </c>
      <c r="E357" s="303">
        <v>93320</v>
      </c>
      <c r="F357" s="303">
        <v>757132</v>
      </c>
      <c r="G357" s="304" t="s">
        <v>1222</v>
      </c>
      <c r="H357" s="303">
        <v>27194420</v>
      </c>
      <c r="I357" s="304" t="s">
        <v>1222</v>
      </c>
      <c r="J357" s="287"/>
    </row>
    <row r="358" spans="1:10" ht="15" customHeight="1">
      <c r="A358" s="301" t="s">
        <v>1303</v>
      </c>
      <c r="B358" s="302" t="s">
        <v>1056</v>
      </c>
      <c r="C358" s="302" t="s">
        <v>1230</v>
      </c>
      <c r="D358" s="303">
        <v>2120</v>
      </c>
      <c r="E358" s="303">
        <v>14229</v>
      </c>
      <c r="F358" s="303">
        <v>606391</v>
      </c>
      <c r="G358" s="304" t="s">
        <v>1222</v>
      </c>
      <c r="H358" s="303">
        <v>31283446</v>
      </c>
      <c r="I358" s="304" t="s">
        <v>1222</v>
      </c>
      <c r="J358" s="287"/>
    </row>
    <row r="359" spans="1:10" ht="15" customHeight="1">
      <c r="A359" s="301" t="s">
        <v>1304</v>
      </c>
      <c r="B359" s="302" t="s">
        <v>1305</v>
      </c>
      <c r="C359" s="302" t="s">
        <v>1221</v>
      </c>
      <c r="D359" s="303">
        <v>229428</v>
      </c>
      <c r="E359" s="303">
        <v>296872</v>
      </c>
      <c r="F359" s="303">
        <v>5169196</v>
      </c>
      <c r="G359" s="304" t="s">
        <v>1222</v>
      </c>
      <c r="H359" s="303">
        <v>231749663</v>
      </c>
      <c r="I359" s="304" t="s">
        <v>1222</v>
      </c>
      <c r="J359" s="287"/>
    </row>
    <row r="360" spans="1:10" ht="15" customHeight="1">
      <c r="A360" s="301" t="s">
        <v>1304</v>
      </c>
      <c r="B360" s="302" t="s">
        <v>1305</v>
      </c>
      <c r="C360" s="302" t="s">
        <v>1223</v>
      </c>
      <c r="D360" s="303">
        <v>129198</v>
      </c>
      <c r="E360" s="303">
        <v>129348</v>
      </c>
      <c r="F360" s="303">
        <v>230799</v>
      </c>
      <c r="G360" s="304" t="s">
        <v>1222</v>
      </c>
      <c r="H360" s="303">
        <v>8018434</v>
      </c>
      <c r="I360" s="304" t="s">
        <v>1222</v>
      </c>
      <c r="J360" s="287"/>
    </row>
    <row r="361" spans="1:10" ht="15" customHeight="1">
      <c r="A361" s="301" t="s">
        <v>1304</v>
      </c>
      <c r="B361" s="302" t="s">
        <v>1305</v>
      </c>
      <c r="C361" s="302" t="s">
        <v>1224</v>
      </c>
      <c r="D361" s="303">
        <v>42188</v>
      </c>
      <c r="E361" s="303">
        <v>42658</v>
      </c>
      <c r="F361" s="303">
        <v>277092</v>
      </c>
      <c r="G361" s="304" t="s">
        <v>1222</v>
      </c>
      <c r="H361" s="303">
        <v>8965611</v>
      </c>
      <c r="I361" s="304" t="s">
        <v>1222</v>
      </c>
      <c r="J361" s="287"/>
    </row>
    <row r="362" spans="1:10" ht="15" customHeight="1">
      <c r="A362" s="301" t="s">
        <v>1304</v>
      </c>
      <c r="B362" s="302" t="s">
        <v>1305</v>
      </c>
      <c r="C362" s="302" t="s">
        <v>1225</v>
      </c>
      <c r="D362" s="303">
        <v>25603</v>
      </c>
      <c r="E362" s="303">
        <v>26874</v>
      </c>
      <c r="F362" s="303">
        <v>342866</v>
      </c>
      <c r="G362" s="304" t="s">
        <v>1222</v>
      </c>
      <c r="H362" s="303">
        <v>12215464</v>
      </c>
      <c r="I362" s="304" t="s">
        <v>1222</v>
      </c>
      <c r="J362" s="287"/>
    </row>
    <row r="363" spans="1:10" ht="15" customHeight="1">
      <c r="A363" s="301" t="s">
        <v>1304</v>
      </c>
      <c r="B363" s="302" t="s">
        <v>1305</v>
      </c>
      <c r="C363" s="302" t="s">
        <v>1226</v>
      </c>
      <c r="D363" s="303">
        <v>196989</v>
      </c>
      <c r="E363" s="303">
        <v>198880</v>
      </c>
      <c r="F363" s="303">
        <v>850757</v>
      </c>
      <c r="G363" s="304" t="s">
        <v>1222</v>
      </c>
      <c r="H363" s="303">
        <v>29199509</v>
      </c>
      <c r="I363" s="304" t="s">
        <v>1222</v>
      </c>
      <c r="J363" s="287"/>
    </row>
    <row r="364" spans="1:10" ht="15" customHeight="1">
      <c r="A364" s="301" t="s">
        <v>1304</v>
      </c>
      <c r="B364" s="302" t="s">
        <v>1305</v>
      </c>
      <c r="C364" s="302" t="s">
        <v>1227</v>
      </c>
      <c r="D364" s="303">
        <v>23027</v>
      </c>
      <c r="E364" s="303">
        <v>29931</v>
      </c>
      <c r="F364" s="303">
        <v>865202</v>
      </c>
      <c r="G364" s="304" t="s">
        <v>1222</v>
      </c>
      <c r="H364" s="303">
        <v>34033335</v>
      </c>
      <c r="I364" s="304" t="s">
        <v>1222</v>
      </c>
      <c r="J364" s="287"/>
    </row>
    <row r="365" spans="1:10" ht="15" customHeight="1">
      <c r="A365" s="301" t="s">
        <v>1304</v>
      </c>
      <c r="B365" s="302" t="s">
        <v>1305</v>
      </c>
      <c r="C365" s="302" t="s">
        <v>1228</v>
      </c>
      <c r="D365" s="303">
        <v>5366</v>
      </c>
      <c r="E365" s="303">
        <v>15652</v>
      </c>
      <c r="F365" s="303">
        <v>729064</v>
      </c>
      <c r="G365" s="304" t="s">
        <v>1222</v>
      </c>
      <c r="H365" s="303">
        <v>30969261</v>
      </c>
      <c r="I365" s="304" t="s">
        <v>1222</v>
      </c>
      <c r="J365" s="287"/>
    </row>
    <row r="366" spans="1:10" ht="15" customHeight="1">
      <c r="A366" s="301" t="s">
        <v>1304</v>
      </c>
      <c r="B366" s="302" t="s">
        <v>1305</v>
      </c>
      <c r="C366" s="302" t="s">
        <v>1229</v>
      </c>
      <c r="D366" s="303">
        <v>225382</v>
      </c>
      <c r="E366" s="303">
        <v>244463</v>
      </c>
      <c r="F366" s="303">
        <v>2445023</v>
      </c>
      <c r="G366" s="304" t="s">
        <v>1222</v>
      </c>
      <c r="H366" s="303">
        <v>94202105</v>
      </c>
      <c r="I366" s="304" t="s">
        <v>1222</v>
      </c>
      <c r="J366" s="287"/>
    </row>
    <row r="367" spans="1:10" ht="15" customHeight="1">
      <c r="A367" s="301" t="s">
        <v>1304</v>
      </c>
      <c r="B367" s="302" t="s">
        <v>1305</v>
      </c>
      <c r="C367" s="302" t="s">
        <v>1230</v>
      </c>
      <c r="D367" s="303">
        <v>4046</v>
      </c>
      <c r="E367" s="303">
        <v>52409</v>
      </c>
      <c r="F367" s="303">
        <v>2724173</v>
      </c>
      <c r="G367" s="304" t="s">
        <v>1222</v>
      </c>
      <c r="H367" s="303">
        <v>137547558</v>
      </c>
      <c r="I367" s="304" t="s">
        <v>1222</v>
      </c>
      <c r="J367" s="287"/>
    </row>
    <row r="368" spans="1:10" ht="15" customHeight="1">
      <c r="A368" s="301" t="s">
        <v>1306</v>
      </c>
      <c r="B368" s="302" t="s">
        <v>1307</v>
      </c>
      <c r="C368" s="302" t="s">
        <v>1221</v>
      </c>
      <c r="D368" s="303">
        <v>24022</v>
      </c>
      <c r="E368" s="303">
        <v>28034</v>
      </c>
      <c r="F368" s="303">
        <v>402977</v>
      </c>
      <c r="G368" s="304" t="s">
        <v>1222</v>
      </c>
      <c r="H368" s="303">
        <v>17286685</v>
      </c>
      <c r="I368" s="304" t="s">
        <v>1222</v>
      </c>
      <c r="J368" s="287"/>
    </row>
    <row r="369" spans="1:10" ht="15" customHeight="1">
      <c r="A369" s="301" t="s">
        <v>1306</v>
      </c>
      <c r="B369" s="302" t="s">
        <v>1307</v>
      </c>
      <c r="C369" s="302" t="s">
        <v>1223</v>
      </c>
      <c r="D369" s="303">
        <v>13918</v>
      </c>
      <c r="E369" s="303">
        <v>13927</v>
      </c>
      <c r="F369" s="303">
        <v>23318</v>
      </c>
      <c r="G369" s="304" t="s">
        <v>1222</v>
      </c>
      <c r="H369" s="303">
        <v>902542</v>
      </c>
      <c r="I369" s="304" t="s">
        <v>1222</v>
      </c>
      <c r="J369" s="287"/>
    </row>
    <row r="370" spans="1:10" ht="15" customHeight="1">
      <c r="A370" s="301" t="s">
        <v>1306</v>
      </c>
      <c r="B370" s="302" t="s">
        <v>1307</v>
      </c>
      <c r="C370" s="302" t="s">
        <v>1224</v>
      </c>
      <c r="D370" s="303">
        <v>3963</v>
      </c>
      <c r="E370" s="303">
        <v>3995</v>
      </c>
      <c r="F370" s="303">
        <v>25899</v>
      </c>
      <c r="G370" s="304" t="s">
        <v>1222</v>
      </c>
      <c r="H370" s="303">
        <v>912089</v>
      </c>
      <c r="I370" s="304" t="s">
        <v>1222</v>
      </c>
      <c r="J370" s="287"/>
    </row>
    <row r="371" spans="1:10" ht="15" customHeight="1">
      <c r="A371" s="301" t="s">
        <v>1306</v>
      </c>
      <c r="B371" s="302" t="s">
        <v>1307</v>
      </c>
      <c r="C371" s="302" t="s">
        <v>1225</v>
      </c>
      <c r="D371" s="303">
        <v>2388</v>
      </c>
      <c r="E371" s="303">
        <v>2468</v>
      </c>
      <c r="F371" s="303">
        <v>31808</v>
      </c>
      <c r="G371" s="304" t="s">
        <v>1222</v>
      </c>
      <c r="H371" s="303">
        <v>1161011</v>
      </c>
      <c r="I371" s="304" t="s">
        <v>1222</v>
      </c>
      <c r="J371" s="287"/>
    </row>
    <row r="372" spans="1:10" ht="15" customHeight="1">
      <c r="A372" s="301" t="s">
        <v>1306</v>
      </c>
      <c r="B372" s="302" t="s">
        <v>1307</v>
      </c>
      <c r="C372" s="302" t="s">
        <v>1226</v>
      </c>
      <c r="D372" s="303">
        <v>20269</v>
      </c>
      <c r="E372" s="303">
        <v>20390</v>
      </c>
      <c r="F372" s="303">
        <v>81025</v>
      </c>
      <c r="G372" s="304" t="s">
        <v>1222</v>
      </c>
      <c r="H372" s="303">
        <v>2975642</v>
      </c>
      <c r="I372" s="304" t="s">
        <v>1222</v>
      </c>
      <c r="J372" s="287"/>
    </row>
    <row r="373" spans="1:10" ht="15" customHeight="1">
      <c r="A373" s="301" t="s">
        <v>1306</v>
      </c>
      <c r="B373" s="302" t="s">
        <v>1307</v>
      </c>
      <c r="C373" s="302" t="s">
        <v>1227</v>
      </c>
      <c r="D373" s="303">
        <v>2158</v>
      </c>
      <c r="E373" s="303">
        <v>2576</v>
      </c>
      <c r="F373" s="303">
        <v>77677</v>
      </c>
      <c r="G373" s="304" t="s">
        <v>1222</v>
      </c>
      <c r="H373" s="303">
        <v>3039831</v>
      </c>
      <c r="I373" s="304" t="s">
        <v>1222</v>
      </c>
      <c r="J373" s="287"/>
    </row>
    <row r="374" spans="1:10" ht="15" customHeight="1">
      <c r="A374" s="301" t="s">
        <v>1306</v>
      </c>
      <c r="B374" s="302" t="s">
        <v>1307</v>
      </c>
      <c r="C374" s="302" t="s">
        <v>1228</v>
      </c>
      <c r="D374" s="303">
        <v>585</v>
      </c>
      <c r="E374" s="303">
        <v>1331</v>
      </c>
      <c r="F374" s="303">
        <v>62934</v>
      </c>
      <c r="G374" s="304" t="s">
        <v>1222</v>
      </c>
      <c r="H374" s="303">
        <v>2665931</v>
      </c>
      <c r="I374" s="304" t="s">
        <v>1222</v>
      </c>
      <c r="J374" s="287"/>
    </row>
    <row r="375" spans="1:10" ht="15" customHeight="1">
      <c r="A375" s="301" t="s">
        <v>1306</v>
      </c>
      <c r="B375" s="302" t="s">
        <v>1307</v>
      </c>
      <c r="C375" s="302" t="s">
        <v>1229</v>
      </c>
      <c r="D375" s="303">
        <v>23012</v>
      </c>
      <c r="E375" s="303">
        <v>24297</v>
      </c>
      <c r="F375" s="303">
        <v>221636</v>
      </c>
      <c r="G375" s="304" t="s">
        <v>1222</v>
      </c>
      <c r="H375" s="303">
        <v>8681404</v>
      </c>
      <c r="I375" s="304" t="s">
        <v>1222</v>
      </c>
      <c r="J375" s="287"/>
    </row>
    <row r="376" spans="1:10" ht="15" customHeight="1">
      <c r="A376" s="301" t="s">
        <v>1306</v>
      </c>
      <c r="B376" s="302" t="s">
        <v>1307</v>
      </c>
      <c r="C376" s="302" t="s">
        <v>1230</v>
      </c>
      <c r="D376" s="303">
        <v>1010</v>
      </c>
      <c r="E376" s="303">
        <v>3737</v>
      </c>
      <c r="F376" s="303">
        <v>181341</v>
      </c>
      <c r="G376" s="304" t="s">
        <v>1222</v>
      </c>
      <c r="H376" s="303">
        <v>8605281</v>
      </c>
      <c r="I376" s="304" t="s">
        <v>1222</v>
      </c>
      <c r="J376" s="287"/>
    </row>
    <row r="377" spans="1:10" ht="15" customHeight="1">
      <c r="A377" s="301" t="s">
        <v>1308</v>
      </c>
      <c r="B377" s="302" t="s">
        <v>1309</v>
      </c>
      <c r="C377" s="302" t="s">
        <v>1221</v>
      </c>
      <c r="D377" s="303">
        <v>77617</v>
      </c>
      <c r="E377" s="303">
        <v>101228</v>
      </c>
      <c r="F377" s="303">
        <v>1548516</v>
      </c>
      <c r="G377" s="304" t="s">
        <v>1222</v>
      </c>
      <c r="H377" s="303">
        <v>56665721</v>
      </c>
      <c r="I377" s="304" t="s">
        <v>1222</v>
      </c>
      <c r="J377" s="287"/>
    </row>
    <row r="378" spans="1:10" ht="15" customHeight="1">
      <c r="A378" s="301" t="s">
        <v>1308</v>
      </c>
      <c r="B378" s="302" t="s">
        <v>1309</v>
      </c>
      <c r="C378" s="302" t="s">
        <v>1223</v>
      </c>
      <c r="D378" s="303">
        <v>44392</v>
      </c>
      <c r="E378" s="303">
        <v>44464</v>
      </c>
      <c r="F378" s="303">
        <v>77069</v>
      </c>
      <c r="G378" s="304" t="s">
        <v>1222</v>
      </c>
      <c r="H378" s="303">
        <v>2463336</v>
      </c>
      <c r="I378" s="304" t="s">
        <v>1222</v>
      </c>
      <c r="J378" s="287"/>
    </row>
    <row r="379" spans="1:10" ht="15" customHeight="1">
      <c r="A379" s="301" t="s">
        <v>1308</v>
      </c>
      <c r="B379" s="302" t="s">
        <v>1309</v>
      </c>
      <c r="C379" s="302" t="s">
        <v>1224</v>
      </c>
      <c r="D379" s="303">
        <v>13957</v>
      </c>
      <c r="E379" s="303">
        <v>14154</v>
      </c>
      <c r="F379" s="303">
        <v>91442</v>
      </c>
      <c r="G379" s="304" t="s">
        <v>1222</v>
      </c>
      <c r="H379" s="303">
        <v>2634115</v>
      </c>
      <c r="I379" s="304" t="s">
        <v>1222</v>
      </c>
      <c r="J379" s="287"/>
    </row>
    <row r="380" spans="1:10" ht="15" customHeight="1">
      <c r="A380" s="301" t="s">
        <v>1308</v>
      </c>
      <c r="B380" s="302" t="s">
        <v>1309</v>
      </c>
      <c r="C380" s="302" t="s">
        <v>1225</v>
      </c>
      <c r="D380" s="303">
        <v>8044</v>
      </c>
      <c r="E380" s="303">
        <v>8534</v>
      </c>
      <c r="F380" s="303">
        <v>106934</v>
      </c>
      <c r="G380" s="304" t="s">
        <v>1222</v>
      </c>
      <c r="H380" s="303">
        <v>3242425</v>
      </c>
      <c r="I380" s="304" t="s">
        <v>1222</v>
      </c>
      <c r="J380" s="287"/>
    </row>
    <row r="381" spans="1:10" ht="15" customHeight="1">
      <c r="A381" s="301" t="s">
        <v>1308</v>
      </c>
      <c r="B381" s="302" t="s">
        <v>1309</v>
      </c>
      <c r="C381" s="302" t="s">
        <v>1226</v>
      </c>
      <c r="D381" s="303">
        <v>66393</v>
      </c>
      <c r="E381" s="303">
        <v>67152</v>
      </c>
      <c r="F381" s="303">
        <v>275445</v>
      </c>
      <c r="G381" s="304" t="s">
        <v>1222</v>
      </c>
      <c r="H381" s="303">
        <v>8339876</v>
      </c>
      <c r="I381" s="304" t="s">
        <v>1222</v>
      </c>
      <c r="J381" s="287"/>
    </row>
    <row r="382" spans="1:10" ht="15" customHeight="1">
      <c r="A382" s="301" t="s">
        <v>1308</v>
      </c>
      <c r="B382" s="302" t="s">
        <v>1309</v>
      </c>
      <c r="C382" s="302" t="s">
        <v>1227</v>
      </c>
      <c r="D382" s="303">
        <v>6940</v>
      </c>
      <c r="E382" s="303">
        <v>9187</v>
      </c>
      <c r="F382" s="303">
        <v>250495</v>
      </c>
      <c r="G382" s="304" t="s">
        <v>1222</v>
      </c>
      <c r="H382" s="303">
        <v>8149340</v>
      </c>
      <c r="I382" s="304" t="s">
        <v>1222</v>
      </c>
      <c r="J382" s="287"/>
    </row>
    <row r="383" spans="1:10" ht="15" customHeight="1">
      <c r="A383" s="301" t="s">
        <v>1308</v>
      </c>
      <c r="B383" s="302" t="s">
        <v>1309</v>
      </c>
      <c r="C383" s="302" t="s">
        <v>1228</v>
      </c>
      <c r="D383" s="303">
        <v>1905</v>
      </c>
      <c r="E383" s="303">
        <v>5270</v>
      </c>
      <c r="F383" s="303">
        <v>202830</v>
      </c>
      <c r="G383" s="304" t="s">
        <v>1222</v>
      </c>
      <c r="H383" s="303">
        <v>7046467</v>
      </c>
      <c r="I383" s="304" t="s">
        <v>1222</v>
      </c>
      <c r="J383" s="287"/>
    </row>
    <row r="384" spans="1:10" ht="15" customHeight="1">
      <c r="A384" s="301" t="s">
        <v>1308</v>
      </c>
      <c r="B384" s="302" t="s">
        <v>1309</v>
      </c>
      <c r="C384" s="302" t="s">
        <v>1229</v>
      </c>
      <c r="D384" s="303">
        <v>75238</v>
      </c>
      <c r="E384" s="303">
        <v>81609</v>
      </c>
      <c r="F384" s="303">
        <v>728770</v>
      </c>
      <c r="G384" s="304" t="s">
        <v>1222</v>
      </c>
      <c r="H384" s="303">
        <v>23535683</v>
      </c>
      <c r="I384" s="304" t="s">
        <v>1222</v>
      </c>
      <c r="J384" s="287"/>
    </row>
    <row r="385" spans="1:10" ht="15" customHeight="1">
      <c r="A385" s="301" t="s">
        <v>1308</v>
      </c>
      <c r="B385" s="302" t="s">
        <v>1309</v>
      </c>
      <c r="C385" s="302" t="s">
        <v>1230</v>
      </c>
      <c r="D385" s="303">
        <v>2379</v>
      </c>
      <c r="E385" s="303">
        <v>19619</v>
      </c>
      <c r="F385" s="303">
        <v>819746</v>
      </c>
      <c r="G385" s="304" t="s">
        <v>1222</v>
      </c>
      <c r="H385" s="303">
        <v>33130038</v>
      </c>
      <c r="I385" s="304" t="s">
        <v>1222</v>
      </c>
      <c r="J385" s="287"/>
    </row>
    <row r="386" spans="1:10" ht="15" customHeight="1">
      <c r="A386" s="301" t="s">
        <v>1310</v>
      </c>
      <c r="B386" s="302" t="s">
        <v>1311</v>
      </c>
      <c r="C386" s="302" t="s">
        <v>1221</v>
      </c>
      <c r="D386" s="303">
        <v>21522</v>
      </c>
      <c r="E386" s="303">
        <v>25773</v>
      </c>
      <c r="F386" s="303">
        <v>336526</v>
      </c>
      <c r="G386" s="304" t="s">
        <v>1222</v>
      </c>
      <c r="H386" s="303">
        <v>11768782</v>
      </c>
      <c r="I386" s="304" t="s">
        <v>1222</v>
      </c>
      <c r="J386" s="287"/>
    </row>
    <row r="387" spans="1:10" ht="15" customHeight="1">
      <c r="A387" s="301" t="s">
        <v>1310</v>
      </c>
      <c r="B387" s="302" t="s">
        <v>1311</v>
      </c>
      <c r="C387" s="302" t="s">
        <v>1223</v>
      </c>
      <c r="D387" s="303">
        <v>12262</v>
      </c>
      <c r="E387" s="303">
        <v>12273</v>
      </c>
      <c r="F387" s="303">
        <v>20800</v>
      </c>
      <c r="G387" s="304" t="s">
        <v>1222</v>
      </c>
      <c r="H387" s="303">
        <v>643512</v>
      </c>
      <c r="I387" s="304" t="s">
        <v>1222</v>
      </c>
      <c r="J387" s="287"/>
    </row>
    <row r="388" spans="1:10" ht="15" customHeight="1">
      <c r="A388" s="301" t="s">
        <v>1310</v>
      </c>
      <c r="B388" s="302" t="s">
        <v>1311</v>
      </c>
      <c r="C388" s="302" t="s">
        <v>1224</v>
      </c>
      <c r="D388" s="303">
        <v>3768</v>
      </c>
      <c r="E388" s="303">
        <v>3816</v>
      </c>
      <c r="F388" s="303">
        <v>24615</v>
      </c>
      <c r="G388" s="304" t="s">
        <v>1222</v>
      </c>
      <c r="H388" s="303">
        <v>667659</v>
      </c>
      <c r="I388" s="304" t="s">
        <v>1222</v>
      </c>
      <c r="J388" s="287"/>
    </row>
    <row r="389" spans="1:10" ht="15" customHeight="1">
      <c r="A389" s="301" t="s">
        <v>1310</v>
      </c>
      <c r="B389" s="302" t="s">
        <v>1311</v>
      </c>
      <c r="C389" s="302" t="s">
        <v>1225</v>
      </c>
      <c r="D389" s="303">
        <v>2298</v>
      </c>
      <c r="E389" s="303">
        <v>2443</v>
      </c>
      <c r="F389" s="303">
        <v>30031</v>
      </c>
      <c r="G389" s="304" t="s">
        <v>1222</v>
      </c>
      <c r="H389" s="303">
        <v>882296</v>
      </c>
      <c r="I389" s="304" t="s">
        <v>1222</v>
      </c>
      <c r="J389" s="287"/>
    </row>
    <row r="390" spans="1:10" ht="15" customHeight="1">
      <c r="A390" s="301" t="s">
        <v>1310</v>
      </c>
      <c r="B390" s="302" t="s">
        <v>1311</v>
      </c>
      <c r="C390" s="302" t="s">
        <v>1226</v>
      </c>
      <c r="D390" s="303">
        <v>18328</v>
      </c>
      <c r="E390" s="303">
        <v>18532</v>
      </c>
      <c r="F390" s="303">
        <v>75446</v>
      </c>
      <c r="G390" s="304" t="s">
        <v>1222</v>
      </c>
      <c r="H390" s="303">
        <v>2193467</v>
      </c>
      <c r="I390" s="304" t="s">
        <v>1222</v>
      </c>
      <c r="J390" s="287"/>
    </row>
    <row r="391" spans="1:10" ht="15" customHeight="1">
      <c r="A391" s="301" t="s">
        <v>1310</v>
      </c>
      <c r="B391" s="302" t="s">
        <v>1311</v>
      </c>
      <c r="C391" s="302" t="s">
        <v>1227</v>
      </c>
      <c r="D391" s="303">
        <v>1863</v>
      </c>
      <c r="E391" s="303">
        <v>2661</v>
      </c>
      <c r="F391" s="303">
        <v>65999</v>
      </c>
      <c r="G391" s="304" t="s">
        <v>1222</v>
      </c>
      <c r="H391" s="303">
        <v>2136682</v>
      </c>
      <c r="I391" s="304" t="s">
        <v>1222</v>
      </c>
      <c r="J391" s="287"/>
    </row>
    <row r="392" spans="1:10" ht="15" customHeight="1">
      <c r="A392" s="301" t="s">
        <v>1310</v>
      </c>
      <c r="B392" s="302" t="s">
        <v>1311</v>
      </c>
      <c r="C392" s="302" t="s">
        <v>1228</v>
      </c>
      <c r="D392" s="303">
        <v>541</v>
      </c>
      <c r="E392" s="303">
        <v>1715</v>
      </c>
      <c r="F392" s="303">
        <v>57787</v>
      </c>
      <c r="G392" s="304" t="s">
        <v>1222</v>
      </c>
      <c r="H392" s="303">
        <v>2020980</v>
      </c>
      <c r="I392" s="304" t="s">
        <v>1222</v>
      </c>
      <c r="J392" s="287"/>
    </row>
    <row r="393" spans="1:10" ht="15" customHeight="1">
      <c r="A393" s="301" t="s">
        <v>1310</v>
      </c>
      <c r="B393" s="302" t="s">
        <v>1311</v>
      </c>
      <c r="C393" s="302" t="s">
        <v>1229</v>
      </c>
      <c r="D393" s="303">
        <v>20732</v>
      </c>
      <c r="E393" s="303">
        <v>22908</v>
      </c>
      <c r="F393" s="303">
        <v>199232</v>
      </c>
      <c r="G393" s="304" t="s">
        <v>1222</v>
      </c>
      <c r="H393" s="303">
        <v>6351129</v>
      </c>
      <c r="I393" s="304" t="s">
        <v>1222</v>
      </c>
      <c r="J393" s="287"/>
    </row>
    <row r="394" spans="1:10" ht="15" customHeight="1">
      <c r="A394" s="301" t="s">
        <v>1310</v>
      </c>
      <c r="B394" s="302" t="s">
        <v>1311</v>
      </c>
      <c r="C394" s="302" t="s">
        <v>1230</v>
      </c>
      <c r="D394" s="303">
        <v>790</v>
      </c>
      <c r="E394" s="303">
        <v>2865</v>
      </c>
      <c r="F394" s="303">
        <v>137294</v>
      </c>
      <c r="G394" s="304" t="s">
        <v>1222</v>
      </c>
      <c r="H394" s="303">
        <v>5417653</v>
      </c>
      <c r="I394" s="304" t="s">
        <v>1222</v>
      </c>
      <c r="J394" s="287"/>
    </row>
    <row r="395" spans="1:10" ht="15" customHeight="1">
      <c r="A395" s="301" t="s">
        <v>1312</v>
      </c>
      <c r="B395" s="302" t="s">
        <v>1313</v>
      </c>
      <c r="C395" s="302" t="s">
        <v>1221</v>
      </c>
      <c r="D395" s="303">
        <v>96348</v>
      </c>
      <c r="E395" s="303">
        <v>130592</v>
      </c>
      <c r="F395" s="303">
        <v>2344047</v>
      </c>
      <c r="G395" s="304" t="s">
        <v>1222</v>
      </c>
      <c r="H395" s="303">
        <v>96087992</v>
      </c>
      <c r="I395" s="304" t="s">
        <v>1222</v>
      </c>
      <c r="J395" s="287"/>
    </row>
    <row r="396" spans="1:10" ht="15" customHeight="1">
      <c r="A396" s="301" t="s">
        <v>1312</v>
      </c>
      <c r="B396" s="302" t="s">
        <v>1313</v>
      </c>
      <c r="C396" s="302" t="s">
        <v>1223</v>
      </c>
      <c r="D396" s="303">
        <v>52050</v>
      </c>
      <c r="E396" s="303">
        <v>52127</v>
      </c>
      <c r="F396" s="303">
        <v>94655</v>
      </c>
      <c r="G396" s="304" t="s">
        <v>1222</v>
      </c>
      <c r="H396" s="303">
        <v>3302329</v>
      </c>
      <c r="I396" s="304" t="s">
        <v>1222</v>
      </c>
      <c r="J396" s="287"/>
    </row>
    <row r="397" spans="1:10" ht="15" customHeight="1">
      <c r="A397" s="301" t="s">
        <v>1312</v>
      </c>
      <c r="B397" s="302" t="s">
        <v>1313</v>
      </c>
      <c r="C397" s="302" t="s">
        <v>1224</v>
      </c>
      <c r="D397" s="303">
        <v>17735</v>
      </c>
      <c r="E397" s="303">
        <v>17950</v>
      </c>
      <c r="F397" s="303">
        <v>116634</v>
      </c>
      <c r="G397" s="304" t="s">
        <v>1222</v>
      </c>
      <c r="H397" s="303">
        <v>3680320</v>
      </c>
      <c r="I397" s="304" t="s">
        <v>1222</v>
      </c>
      <c r="J397" s="287"/>
    </row>
    <row r="398" spans="1:10" ht="15" customHeight="1">
      <c r="A398" s="301" t="s">
        <v>1312</v>
      </c>
      <c r="B398" s="302" t="s">
        <v>1313</v>
      </c>
      <c r="C398" s="302" t="s">
        <v>1225</v>
      </c>
      <c r="D398" s="303">
        <v>10920</v>
      </c>
      <c r="E398" s="303">
        <v>11638</v>
      </c>
      <c r="F398" s="303">
        <v>144821</v>
      </c>
      <c r="G398" s="304" t="s">
        <v>1222</v>
      </c>
      <c r="H398" s="303">
        <v>5051421</v>
      </c>
      <c r="I398" s="304" t="s">
        <v>1222</v>
      </c>
      <c r="J398" s="287"/>
    </row>
    <row r="399" spans="1:10" ht="15" customHeight="1">
      <c r="A399" s="301" t="s">
        <v>1312</v>
      </c>
      <c r="B399" s="302" t="s">
        <v>1313</v>
      </c>
      <c r="C399" s="302" t="s">
        <v>1226</v>
      </c>
      <c r="D399" s="303">
        <v>80705</v>
      </c>
      <c r="E399" s="303">
        <v>81715</v>
      </c>
      <c r="F399" s="303">
        <v>356110</v>
      </c>
      <c r="G399" s="304" t="s">
        <v>1222</v>
      </c>
      <c r="H399" s="303">
        <v>12034070</v>
      </c>
      <c r="I399" s="304" t="s">
        <v>1222</v>
      </c>
      <c r="J399" s="287"/>
    </row>
    <row r="400" spans="1:10" ht="15" customHeight="1">
      <c r="A400" s="301" t="s">
        <v>1312</v>
      </c>
      <c r="B400" s="302" t="s">
        <v>1313</v>
      </c>
      <c r="C400" s="302" t="s">
        <v>1227</v>
      </c>
      <c r="D400" s="303">
        <v>9889</v>
      </c>
      <c r="E400" s="303">
        <v>13386</v>
      </c>
      <c r="F400" s="303">
        <v>360102</v>
      </c>
      <c r="G400" s="304" t="s">
        <v>1222</v>
      </c>
      <c r="H400" s="303">
        <v>13863890</v>
      </c>
      <c r="I400" s="304" t="s">
        <v>1222</v>
      </c>
      <c r="J400" s="287"/>
    </row>
    <row r="401" spans="1:10" ht="15" customHeight="1">
      <c r="A401" s="301" t="s">
        <v>1312</v>
      </c>
      <c r="B401" s="302" t="s">
        <v>1313</v>
      </c>
      <c r="C401" s="302" t="s">
        <v>1228</v>
      </c>
      <c r="D401" s="303">
        <v>2706</v>
      </c>
      <c r="E401" s="303">
        <v>7490</v>
      </c>
      <c r="F401" s="303">
        <v>307316</v>
      </c>
      <c r="G401" s="304" t="s">
        <v>1222</v>
      </c>
      <c r="H401" s="303">
        <v>12330287</v>
      </c>
      <c r="I401" s="304" t="s">
        <v>1222</v>
      </c>
      <c r="J401" s="287"/>
    </row>
    <row r="402" spans="1:10" ht="15" customHeight="1">
      <c r="A402" s="301" t="s">
        <v>1312</v>
      </c>
      <c r="B402" s="302" t="s">
        <v>1313</v>
      </c>
      <c r="C402" s="302" t="s">
        <v>1229</v>
      </c>
      <c r="D402" s="303">
        <v>93300</v>
      </c>
      <c r="E402" s="303">
        <v>102591</v>
      </c>
      <c r="F402" s="303">
        <v>1023528</v>
      </c>
      <c r="G402" s="304" t="s">
        <v>1222</v>
      </c>
      <c r="H402" s="303">
        <v>38228247</v>
      </c>
      <c r="I402" s="304" t="s">
        <v>1222</v>
      </c>
      <c r="J402" s="287"/>
    </row>
    <row r="403" spans="1:10" ht="15" customHeight="1">
      <c r="A403" s="301" t="s">
        <v>1312</v>
      </c>
      <c r="B403" s="302" t="s">
        <v>1313</v>
      </c>
      <c r="C403" s="302" t="s">
        <v>1230</v>
      </c>
      <c r="D403" s="303">
        <v>3048</v>
      </c>
      <c r="E403" s="303">
        <v>28001</v>
      </c>
      <c r="F403" s="303">
        <v>1320519</v>
      </c>
      <c r="G403" s="304" t="s">
        <v>1222</v>
      </c>
      <c r="H403" s="303">
        <v>57859745</v>
      </c>
      <c r="I403" s="304" t="s">
        <v>1222</v>
      </c>
      <c r="J403" s="287"/>
    </row>
    <row r="404" spans="1:10" ht="15" customHeight="1">
      <c r="A404" s="301" t="s">
        <v>1314</v>
      </c>
      <c r="B404" s="302" t="s">
        <v>1315</v>
      </c>
      <c r="C404" s="302" t="s">
        <v>1221</v>
      </c>
      <c r="D404" s="303">
        <v>404116</v>
      </c>
      <c r="E404" s="303">
        <v>537839</v>
      </c>
      <c r="F404" s="303">
        <v>9350829</v>
      </c>
      <c r="G404" s="304" t="s">
        <v>1222</v>
      </c>
      <c r="H404" s="303">
        <v>446679425</v>
      </c>
      <c r="I404" s="304" t="s">
        <v>1222</v>
      </c>
      <c r="J404" s="287"/>
    </row>
    <row r="405" spans="1:10" ht="15" customHeight="1">
      <c r="A405" s="301" t="s">
        <v>1314</v>
      </c>
      <c r="B405" s="302" t="s">
        <v>1315</v>
      </c>
      <c r="C405" s="302" t="s">
        <v>1223</v>
      </c>
      <c r="D405" s="303">
        <v>233246</v>
      </c>
      <c r="E405" s="303">
        <v>233561</v>
      </c>
      <c r="F405" s="303">
        <v>402130</v>
      </c>
      <c r="G405" s="304" t="s">
        <v>1222</v>
      </c>
      <c r="H405" s="303">
        <v>17969021</v>
      </c>
      <c r="I405" s="304" t="s">
        <v>1222</v>
      </c>
      <c r="J405" s="287"/>
    </row>
    <row r="406" spans="1:10" ht="15" customHeight="1">
      <c r="A406" s="301" t="s">
        <v>1314</v>
      </c>
      <c r="B406" s="302" t="s">
        <v>1315</v>
      </c>
      <c r="C406" s="302" t="s">
        <v>1224</v>
      </c>
      <c r="D406" s="303">
        <v>71809</v>
      </c>
      <c r="E406" s="303">
        <v>72691</v>
      </c>
      <c r="F406" s="303">
        <v>472250</v>
      </c>
      <c r="G406" s="304" t="s">
        <v>1222</v>
      </c>
      <c r="H406" s="303">
        <v>16947367</v>
      </c>
      <c r="I406" s="304" t="s">
        <v>1222</v>
      </c>
      <c r="J406" s="287"/>
    </row>
    <row r="407" spans="1:10" ht="15" customHeight="1">
      <c r="A407" s="301" t="s">
        <v>1314</v>
      </c>
      <c r="B407" s="302" t="s">
        <v>1315</v>
      </c>
      <c r="C407" s="302" t="s">
        <v>1225</v>
      </c>
      <c r="D407" s="303">
        <v>44075</v>
      </c>
      <c r="E407" s="303">
        <v>46523</v>
      </c>
      <c r="F407" s="303">
        <v>588862</v>
      </c>
      <c r="G407" s="304" t="s">
        <v>1222</v>
      </c>
      <c r="H407" s="303">
        <v>21842707</v>
      </c>
      <c r="I407" s="304" t="s">
        <v>1222</v>
      </c>
      <c r="J407" s="287"/>
    </row>
    <row r="408" spans="1:10" ht="15" customHeight="1">
      <c r="A408" s="301" t="s">
        <v>1314</v>
      </c>
      <c r="B408" s="302" t="s">
        <v>1315</v>
      </c>
      <c r="C408" s="302" t="s">
        <v>1226</v>
      </c>
      <c r="D408" s="303">
        <v>349130</v>
      </c>
      <c r="E408" s="303">
        <v>352775</v>
      </c>
      <c r="F408" s="303">
        <v>1463242</v>
      </c>
      <c r="G408" s="304" t="s">
        <v>1222</v>
      </c>
      <c r="H408" s="303">
        <v>56759095</v>
      </c>
      <c r="I408" s="304" t="s">
        <v>1222</v>
      </c>
      <c r="J408" s="287"/>
    </row>
    <row r="409" spans="1:10" ht="15" customHeight="1">
      <c r="A409" s="301" t="s">
        <v>1314</v>
      </c>
      <c r="B409" s="302" t="s">
        <v>1315</v>
      </c>
      <c r="C409" s="302" t="s">
        <v>1227</v>
      </c>
      <c r="D409" s="303">
        <v>40127</v>
      </c>
      <c r="E409" s="303">
        <v>53019</v>
      </c>
      <c r="F409" s="303">
        <v>1515910</v>
      </c>
      <c r="G409" s="304" t="s">
        <v>1222</v>
      </c>
      <c r="H409" s="303">
        <v>61408584</v>
      </c>
      <c r="I409" s="304" t="s">
        <v>1222</v>
      </c>
      <c r="J409" s="287"/>
    </row>
    <row r="410" spans="1:10" ht="15" customHeight="1">
      <c r="A410" s="301" t="s">
        <v>1314</v>
      </c>
      <c r="B410" s="302" t="s">
        <v>1315</v>
      </c>
      <c r="C410" s="302" t="s">
        <v>1228</v>
      </c>
      <c r="D410" s="303">
        <v>9336</v>
      </c>
      <c r="E410" s="303">
        <v>27068</v>
      </c>
      <c r="F410" s="303">
        <v>1296716</v>
      </c>
      <c r="G410" s="304" t="s">
        <v>1222</v>
      </c>
      <c r="H410" s="303">
        <v>58543401</v>
      </c>
      <c r="I410" s="304" t="s">
        <v>1222</v>
      </c>
      <c r="J410" s="287"/>
    </row>
    <row r="411" spans="1:10" ht="15" customHeight="1">
      <c r="A411" s="301" t="s">
        <v>1314</v>
      </c>
      <c r="B411" s="302" t="s">
        <v>1315</v>
      </c>
      <c r="C411" s="302" t="s">
        <v>1229</v>
      </c>
      <c r="D411" s="303">
        <v>398593</v>
      </c>
      <c r="E411" s="303">
        <v>432862</v>
      </c>
      <c r="F411" s="303">
        <v>4275868</v>
      </c>
      <c r="G411" s="304" t="s">
        <v>1222</v>
      </c>
      <c r="H411" s="303">
        <v>176711080</v>
      </c>
      <c r="I411" s="304" t="s">
        <v>1222</v>
      </c>
      <c r="J411" s="287"/>
    </row>
    <row r="412" spans="1:10" ht="15" customHeight="1">
      <c r="A412" s="301" t="s">
        <v>1314</v>
      </c>
      <c r="B412" s="302" t="s">
        <v>1315</v>
      </c>
      <c r="C412" s="302" t="s">
        <v>1230</v>
      </c>
      <c r="D412" s="303">
        <v>5523</v>
      </c>
      <c r="E412" s="303">
        <v>104977</v>
      </c>
      <c r="F412" s="303">
        <v>5074961</v>
      </c>
      <c r="G412" s="304" t="s">
        <v>1222</v>
      </c>
      <c r="H412" s="303">
        <v>269968345</v>
      </c>
      <c r="I412" s="304" t="s">
        <v>1222</v>
      </c>
      <c r="J412" s="287"/>
    </row>
    <row r="413" spans="1:10" ht="15" customHeight="1">
      <c r="A413" s="301" t="s">
        <v>1316</v>
      </c>
      <c r="B413" s="302" t="s">
        <v>1317</v>
      </c>
      <c r="C413" s="302" t="s">
        <v>1221</v>
      </c>
      <c r="D413" s="303">
        <v>58560</v>
      </c>
      <c r="E413" s="303">
        <v>70454</v>
      </c>
      <c r="F413" s="303">
        <v>1070986</v>
      </c>
      <c r="G413" s="304" t="s">
        <v>1222</v>
      </c>
      <c r="H413" s="303">
        <v>43317548</v>
      </c>
      <c r="I413" s="304" t="s">
        <v>1222</v>
      </c>
      <c r="J413" s="287"/>
    </row>
    <row r="414" spans="1:10" ht="15" customHeight="1">
      <c r="A414" s="301" t="s">
        <v>1316</v>
      </c>
      <c r="B414" s="302" t="s">
        <v>1317</v>
      </c>
      <c r="C414" s="302" t="s">
        <v>1223</v>
      </c>
      <c r="D414" s="303">
        <v>36099</v>
      </c>
      <c r="E414" s="303">
        <v>36153</v>
      </c>
      <c r="F414" s="303">
        <v>53037</v>
      </c>
      <c r="G414" s="304" t="s">
        <v>1237</v>
      </c>
      <c r="H414" s="303">
        <v>2047068</v>
      </c>
      <c r="I414" s="304" t="s">
        <v>1222</v>
      </c>
      <c r="J414" s="287"/>
    </row>
    <row r="415" spans="1:10" ht="15" customHeight="1">
      <c r="A415" s="301" t="s">
        <v>1316</v>
      </c>
      <c r="B415" s="302" t="s">
        <v>1317</v>
      </c>
      <c r="C415" s="302" t="s">
        <v>1224</v>
      </c>
      <c r="D415" s="303">
        <v>8819</v>
      </c>
      <c r="E415" s="303">
        <v>8901</v>
      </c>
      <c r="F415" s="303">
        <v>58048</v>
      </c>
      <c r="G415" s="304" t="s">
        <v>1222</v>
      </c>
      <c r="H415" s="303">
        <v>1731039</v>
      </c>
      <c r="I415" s="304" t="s">
        <v>1222</v>
      </c>
      <c r="J415" s="287"/>
    </row>
    <row r="416" spans="1:10" ht="15" customHeight="1">
      <c r="A416" s="301" t="s">
        <v>1316</v>
      </c>
      <c r="B416" s="302" t="s">
        <v>1317</v>
      </c>
      <c r="C416" s="302" t="s">
        <v>1225</v>
      </c>
      <c r="D416" s="303">
        <v>5608</v>
      </c>
      <c r="E416" s="303">
        <v>5826</v>
      </c>
      <c r="F416" s="303">
        <v>74116</v>
      </c>
      <c r="G416" s="304" t="s">
        <v>1222</v>
      </c>
      <c r="H416" s="303">
        <v>2316043</v>
      </c>
      <c r="I416" s="304" t="s">
        <v>1222</v>
      </c>
      <c r="J416" s="287"/>
    </row>
    <row r="417" spans="1:10" ht="15" customHeight="1">
      <c r="A417" s="301" t="s">
        <v>1316</v>
      </c>
      <c r="B417" s="302" t="s">
        <v>1317</v>
      </c>
      <c r="C417" s="302" t="s">
        <v>1226</v>
      </c>
      <c r="D417" s="303">
        <v>50526</v>
      </c>
      <c r="E417" s="303">
        <v>50880</v>
      </c>
      <c r="F417" s="303">
        <v>185201</v>
      </c>
      <c r="G417" s="304" t="s">
        <v>1222</v>
      </c>
      <c r="H417" s="303">
        <v>6094150</v>
      </c>
      <c r="I417" s="304" t="s">
        <v>1222</v>
      </c>
      <c r="J417" s="287"/>
    </row>
    <row r="418" spans="1:10" ht="15" customHeight="1">
      <c r="A418" s="301" t="s">
        <v>1316</v>
      </c>
      <c r="B418" s="302" t="s">
        <v>1317</v>
      </c>
      <c r="C418" s="302" t="s">
        <v>1227</v>
      </c>
      <c r="D418" s="303">
        <v>4848</v>
      </c>
      <c r="E418" s="303">
        <v>6322</v>
      </c>
      <c r="F418" s="303">
        <v>177717</v>
      </c>
      <c r="G418" s="304" t="s">
        <v>1222</v>
      </c>
      <c r="H418" s="303">
        <v>6617431</v>
      </c>
      <c r="I418" s="304" t="s">
        <v>1222</v>
      </c>
      <c r="J418" s="287"/>
    </row>
    <row r="419" spans="1:10" ht="15" customHeight="1">
      <c r="A419" s="301" t="s">
        <v>1316</v>
      </c>
      <c r="B419" s="302" t="s">
        <v>1317</v>
      </c>
      <c r="C419" s="302" t="s">
        <v>1228</v>
      </c>
      <c r="D419" s="303">
        <v>1261</v>
      </c>
      <c r="E419" s="303">
        <v>2969</v>
      </c>
      <c r="F419" s="303">
        <v>141361</v>
      </c>
      <c r="G419" s="304" t="s">
        <v>1222</v>
      </c>
      <c r="H419" s="303">
        <v>5972044</v>
      </c>
      <c r="I419" s="304" t="s">
        <v>1222</v>
      </c>
      <c r="J419" s="287"/>
    </row>
    <row r="420" spans="1:10" ht="15" customHeight="1">
      <c r="A420" s="301" t="s">
        <v>1316</v>
      </c>
      <c r="B420" s="302" t="s">
        <v>1317</v>
      </c>
      <c r="C420" s="302" t="s">
        <v>1229</v>
      </c>
      <c r="D420" s="303">
        <v>56635</v>
      </c>
      <c r="E420" s="303">
        <v>60171</v>
      </c>
      <c r="F420" s="303">
        <v>504279</v>
      </c>
      <c r="G420" s="304" t="s">
        <v>1222</v>
      </c>
      <c r="H420" s="303">
        <v>18683625</v>
      </c>
      <c r="I420" s="304" t="s">
        <v>1222</v>
      </c>
      <c r="J420" s="287"/>
    </row>
    <row r="421" spans="1:10" ht="15" customHeight="1">
      <c r="A421" s="301" t="s">
        <v>1316</v>
      </c>
      <c r="B421" s="302" t="s">
        <v>1317</v>
      </c>
      <c r="C421" s="302" t="s">
        <v>1230</v>
      </c>
      <c r="D421" s="303">
        <v>1925</v>
      </c>
      <c r="E421" s="303">
        <v>10283</v>
      </c>
      <c r="F421" s="303">
        <v>566707</v>
      </c>
      <c r="G421" s="304" t="s">
        <v>1222</v>
      </c>
      <c r="H421" s="303">
        <v>24633923</v>
      </c>
      <c r="I421" s="304" t="s">
        <v>1222</v>
      </c>
      <c r="J421" s="287"/>
    </row>
    <row r="422" spans="1:10" ht="15" customHeight="1">
      <c r="A422" s="301" t="s">
        <v>1318</v>
      </c>
      <c r="B422" s="302" t="s">
        <v>1319</v>
      </c>
      <c r="C422" s="302" t="s">
        <v>1221</v>
      </c>
      <c r="D422" s="303">
        <v>18216</v>
      </c>
      <c r="E422" s="303">
        <v>21161</v>
      </c>
      <c r="F422" s="303">
        <v>265460</v>
      </c>
      <c r="G422" s="304" t="s">
        <v>1222</v>
      </c>
      <c r="H422" s="303">
        <v>9540625</v>
      </c>
      <c r="I422" s="304" t="s">
        <v>1222</v>
      </c>
      <c r="J422" s="287"/>
    </row>
    <row r="423" spans="1:10" ht="15" customHeight="1">
      <c r="A423" s="301" t="s">
        <v>1318</v>
      </c>
      <c r="B423" s="302" t="s">
        <v>1319</v>
      </c>
      <c r="C423" s="302" t="s">
        <v>1223</v>
      </c>
      <c r="D423" s="303">
        <v>10755</v>
      </c>
      <c r="E423" s="303">
        <v>10760</v>
      </c>
      <c r="F423" s="303">
        <v>18187</v>
      </c>
      <c r="G423" s="304" t="s">
        <v>1222</v>
      </c>
      <c r="H423" s="303">
        <v>639800</v>
      </c>
      <c r="I423" s="304" t="s">
        <v>1222</v>
      </c>
      <c r="J423" s="287"/>
    </row>
    <row r="424" spans="1:10" ht="15" customHeight="1">
      <c r="A424" s="301" t="s">
        <v>1318</v>
      </c>
      <c r="B424" s="302" t="s">
        <v>1319</v>
      </c>
      <c r="C424" s="302" t="s">
        <v>1224</v>
      </c>
      <c r="D424" s="303">
        <v>3144</v>
      </c>
      <c r="E424" s="303">
        <v>3166</v>
      </c>
      <c r="F424" s="303">
        <v>20516</v>
      </c>
      <c r="G424" s="304" t="s">
        <v>1222</v>
      </c>
      <c r="H424" s="303">
        <v>645913</v>
      </c>
      <c r="I424" s="304" t="s">
        <v>1222</v>
      </c>
      <c r="J424" s="287"/>
    </row>
    <row r="425" spans="1:10" ht="15" customHeight="1">
      <c r="A425" s="301" t="s">
        <v>1318</v>
      </c>
      <c r="B425" s="302" t="s">
        <v>1319</v>
      </c>
      <c r="C425" s="302" t="s">
        <v>1225</v>
      </c>
      <c r="D425" s="303">
        <v>1792</v>
      </c>
      <c r="E425" s="303">
        <v>1894</v>
      </c>
      <c r="F425" s="303">
        <v>23532</v>
      </c>
      <c r="G425" s="304" t="s">
        <v>1222</v>
      </c>
      <c r="H425" s="303">
        <v>743803</v>
      </c>
      <c r="I425" s="304" t="s">
        <v>1222</v>
      </c>
      <c r="J425" s="287"/>
    </row>
    <row r="426" spans="1:10" ht="15" customHeight="1">
      <c r="A426" s="301" t="s">
        <v>1318</v>
      </c>
      <c r="B426" s="302" t="s">
        <v>1319</v>
      </c>
      <c r="C426" s="302" t="s">
        <v>1226</v>
      </c>
      <c r="D426" s="303">
        <v>15691</v>
      </c>
      <c r="E426" s="303">
        <v>15820</v>
      </c>
      <c r="F426" s="303">
        <v>62235</v>
      </c>
      <c r="G426" s="304" t="s">
        <v>1222</v>
      </c>
      <c r="H426" s="303">
        <v>2029516</v>
      </c>
      <c r="I426" s="304" t="s">
        <v>1222</v>
      </c>
      <c r="J426" s="287"/>
    </row>
    <row r="427" spans="1:10" ht="15" customHeight="1">
      <c r="A427" s="301" t="s">
        <v>1318</v>
      </c>
      <c r="B427" s="302" t="s">
        <v>1319</v>
      </c>
      <c r="C427" s="302" t="s">
        <v>1227</v>
      </c>
      <c r="D427" s="303">
        <v>1476</v>
      </c>
      <c r="E427" s="303">
        <v>2075</v>
      </c>
      <c r="F427" s="303">
        <v>51646</v>
      </c>
      <c r="G427" s="304" t="s">
        <v>1222</v>
      </c>
      <c r="H427" s="303">
        <v>1895972</v>
      </c>
      <c r="I427" s="304" t="s">
        <v>1222</v>
      </c>
      <c r="J427" s="287"/>
    </row>
    <row r="428" spans="1:10" ht="15" customHeight="1">
      <c r="A428" s="301" t="s">
        <v>1318</v>
      </c>
      <c r="B428" s="302" t="s">
        <v>1319</v>
      </c>
      <c r="C428" s="302" t="s">
        <v>1228</v>
      </c>
      <c r="D428" s="303">
        <v>365</v>
      </c>
      <c r="E428" s="303">
        <v>1097</v>
      </c>
      <c r="F428" s="303">
        <v>42406</v>
      </c>
      <c r="G428" s="304" t="s">
        <v>1222</v>
      </c>
      <c r="H428" s="303">
        <v>1709690</v>
      </c>
      <c r="I428" s="304" t="s">
        <v>1222</v>
      </c>
      <c r="J428" s="287"/>
    </row>
    <row r="429" spans="1:10" ht="15" customHeight="1">
      <c r="A429" s="301" t="s">
        <v>1318</v>
      </c>
      <c r="B429" s="302" t="s">
        <v>1319</v>
      </c>
      <c r="C429" s="302" t="s">
        <v>1229</v>
      </c>
      <c r="D429" s="303">
        <v>17532</v>
      </c>
      <c r="E429" s="303">
        <v>18992</v>
      </c>
      <c r="F429" s="303">
        <v>156287</v>
      </c>
      <c r="G429" s="304" t="s">
        <v>1222</v>
      </c>
      <c r="H429" s="303">
        <v>5635178</v>
      </c>
      <c r="I429" s="304" t="s">
        <v>1222</v>
      </c>
      <c r="J429" s="287"/>
    </row>
    <row r="430" spans="1:10" ht="15" customHeight="1">
      <c r="A430" s="301" t="s">
        <v>1318</v>
      </c>
      <c r="B430" s="302" t="s">
        <v>1319</v>
      </c>
      <c r="C430" s="302" t="s">
        <v>1230</v>
      </c>
      <c r="D430" s="303">
        <v>684</v>
      </c>
      <c r="E430" s="303">
        <v>2169</v>
      </c>
      <c r="F430" s="303">
        <v>109173</v>
      </c>
      <c r="G430" s="304" t="s">
        <v>1222</v>
      </c>
      <c r="H430" s="303">
        <v>3905447</v>
      </c>
      <c r="I430" s="304" t="s">
        <v>1222</v>
      </c>
      <c r="J430" s="287"/>
    </row>
    <row r="431" spans="1:10" ht="15" customHeight="1">
      <c r="A431" s="301" t="s">
        <v>1320</v>
      </c>
      <c r="B431" s="302" t="s">
        <v>1321</v>
      </c>
      <c r="C431" s="302" t="s">
        <v>1221</v>
      </c>
      <c r="D431" s="303">
        <v>147929</v>
      </c>
      <c r="E431" s="303">
        <v>192730</v>
      </c>
      <c r="F431" s="303">
        <v>3089241</v>
      </c>
      <c r="G431" s="304" t="s">
        <v>1222</v>
      </c>
      <c r="H431" s="303">
        <v>150556416</v>
      </c>
      <c r="I431" s="304" t="s">
        <v>1222</v>
      </c>
      <c r="J431" s="287"/>
    </row>
    <row r="432" spans="1:10" ht="15" customHeight="1">
      <c r="A432" s="301" t="s">
        <v>1320</v>
      </c>
      <c r="B432" s="302" t="s">
        <v>1321</v>
      </c>
      <c r="C432" s="302" t="s">
        <v>1223</v>
      </c>
      <c r="D432" s="303">
        <v>86170</v>
      </c>
      <c r="E432" s="303">
        <v>86263</v>
      </c>
      <c r="F432" s="303">
        <v>147511</v>
      </c>
      <c r="G432" s="304" t="s">
        <v>1222</v>
      </c>
      <c r="H432" s="303">
        <v>5715412</v>
      </c>
      <c r="I432" s="304" t="s">
        <v>1222</v>
      </c>
      <c r="J432" s="287"/>
    </row>
    <row r="433" spans="1:10" ht="15" customHeight="1">
      <c r="A433" s="301" t="s">
        <v>1320</v>
      </c>
      <c r="B433" s="302" t="s">
        <v>1321</v>
      </c>
      <c r="C433" s="302" t="s">
        <v>1224</v>
      </c>
      <c r="D433" s="303">
        <v>25105</v>
      </c>
      <c r="E433" s="303">
        <v>25376</v>
      </c>
      <c r="F433" s="303">
        <v>165254</v>
      </c>
      <c r="G433" s="304" t="s">
        <v>1222</v>
      </c>
      <c r="H433" s="303">
        <v>5899168</v>
      </c>
      <c r="I433" s="304" t="s">
        <v>1222</v>
      </c>
      <c r="J433" s="287"/>
    </row>
    <row r="434" spans="1:10" ht="15" customHeight="1">
      <c r="A434" s="301" t="s">
        <v>1320</v>
      </c>
      <c r="B434" s="302" t="s">
        <v>1321</v>
      </c>
      <c r="C434" s="302" t="s">
        <v>1225</v>
      </c>
      <c r="D434" s="303">
        <v>15956</v>
      </c>
      <c r="E434" s="303">
        <v>16759</v>
      </c>
      <c r="F434" s="303">
        <v>212064</v>
      </c>
      <c r="G434" s="304" t="s">
        <v>1222</v>
      </c>
      <c r="H434" s="303">
        <v>8109920</v>
      </c>
      <c r="I434" s="304" t="s">
        <v>1222</v>
      </c>
      <c r="J434" s="287"/>
    </row>
    <row r="435" spans="1:10" ht="15" customHeight="1">
      <c r="A435" s="301" t="s">
        <v>1320</v>
      </c>
      <c r="B435" s="302" t="s">
        <v>1321</v>
      </c>
      <c r="C435" s="302" t="s">
        <v>1226</v>
      </c>
      <c r="D435" s="303">
        <v>127231</v>
      </c>
      <c r="E435" s="303">
        <v>128398</v>
      </c>
      <c r="F435" s="303">
        <v>524829</v>
      </c>
      <c r="G435" s="304" t="s">
        <v>1222</v>
      </c>
      <c r="H435" s="303">
        <v>19724500</v>
      </c>
      <c r="I435" s="304" t="s">
        <v>1222</v>
      </c>
      <c r="J435" s="287"/>
    </row>
    <row r="436" spans="1:10" ht="15" customHeight="1">
      <c r="A436" s="301" t="s">
        <v>1320</v>
      </c>
      <c r="B436" s="302" t="s">
        <v>1321</v>
      </c>
      <c r="C436" s="302" t="s">
        <v>1227</v>
      </c>
      <c r="D436" s="303">
        <v>13896</v>
      </c>
      <c r="E436" s="303">
        <v>17993</v>
      </c>
      <c r="F436" s="303">
        <v>506279</v>
      </c>
      <c r="G436" s="304" t="s">
        <v>1222</v>
      </c>
      <c r="H436" s="303">
        <v>22009900</v>
      </c>
      <c r="I436" s="304" t="s">
        <v>1222</v>
      </c>
      <c r="J436" s="287"/>
    </row>
    <row r="437" spans="1:10" ht="15" customHeight="1">
      <c r="A437" s="301" t="s">
        <v>1320</v>
      </c>
      <c r="B437" s="302" t="s">
        <v>1321</v>
      </c>
      <c r="C437" s="302" t="s">
        <v>1228</v>
      </c>
      <c r="D437" s="303">
        <v>3493</v>
      </c>
      <c r="E437" s="303">
        <v>9470</v>
      </c>
      <c r="F437" s="303">
        <v>422276</v>
      </c>
      <c r="G437" s="304" t="s">
        <v>1222</v>
      </c>
      <c r="H437" s="303">
        <v>21451337</v>
      </c>
      <c r="I437" s="304" t="s">
        <v>1222</v>
      </c>
      <c r="J437" s="287"/>
    </row>
    <row r="438" spans="1:10" ht="15" customHeight="1">
      <c r="A438" s="301" t="s">
        <v>1320</v>
      </c>
      <c r="B438" s="302" t="s">
        <v>1321</v>
      </c>
      <c r="C438" s="302" t="s">
        <v>1229</v>
      </c>
      <c r="D438" s="303">
        <v>144620</v>
      </c>
      <c r="E438" s="303">
        <v>155861</v>
      </c>
      <c r="F438" s="303">
        <v>1453384</v>
      </c>
      <c r="G438" s="304" t="s">
        <v>1222</v>
      </c>
      <c r="H438" s="303">
        <v>63185737</v>
      </c>
      <c r="I438" s="304" t="s">
        <v>1222</v>
      </c>
      <c r="J438" s="287"/>
    </row>
    <row r="439" spans="1:10" ht="15" customHeight="1">
      <c r="A439" s="301" t="s">
        <v>1320</v>
      </c>
      <c r="B439" s="302" t="s">
        <v>1321</v>
      </c>
      <c r="C439" s="302" t="s">
        <v>1230</v>
      </c>
      <c r="D439" s="303">
        <v>3309</v>
      </c>
      <c r="E439" s="303">
        <v>36869</v>
      </c>
      <c r="F439" s="303">
        <v>1635857</v>
      </c>
      <c r="G439" s="304" t="s">
        <v>1222</v>
      </c>
      <c r="H439" s="303">
        <v>87370679</v>
      </c>
      <c r="I439" s="304" t="s">
        <v>1222</v>
      </c>
      <c r="J439" s="287"/>
    </row>
    <row r="440" spans="1:10" ht="15" customHeight="1">
      <c r="A440" s="301" t="s">
        <v>1322</v>
      </c>
      <c r="B440" s="302" t="s">
        <v>1054</v>
      </c>
      <c r="C440" s="302" t="s">
        <v>1221</v>
      </c>
      <c r="D440" s="303">
        <v>143147</v>
      </c>
      <c r="E440" s="303">
        <v>175553</v>
      </c>
      <c r="F440" s="303">
        <v>2361697</v>
      </c>
      <c r="G440" s="304" t="s">
        <v>1222</v>
      </c>
      <c r="H440" s="303">
        <v>122692282</v>
      </c>
      <c r="I440" s="304" t="s">
        <v>1222</v>
      </c>
      <c r="J440" s="287"/>
    </row>
    <row r="441" spans="1:10" ht="15" customHeight="1">
      <c r="A441" s="301" t="s">
        <v>1322</v>
      </c>
      <c r="B441" s="302" t="s">
        <v>1054</v>
      </c>
      <c r="C441" s="302" t="s">
        <v>1223</v>
      </c>
      <c r="D441" s="303">
        <v>87337</v>
      </c>
      <c r="E441" s="303">
        <v>87440</v>
      </c>
      <c r="F441" s="303">
        <v>142019</v>
      </c>
      <c r="G441" s="304" t="s">
        <v>1222</v>
      </c>
      <c r="H441" s="303">
        <v>5370762</v>
      </c>
      <c r="I441" s="304" t="s">
        <v>1222</v>
      </c>
      <c r="J441" s="287"/>
    </row>
    <row r="442" spans="1:10" ht="15" customHeight="1">
      <c r="A442" s="301" t="s">
        <v>1322</v>
      </c>
      <c r="B442" s="302" t="s">
        <v>1054</v>
      </c>
      <c r="C442" s="302" t="s">
        <v>1224</v>
      </c>
      <c r="D442" s="303">
        <v>24516</v>
      </c>
      <c r="E442" s="303">
        <v>24758</v>
      </c>
      <c r="F442" s="303">
        <v>160460</v>
      </c>
      <c r="G442" s="304" t="s">
        <v>1222</v>
      </c>
      <c r="H442" s="303">
        <v>5451237</v>
      </c>
      <c r="I442" s="304" t="s">
        <v>1222</v>
      </c>
      <c r="J442" s="287"/>
    </row>
    <row r="443" spans="1:10" ht="15" customHeight="1">
      <c r="A443" s="301" t="s">
        <v>1322</v>
      </c>
      <c r="B443" s="302" t="s">
        <v>1054</v>
      </c>
      <c r="C443" s="302" t="s">
        <v>1225</v>
      </c>
      <c r="D443" s="303">
        <v>14286</v>
      </c>
      <c r="E443" s="303">
        <v>15093</v>
      </c>
      <c r="F443" s="303">
        <v>189080</v>
      </c>
      <c r="G443" s="304" t="s">
        <v>1222</v>
      </c>
      <c r="H443" s="303">
        <v>6990124</v>
      </c>
      <c r="I443" s="304" t="s">
        <v>1222</v>
      </c>
      <c r="J443" s="287"/>
    </row>
    <row r="444" spans="1:10" ht="15" customHeight="1">
      <c r="A444" s="301" t="s">
        <v>1322</v>
      </c>
      <c r="B444" s="302" t="s">
        <v>1054</v>
      </c>
      <c r="C444" s="302" t="s">
        <v>1226</v>
      </c>
      <c r="D444" s="303">
        <v>126139</v>
      </c>
      <c r="E444" s="303">
        <v>127291</v>
      </c>
      <c r="F444" s="303">
        <v>491559</v>
      </c>
      <c r="G444" s="304" t="s">
        <v>1222</v>
      </c>
      <c r="H444" s="303">
        <v>17812123</v>
      </c>
      <c r="I444" s="304" t="s">
        <v>1222</v>
      </c>
      <c r="J444" s="287"/>
    </row>
    <row r="445" spans="1:10" ht="15" customHeight="1">
      <c r="A445" s="301" t="s">
        <v>1322</v>
      </c>
      <c r="B445" s="302" t="s">
        <v>1054</v>
      </c>
      <c r="C445" s="302" t="s">
        <v>1227</v>
      </c>
      <c r="D445" s="303">
        <v>11285</v>
      </c>
      <c r="E445" s="303">
        <v>15161</v>
      </c>
      <c r="F445" s="303">
        <v>405052</v>
      </c>
      <c r="G445" s="304" t="s">
        <v>1222</v>
      </c>
      <c r="H445" s="303">
        <v>17219666</v>
      </c>
      <c r="I445" s="304" t="s">
        <v>1222</v>
      </c>
      <c r="J445" s="287"/>
    </row>
    <row r="446" spans="1:10" ht="15" customHeight="1">
      <c r="A446" s="301" t="s">
        <v>1322</v>
      </c>
      <c r="B446" s="302" t="s">
        <v>1054</v>
      </c>
      <c r="C446" s="302" t="s">
        <v>1228</v>
      </c>
      <c r="D446" s="303">
        <v>2918</v>
      </c>
      <c r="E446" s="303">
        <v>8191</v>
      </c>
      <c r="F446" s="303">
        <v>333616</v>
      </c>
      <c r="G446" s="304" t="s">
        <v>1222</v>
      </c>
      <c r="H446" s="303">
        <v>16348621</v>
      </c>
      <c r="I446" s="304" t="s">
        <v>1222</v>
      </c>
      <c r="J446" s="287"/>
    </row>
    <row r="447" spans="1:10" ht="15" customHeight="1">
      <c r="A447" s="301" t="s">
        <v>1322</v>
      </c>
      <c r="B447" s="302" t="s">
        <v>1054</v>
      </c>
      <c r="C447" s="302" t="s">
        <v>1229</v>
      </c>
      <c r="D447" s="303">
        <v>140342</v>
      </c>
      <c r="E447" s="303">
        <v>150643</v>
      </c>
      <c r="F447" s="303">
        <v>1230227</v>
      </c>
      <c r="G447" s="304" t="s">
        <v>1222</v>
      </c>
      <c r="H447" s="303">
        <v>51380410</v>
      </c>
      <c r="I447" s="304" t="s">
        <v>1222</v>
      </c>
      <c r="J447" s="287"/>
    </row>
    <row r="448" spans="1:10" ht="15" customHeight="1">
      <c r="A448" s="301" t="s">
        <v>1322</v>
      </c>
      <c r="B448" s="302" t="s">
        <v>1054</v>
      </c>
      <c r="C448" s="302" t="s">
        <v>1230</v>
      </c>
      <c r="D448" s="303">
        <v>2805</v>
      </c>
      <c r="E448" s="303">
        <v>24910</v>
      </c>
      <c r="F448" s="303">
        <v>1131470</v>
      </c>
      <c r="G448" s="304" t="s">
        <v>1222</v>
      </c>
      <c r="H448" s="303">
        <v>71311872</v>
      </c>
      <c r="I448" s="304" t="s">
        <v>1222</v>
      </c>
      <c r="J448" s="287"/>
    </row>
    <row r="449" spans="1:10" ht="15" customHeight="1">
      <c r="A449" s="301" t="s">
        <v>1323</v>
      </c>
      <c r="B449" s="302" t="s">
        <v>1324</v>
      </c>
      <c r="C449" s="302" t="s">
        <v>1221</v>
      </c>
      <c r="D449" s="303">
        <v>28613</v>
      </c>
      <c r="E449" s="303">
        <v>37906</v>
      </c>
      <c r="F449" s="303">
        <v>579583</v>
      </c>
      <c r="G449" s="304" t="s">
        <v>1222</v>
      </c>
      <c r="H449" s="303">
        <v>21204523</v>
      </c>
      <c r="I449" s="304" t="s">
        <v>1222</v>
      </c>
      <c r="J449" s="287"/>
    </row>
    <row r="450" spans="1:10" ht="15" customHeight="1">
      <c r="A450" s="301" t="s">
        <v>1323</v>
      </c>
      <c r="B450" s="302" t="s">
        <v>1324</v>
      </c>
      <c r="C450" s="302" t="s">
        <v>1223</v>
      </c>
      <c r="D450" s="303">
        <v>14935</v>
      </c>
      <c r="E450" s="303">
        <v>14957</v>
      </c>
      <c r="F450" s="303">
        <v>28420</v>
      </c>
      <c r="G450" s="304" t="s">
        <v>1222</v>
      </c>
      <c r="H450" s="303">
        <v>760530</v>
      </c>
      <c r="I450" s="304" t="s">
        <v>1222</v>
      </c>
      <c r="J450" s="287"/>
    </row>
    <row r="451" spans="1:10" ht="15" customHeight="1">
      <c r="A451" s="301" t="s">
        <v>1323</v>
      </c>
      <c r="B451" s="302" t="s">
        <v>1324</v>
      </c>
      <c r="C451" s="302" t="s">
        <v>1224</v>
      </c>
      <c r="D451" s="303">
        <v>5599</v>
      </c>
      <c r="E451" s="303">
        <v>5650</v>
      </c>
      <c r="F451" s="303">
        <v>36590</v>
      </c>
      <c r="G451" s="304" t="s">
        <v>1222</v>
      </c>
      <c r="H451" s="303">
        <v>954882</v>
      </c>
      <c r="I451" s="304" t="s">
        <v>1222</v>
      </c>
      <c r="J451" s="287"/>
    </row>
    <row r="452" spans="1:10" ht="15" customHeight="1">
      <c r="A452" s="301" t="s">
        <v>1323</v>
      </c>
      <c r="B452" s="302" t="s">
        <v>1324</v>
      </c>
      <c r="C452" s="302" t="s">
        <v>1225</v>
      </c>
      <c r="D452" s="303">
        <v>3326</v>
      </c>
      <c r="E452" s="303">
        <v>3536</v>
      </c>
      <c r="F452" s="303">
        <v>44000</v>
      </c>
      <c r="G452" s="304" t="s">
        <v>1222</v>
      </c>
      <c r="H452" s="303">
        <v>1276587</v>
      </c>
      <c r="I452" s="304" t="s">
        <v>1222</v>
      </c>
      <c r="J452" s="287"/>
    </row>
    <row r="453" spans="1:10" ht="15" customHeight="1">
      <c r="A453" s="301" t="s">
        <v>1323</v>
      </c>
      <c r="B453" s="302" t="s">
        <v>1324</v>
      </c>
      <c r="C453" s="302" t="s">
        <v>1226</v>
      </c>
      <c r="D453" s="303">
        <v>23860</v>
      </c>
      <c r="E453" s="303">
        <v>24143</v>
      </c>
      <c r="F453" s="303">
        <v>109010</v>
      </c>
      <c r="G453" s="304" t="s">
        <v>1222</v>
      </c>
      <c r="H453" s="303">
        <v>2991999</v>
      </c>
      <c r="I453" s="304" t="s">
        <v>1222</v>
      </c>
      <c r="J453" s="287"/>
    </row>
    <row r="454" spans="1:10" ht="15" customHeight="1">
      <c r="A454" s="301" t="s">
        <v>1323</v>
      </c>
      <c r="B454" s="302" t="s">
        <v>1324</v>
      </c>
      <c r="C454" s="302" t="s">
        <v>1227</v>
      </c>
      <c r="D454" s="303">
        <v>2747</v>
      </c>
      <c r="E454" s="303">
        <v>3940</v>
      </c>
      <c r="F454" s="303">
        <v>100202</v>
      </c>
      <c r="G454" s="304" t="s">
        <v>1222</v>
      </c>
      <c r="H454" s="303">
        <v>3225087</v>
      </c>
      <c r="I454" s="304" t="s">
        <v>1222</v>
      </c>
      <c r="J454" s="287"/>
    </row>
    <row r="455" spans="1:10" ht="15" customHeight="1">
      <c r="A455" s="301" t="s">
        <v>1323</v>
      </c>
      <c r="B455" s="302" t="s">
        <v>1324</v>
      </c>
      <c r="C455" s="302" t="s">
        <v>1228</v>
      </c>
      <c r="D455" s="303">
        <v>779</v>
      </c>
      <c r="E455" s="303">
        <v>2271</v>
      </c>
      <c r="F455" s="303">
        <v>88376</v>
      </c>
      <c r="G455" s="304" t="s">
        <v>1222</v>
      </c>
      <c r="H455" s="303">
        <v>3100763</v>
      </c>
      <c r="I455" s="304" t="s">
        <v>1222</v>
      </c>
      <c r="J455" s="287"/>
    </row>
    <row r="456" spans="1:10" ht="15" customHeight="1">
      <c r="A456" s="301" t="s">
        <v>1323</v>
      </c>
      <c r="B456" s="302" t="s">
        <v>1324</v>
      </c>
      <c r="C456" s="302" t="s">
        <v>1229</v>
      </c>
      <c r="D456" s="303">
        <v>27386</v>
      </c>
      <c r="E456" s="303">
        <v>30354</v>
      </c>
      <c r="F456" s="303">
        <v>297588</v>
      </c>
      <c r="G456" s="304" t="s">
        <v>1222</v>
      </c>
      <c r="H456" s="303">
        <v>9317849</v>
      </c>
      <c r="I456" s="304" t="s">
        <v>1222</v>
      </c>
      <c r="J456" s="287"/>
    </row>
    <row r="457" spans="1:10" ht="15" customHeight="1">
      <c r="A457" s="301" t="s">
        <v>1323</v>
      </c>
      <c r="B457" s="302" t="s">
        <v>1324</v>
      </c>
      <c r="C457" s="302" t="s">
        <v>1230</v>
      </c>
      <c r="D457" s="303">
        <v>1227</v>
      </c>
      <c r="E457" s="303">
        <v>7552</v>
      </c>
      <c r="F457" s="303">
        <v>281995</v>
      </c>
      <c r="G457" s="304" t="s">
        <v>1222</v>
      </c>
      <c r="H457" s="303">
        <v>11886674</v>
      </c>
      <c r="I457" s="304" t="s">
        <v>1222</v>
      </c>
      <c r="J457" s="287"/>
    </row>
    <row r="458" spans="1:10" ht="15" customHeight="1">
      <c r="A458" s="301" t="s">
        <v>1325</v>
      </c>
      <c r="B458" s="302" t="s">
        <v>1326</v>
      </c>
      <c r="C458" s="302" t="s">
        <v>1221</v>
      </c>
      <c r="D458" s="303">
        <v>108389</v>
      </c>
      <c r="E458" s="303">
        <v>138246</v>
      </c>
      <c r="F458" s="303">
        <v>2388855</v>
      </c>
      <c r="G458" s="304" t="s">
        <v>1222</v>
      </c>
      <c r="H458" s="303">
        <v>99665591</v>
      </c>
      <c r="I458" s="304" t="s">
        <v>1222</v>
      </c>
      <c r="J458" s="287"/>
    </row>
    <row r="459" spans="1:10" ht="15" customHeight="1">
      <c r="A459" s="301" t="s">
        <v>1325</v>
      </c>
      <c r="B459" s="302" t="s">
        <v>1326</v>
      </c>
      <c r="C459" s="302" t="s">
        <v>1223</v>
      </c>
      <c r="D459" s="303">
        <v>59862</v>
      </c>
      <c r="E459" s="303">
        <v>59971</v>
      </c>
      <c r="F459" s="303">
        <v>101646</v>
      </c>
      <c r="G459" s="304" t="s">
        <v>1222</v>
      </c>
      <c r="H459" s="303">
        <v>3550665</v>
      </c>
      <c r="I459" s="304" t="s">
        <v>1222</v>
      </c>
      <c r="J459" s="287"/>
    </row>
    <row r="460" spans="1:10" ht="15" customHeight="1">
      <c r="A460" s="301" t="s">
        <v>1325</v>
      </c>
      <c r="B460" s="302" t="s">
        <v>1326</v>
      </c>
      <c r="C460" s="302" t="s">
        <v>1224</v>
      </c>
      <c r="D460" s="303">
        <v>19221</v>
      </c>
      <c r="E460" s="303">
        <v>19437</v>
      </c>
      <c r="F460" s="303">
        <v>126432</v>
      </c>
      <c r="G460" s="304" t="s">
        <v>1222</v>
      </c>
      <c r="H460" s="303">
        <v>3828564</v>
      </c>
      <c r="I460" s="304" t="s">
        <v>1222</v>
      </c>
      <c r="J460" s="287"/>
    </row>
    <row r="461" spans="1:10" ht="15" customHeight="1">
      <c r="A461" s="301" t="s">
        <v>1325</v>
      </c>
      <c r="B461" s="302" t="s">
        <v>1326</v>
      </c>
      <c r="C461" s="302" t="s">
        <v>1225</v>
      </c>
      <c r="D461" s="303">
        <v>12518</v>
      </c>
      <c r="E461" s="303">
        <v>13242</v>
      </c>
      <c r="F461" s="303">
        <v>168011</v>
      </c>
      <c r="G461" s="304" t="s">
        <v>1222</v>
      </c>
      <c r="H461" s="303">
        <v>5302243</v>
      </c>
      <c r="I461" s="304" t="s">
        <v>1222</v>
      </c>
      <c r="J461" s="287"/>
    </row>
    <row r="462" spans="1:10" ht="15" customHeight="1">
      <c r="A462" s="301" t="s">
        <v>1325</v>
      </c>
      <c r="B462" s="302" t="s">
        <v>1326</v>
      </c>
      <c r="C462" s="302" t="s">
        <v>1226</v>
      </c>
      <c r="D462" s="303">
        <v>91601</v>
      </c>
      <c r="E462" s="303">
        <v>92650</v>
      </c>
      <c r="F462" s="303">
        <v>396089</v>
      </c>
      <c r="G462" s="304" t="s">
        <v>1222</v>
      </c>
      <c r="H462" s="303">
        <v>12681472</v>
      </c>
      <c r="I462" s="304" t="s">
        <v>1222</v>
      </c>
      <c r="J462" s="287"/>
    </row>
    <row r="463" spans="1:10" ht="15" customHeight="1">
      <c r="A463" s="301" t="s">
        <v>1325</v>
      </c>
      <c r="B463" s="302" t="s">
        <v>1326</v>
      </c>
      <c r="C463" s="302" t="s">
        <v>1227</v>
      </c>
      <c r="D463" s="303">
        <v>11564</v>
      </c>
      <c r="E463" s="303">
        <v>15937</v>
      </c>
      <c r="F463" s="303">
        <v>436134</v>
      </c>
      <c r="G463" s="304" t="s">
        <v>1222</v>
      </c>
      <c r="H463" s="303">
        <v>15610070</v>
      </c>
      <c r="I463" s="304" t="s">
        <v>1222</v>
      </c>
      <c r="J463" s="287"/>
    </row>
    <row r="464" spans="1:10" ht="15" customHeight="1">
      <c r="A464" s="301" t="s">
        <v>1325</v>
      </c>
      <c r="B464" s="302" t="s">
        <v>1326</v>
      </c>
      <c r="C464" s="302" t="s">
        <v>1228</v>
      </c>
      <c r="D464" s="303">
        <v>2730</v>
      </c>
      <c r="E464" s="303">
        <v>8156</v>
      </c>
      <c r="F464" s="303">
        <v>377923</v>
      </c>
      <c r="G464" s="304" t="s">
        <v>1222</v>
      </c>
      <c r="H464" s="303">
        <v>15166871</v>
      </c>
      <c r="I464" s="304" t="s">
        <v>1222</v>
      </c>
      <c r="J464" s="287"/>
    </row>
    <row r="465" spans="1:10" ht="15" customHeight="1">
      <c r="A465" s="301" t="s">
        <v>1325</v>
      </c>
      <c r="B465" s="302" t="s">
        <v>1326</v>
      </c>
      <c r="C465" s="302" t="s">
        <v>1229</v>
      </c>
      <c r="D465" s="303">
        <v>105895</v>
      </c>
      <c r="E465" s="303">
        <v>116743</v>
      </c>
      <c r="F465" s="303">
        <v>1210146</v>
      </c>
      <c r="G465" s="304" t="s">
        <v>1222</v>
      </c>
      <c r="H465" s="303">
        <v>43458413</v>
      </c>
      <c r="I465" s="304" t="s">
        <v>1222</v>
      </c>
      <c r="J465" s="287"/>
    </row>
    <row r="466" spans="1:10" ht="15" customHeight="1">
      <c r="A466" s="301" t="s">
        <v>1325</v>
      </c>
      <c r="B466" s="302" t="s">
        <v>1326</v>
      </c>
      <c r="C466" s="302" t="s">
        <v>1230</v>
      </c>
      <c r="D466" s="303">
        <v>2494</v>
      </c>
      <c r="E466" s="303">
        <v>21503</v>
      </c>
      <c r="F466" s="303">
        <v>1178709</v>
      </c>
      <c r="G466" s="304" t="s">
        <v>1222</v>
      </c>
      <c r="H466" s="303">
        <v>56207178</v>
      </c>
      <c r="I466" s="304" t="s">
        <v>1222</v>
      </c>
      <c r="J466" s="287"/>
    </row>
    <row r="467" spans="1:10" ht="15" customHeight="1">
      <c r="A467" s="301" t="s">
        <v>1327</v>
      </c>
      <c r="B467" s="302" t="s">
        <v>1328</v>
      </c>
      <c r="C467" s="302" t="s">
        <v>1221</v>
      </c>
      <c r="D467" s="303">
        <v>17804</v>
      </c>
      <c r="E467" s="303">
        <v>20635</v>
      </c>
      <c r="F467" s="303">
        <v>214241</v>
      </c>
      <c r="G467" s="304" t="s">
        <v>1222</v>
      </c>
      <c r="H467" s="303">
        <v>9589138</v>
      </c>
      <c r="I467" s="304" t="s">
        <v>1222</v>
      </c>
      <c r="J467" s="287"/>
    </row>
    <row r="468" spans="1:10" ht="15" customHeight="1">
      <c r="A468" s="301" t="s">
        <v>1327</v>
      </c>
      <c r="B468" s="302" t="s">
        <v>1328</v>
      </c>
      <c r="C468" s="302" t="s">
        <v>1223</v>
      </c>
      <c r="D468" s="303">
        <v>10661</v>
      </c>
      <c r="E468" s="303">
        <v>10664</v>
      </c>
      <c r="F468" s="303">
        <v>17530</v>
      </c>
      <c r="G468" s="304" t="s">
        <v>1222</v>
      </c>
      <c r="H468" s="303">
        <v>675362</v>
      </c>
      <c r="I468" s="304" t="s">
        <v>1222</v>
      </c>
      <c r="J468" s="287"/>
    </row>
    <row r="469" spans="1:10" ht="15" customHeight="1">
      <c r="A469" s="301" t="s">
        <v>1327</v>
      </c>
      <c r="B469" s="302" t="s">
        <v>1328</v>
      </c>
      <c r="C469" s="302" t="s">
        <v>1224</v>
      </c>
      <c r="D469" s="303">
        <v>2954</v>
      </c>
      <c r="E469" s="303">
        <v>2979</v>
      </c>
      <c r="F469" s="303">
        <v>19283</v>
      </c>
      <c r="G469" s="304" t="s">
        <v>1222</v>
      </c>
      <c r="H469" s="303">
        <v>617869</v>
      </c>
      <c r="I469" s="304" t="s">
        <v>1222</v>
      </c>
      <c r="J469" s="287"/>
    </row>
    <row r="470" spans="1:10" ht="15" customHeight="1">
      <c r="A470" s="301" t="s">
        <v>1327</v>
      </c>
      <c r="B470" s="302" t="s">
        <v>1328</v>
      </c>
      <c r="C470" s="302" t="s">
        <v>1225</v>
      </c>
      <c r="D470" s="303">
        <v>1813</v>
      </c>
      <c r="E470" s="303">
        <v>1916</v>
      </c>
      <c r="F470" s="303">
        <v>23751</v>
      </c>
      <c r="G470" s="304" t="s">
        <v>1222</v>
      </c>
      <c r="H470" s="303">
        <v>820939</v>
      </c>
      <c r="I470" s="304" t="s">
        <v>1222</v>
      </c>
      <c r="J470" s="287"/>
    </row>
    <row r="471" spans="1:10" ht="15" customHeight="1">
      <c r="A471" s="301" t="s">
        <v>1327</v>
      </c>
      <c r="B471" s="302" t="s">
        <v>1328</v>
      </c>
      <c r="C471" s="302" t="s">
        <v>1226</v>
      </c>
      <c r="D471" s="303">
        <v>15428</v>
      </c>
      <c r="E471" s="303">
        <v>15559</v>
      </c>
      <c r="F471" s="303">
        <v>60564</v>
      </c>
      <c r="G471" s="304" t="s">
        <v>1222</v>
      </c>
      <c r="H471" s="303">
        <v>2114170</v>
      </c>
      <c r="I471" s="304" t="s">
        <v>1222</v>
      </c>
      <c r="J471" s="287"/>
    </row>
    <row r="472" spans="1:10" ht="15" customHeight="1">
      <c r="A472" s="301" t="s">
        <v>1327</v>
      </c>
      <c r="B472" s="302" t="s">
        <v>1328</v>
      </c>
      <c r="C472" s="302" t="s">
        <v>1227</v>
      </c>
      <c r="D472" s="303">
        <v>1273</v>
      </c>
      <c r="E472" s="303">
        <v>1768</v>
      </c>
      <c r="F472" s="303">
        <v>42041</v>
      </c>
      <c r="G472" s="304" t="s">
        <v>1222</v>
      </c>
      <c r="H472" s="303">
        <v>1670604</v>
      </c>
      <c r="I472" s="304" t="s">
        <v>1222</v>
      </c>
      <c r="J472" s="287"/>
    </row>
    <row r="473" spans="1:10" ht="15" customHeight="1">
      <c r="A473" s="301" t="s">
        <v>1327</v>
      </c>
      <c r="B473" s="302" t="s">
        <v>1328</v>
      </c>
      <c r="C473" s="302" t="s">
        <v>1228</v>
      </c>
      <c r="D473" s="303">
        <v>381</v>
      </c>
      <c r="E473" s="303">
        <v>878</v>
      </c>
      <c r="F473" s="303">
        <v>30907</v>
      </c>
      <c r="G473" s="304" t="s">
        <v>1222</v>
      </c>
      <c r="H473" s="303">
        <v>1275999</v>
      </c>
      <c r="I473" s="304" t="s">
        <v>1222</v>
      </c>
      <c r="J473" s="287"/>
    </row>
    <row r="474" spans="1:10" ht="15" customHeight="1">
      <c r="A474" s="301" t="s">
        <v>1327</v>
      </c>
      <c r="B474" s="302" t="s">
        <v>1328</v>
      </c>
      <c r="C474" s="302" t="s">
        <v>1229</v>
      </c>
      <c r="D474" s="303">
        <v>17082</v>
      </c>
      <c r="E474" s="303">
        <v>18205</v>
      </c>
      <c r="F474" s="303">
        <v>133512</v>
      </c>
      <c r="G474" s="304" t="s">
        <v>1222</v>
      </c>
      <c r="H474" s="303">
        <v>5060773</v>
      </c>
      <c r="I474" s="304" t="s">
        <v>1222</v>
      </c>
      <c r="J474" s="287"/>
    </row>
    <row r="475" spans="1:10" ht="15" customHeight="1">
      <c r="A475" s="301" t="s">
        <v>1327</v>
      </c>
      <c r="B475" s="302" t="s">
        <v>1328</v>
      </c>
      <c r="C475" s="302" t="s">
        <v>1230</v>
      </c>
      <c r="D475" s="303">
        <v>722</v>
      </c>
      <c r="E475" s="303">
        <v>2430</v>
      </c>
      <c r="F475" s="303">
        <v>80729</v>
      </c>
      <c r="G475" s="304" t="s">
        <v>1222</v>
      </c>
      <c r="H475" s="303">
        <v>4528365</v>
      </c>
      <c r="I475" s="304" t="s">
        <v>1222</v>
      </c>
      <c r="J475" s="287"/>
    </row>
    <row r="476" spans="1:10" ht="15" customHeight="1">
      <c r="A476" s="287"/>
      <c r="D476" s="287"/>
      <c r="E476" s="287"/>
      <c r="F476" s="287"/>
      <c r="G476" s="287"/>
      <c r="H476" s="287"/>
      <c r="I476" s="287"/>
      <c r="J476" s="287"/>
    </row>
    <row r="477" spans="1:10" ht="15" customHeight="1">
      <c r="A477" s="287"/>
      <c r="D477" s="287"/>
      <c r="E477" s="287"/>
      <c r="F477" s="287"/>
      <c r="G477" s="287"/>
      <c r="H477" s="287"/>
      <c r="I477" s="287"/>
      <c r="J477" s="287"/>
    </row>
    <row r="478" spans="1:10" ht="15" customHeight="1">
      <c r="A478" s="287"/>
      <c r="D478" s="287"/>
      <c r="E478" s="287"/>
      <c r="F478" s="287"/>
      <c r="G478" s="287"/>
      <c r="H478" s="287"/>
      <c r="I478" s="287"/>
      <c r="J478" s="287"/>
    </row>
    <row r="479" spans="1:10" ht="15" customHeight="1">
      <c r="A479" s="287"/>
      <c r="D479" s="287"/>
      <c r="E479" s="287"/>
      <c r="F479" s="287"/>
      <c r="G479" s="287"/>
      <c r="H479" s="287"/>
      <c r="I479" s="287"/>
      <c r="J479" s="287"/>
    </row>
    <row r="480" spans="1:10" ht="15" customHeight="1">
      <c r="A480" s="287"/>
      <c r="D480" s="287"/>
      <c r="E480" s="287"/>
      <c r="F480" s="287"/>
      <c r="G480" s="287"/>
      <c r="H480" s="287"/>
      <c r="I480" s="287"/>
      <c r="J480" s="287"/>
    </row>
    <row r="481" spans="1:10" ht="15" customHeight="1">
      <c r="A481" s="287"/>
      <c r="D481" s="287"/>
      <c r="E481" s="287"/>
      <c r="F481" s="287"/>
      <c r="G481" s="287"/>
      <c r="H481" s="287"/>
      <c r="I481" s="287"/>
      <c r="J481" s="287"/>
    </row>
    <row r="482" spans="1:10" ht="15" customHeight="1">
      <c r="A482" s="287"/>
      <c r="D482" s="287"/>
      <c r="E482" s="287"/>
      <c r="F482" s="287"/>
      <c r="G482" s="287"/>
      <c r="H482" s="287"/>
      <c r="I482" s="287"/>
      <c r="J482" s="287"/>
    </row>
    <row r="483" spans="1:10" ht="15" customHeight="1">
      <c r="A483" s="287"/>
      <c r="D483" s="287"/>
      <c r="E483" s="287"/>
      <c r="F483" s="287"/>
      <c r="G483" s="287"/>
      <c r="H483" s="287"/>
      <c r="I483" s="287"/>
      <c r="J483" s="287"/>
    </row>
    <row r="484" spans="1:10" ht="15" customHeight="1">
      <c r="A484" s="287"/>
      <c r="D484" s="287"/>
      <c r="E484" s="287"/>
      <c r="F484" s="287"/>
      <c r="G484" s="287"/>
      <c r="H484" s="287"/>
      <c r="I484" s="287"/>
      <c r="J484" s="287"/>
    </row>
    <row r="485" spans="1:10" ht="15" customHeight="1">
      <c r="A485" s="305"/>
      <c r="B485" s="306"/>
      <c r="C485" s="306"/>
      <c r="D485" s="307"/>
      <c r="E485" s="307"/>
      <c r="F485" s="307"/>
      <c r="G485" s="305"/>
      <c r="H485" s="305"/>
      <c r="I485" s="307"/>
      <c r="J485" s="305"/>
    </row>
    <row r="486" spans="1:10" ht="15" customHeight="1">
      <c r="A486" s="305"/>
      <c r="B486" s="306"/>
      <c r="C486" s="306"/>
      <c r="D486" s="307"/>
      <c r="E486" s="307"/>
      <c r="F486" s="307"/>
      <c r="G486" s="305"/>
      <c r="H486" s="305"/>
      <c r="I486" s="307"/>
      <c r="J486" s="305"/>
    </row>
    <row r="487" spans="1:10" ht="15" customHeight="1">
      <c r="A487" s="305"/>
      <c r="B487" s="306"/>
      <c r="C487" s="306"/>
      <c r="D487" s="307"/>
      <c r="E487" s="307"/>
      <c r="F487" s="307"/>
      <c r="G487" s="305"/>
      <c r="H487" s="305"/>
      <c r="I487" s="307"/>
      <c r="J487" s="305"/>
    </row>
    <row r="488" spans="1:10" ht="15" customHeight="1">
      <c r="A488" s="305"/>
      <c r="B488" s="306"/>
      <c r="C488" s="306"/>
      <c r="D488" s="307"/>
      <c r="E488" s="307"/>
      <c r="F488" s="307"/>
      <c r="G488" s="305"/>
      <c r="H488" s="305"/>
      <c r="I488" s="307"/>
      <c r="J488" s="305"/>
    </row>
    <row r="489" spans="1:10" ht="15" customHeight="1">
      <c r="A489" s="305"/>
      <c r="B489" s="306"/>
      <c r="C489" s="306"/>
      <c r="D489" s="307"/>
      <c r="E489" s="307"/>
      <c r="F489" s="307"/>
      <c r="G489" s="305"/>
      <c r="H489" s="305"/>
      <c r="I489" s="307"/>
      <c r="J489" s="305"/>
    </row>
    <row r="490" spans="1:10" ht="15" customHeight="1">
      <c r="A490" s="305"/>
      <c r="B490" s="306"/>
      <c r="C490" s="306"/>
      <c r="D490" s="307"/>
      <c r="E490" s="307"/>
      <c r="F490" s="307"/>
      <c r="G490" s="305"/>
      <c r="H490" s="305"/>
      <c r="I490" s="307"/>
      <c r="J490" s="305"/>
    </row>
    <row r="491" spans="1:10" ht="15" customHeight="1">
      <c r="A491" s="305"/>
      <c r="B491" s="306"/>
      <c r="C491" s="306"/>
      <c r="D491" s="307"/>
      <c r="E491" s="307"/>
      <c r="F491" s="307"/>
      <c r="G491" s="305"/>
      <c r="H491" s="305"/>
      <c r="I491" s="307"/>
      <c r="J491" s="305"/>
    </row>
    <row r="492" spans="1:10" ht="15" customHeight="1">
      <c r="A492" s="305"/>
      <c r="B492" s="306"/>
      <c r="C492" s="306"/>
      <c r="D492" s="307"/>
      <c r="E492" s="307"/>
      <c r="F492" s="307"/>
      <c r="G492" s="305"/>
      <c r="H492" s="305"/>
      <c r="I492" s="307"/>
      <c r="J492" s="305"/>
    </row>
    <row r="493" spans="1:10" ht="15" customHeight="1">
      <c r="A493" s="305"/>
      <c r="B493" s="306"/>
      <c r="C493" s="306"/>
      <c r="D493" s="307"/>
      <c r="E493" s="307"/>
      <c r="F493" s="307"/>
      <c r="G493" s="305"/>
      <c r="H493" s="305"/>
      <c r="I493" s="307"/>
      <c r="J493" s="305"/>
    </row>
    <row r="494" spans="1:10" ht="15" customHeight="1">
      <c r="A494" s="305"/>
      <c r="B494" s="306"/>
      <c r="C494" s="306"/>
      <c r="D494" s="307"/>
      <c r="E494" s="307"/>
      <c r="F494" s="307"/>
      <c r="G494" s="305"/>
      <c r="H494" s="305"/>
      <c r="I494" s="307"/>
      <c r="J494" s="305"/>
    </row>
    <row r="495" spans="1:10" ht="15" customHeight="1">
      <c r="A495" s="305"/>
      <c r="B495" s="306"/>
      <c r="C495" s="306"/>
      <c r="D495" s="307"/>
      <c r="E495" s="307"/>
      <c r="F495" s="307"/>
      <c r="G495" s="305"/>
      <c r="H495" s="305"/>
      <c r="I495" s="307"/>
      <c r="J495" s="305"/>
    </row>
    <row r="496" spans="1:10" ht="15" customHeight="1">
      <c r="A496" s="305"/>
      <c r="B496" s="306"/>
      <c r="C496" s="306"/>
      <c r="D496" s="307"/>
      <c r="E496" s="307"/>
      <c r="F496" s="307"/>
      <c r="G496" s="305"/>
      <c r="H496" s="305"/>
      <c r="I496" s="307"/>
      <c r="J496" s="305"/>
    </row>
    <row r="497" spans="1:10" ht="15" customHeight="1">
      <c r="A497" s="305"/>
      <c r="B497" s="306"/>
      <c r="C497" s="306"/>
      <c r="D497" s="307"/>
      <c r="E497" s="307"/>
      <c r="F497" s="307"/>
      <c r="G497" s="305"/>
      <c r="H497" s="305"/>
      <c r="I497" s="307"/>
      <c r="J497" s="305"/>
    </row>
    <row r="498" spans="1:10" ht="15" customHeight="1">
      <c r="A498" s="305"/>
      <c r="B498" s="306"/>
      <c r="C498" s="306"/>
      <c r="D498" s="307"/>
      <c r="E498" s="307"/>
      <c r="F498" s="307"/>
      <c r="G498" s="305"/>
      <c r="H498" s="305"/>
      <c r="I498" s="307"/>
      <c r="J498" s="305"/>
    </row>
    <row r="499" spans="1:10" ht="15" customHeight="1">
      <c r="A499" s="305"/>
      <c r="B499" s="306"/>
      <c r="C499" s="306"/>
      <c r="D499" s="307"/>
      <c r="E499" s="307"/>
      <c r="F499" s="307"/>
      <c r="G499" s="305"/>
      <c r="H499" s="305"/>
      <c r="I499" s="307"/>
      <c r="J499" s="305"/>
    </row>
    <row r="500" spans="1:10" ht="15" customHeight="1">
      <c r="A500" s="305"/>
      <c r="B500" s="306"/>
      <c r="C500" s="306"/>
      <c r="D500" s="307"/>
      <c r="E500" s="307"/>
      <c r="F500" s="307"/>
      <c r="G500" s="305"/>
      <c r="H500" s="305"/>
      <c r="I500" s="307"/>
      <c r="J500" s="305"/>
    </row>
    <row r="501" spans="1:10" ht="15" customHeight="1">
      <c r="A501" s="305"/>
      <c r="B501" s="306"/>
      <c r="C501" s="306"/>
      <c r="D501" s="307"/>
      <c r="E501" s="307"/>
      <c r="F501" s="307"/>
      <c r="G501" s="305"/>
      <c r="H501" s="305"/>
      <c r="I501" s="307"/>
      <c r="J501" s="305"/>
    </row>
    <row r="502" spans="1:10" ht="15" customHeight="1">
      <c r="A502" s="305"/>
      <c r="B502" s="306"/>
      <c r="C502" s="306"/>
      <c r="D502" s="307"/>
      <c r="E502" s="307"/>
      <c r="F502" s="307"/>
      <c r="G502" s="305"/>
      <c r="H502" s="305"/>
      <c r="I502" s="307"/>
      <c r="J502" s="305"/>
    </row>
    <row r="503" spans="1:10" ht="15" customHeight="1">
      <c r="A503" s="305"/>
      <c r="B503" s="306"/>
      <c r="C503" s="306"/>
      <c r="D503" s="307"/>
      <c r="E503" s="307"/>
      <c r="F503" s="307"/>
      <c r="G503" s="305"/>
      <c r="H503" s="305"/>
      <c r="I503" s="307"/>
      <c r="J503" s="305"/>
    </row>
    <row r="504" spans="1:10" ht="15" customHeight="1">
      <c r="A504" s="305"/>
      <c r="B504" s="306"/>
      <c r="C504" s="306"/>
      <c r="D504" s="307"/>
      <c r="E504" s="307"/>
      <c r="F504" s="307"/>
      <c r="G504" s="305"/>
      <c r="H504" s="305"/>
      <c r="I504" s="307"/>
      <c r="J504" s="305"/>
    </row>
    <row r="505" spans="1:10" ht="15" customHeight="1">
      <c r="A505" s="305"/>
      <c r="B505" s="306"/>
      <c r="C505" s="306"/>
      <c r="D505" s="307"/>
      <c r="E505" s="307"/>
      <c r="F505" s="307"/>
      <c r="G505" s="305"/>
      <c r="H505" s="305"/>
      <c r="I505" s="307"/>
      <c r="J505" s="305"/>
    </row>
    <row r="506" spans="1:10" ht="15" customHeight="1">
      <c r="A506" s="305"/>
      <c r="B506" s="306"/>
      <c r="C506" s="306"/>
      <c r="D506" s="307"/>
      <c r="E506" s="307"/>
      <c r="F506" s="307"/>
      <c r="G506" s="305"/>
      <c r="H506" s="305"/>
      <c r="I506" s="307"/>
      <c r="J506" s="305"/>
    </row>
    <row r="507" spans="1:10" ht="15" customHeight="1">
      <c r="A507" s="305"/>
      <c r="B507" s="306"/>
      <c r="C507" s="306"/>
      <c r="D507" s="307"/>
      <c r="E507" s="307"/>
      <c r="F507" s="307"/>
      <c r="G507" s="305"/>
      <c r="H507" s="305"/>
      <c r="I507" s="307"/>
      <c r="J507" s="305"/>
    </row>
    <row r="508" spans="1:10" ht="15" customHeight="1">
      <c r="A508" s="305"/>
      <c r="B508" s="306"/>
      <c r="C508" s="306"/>
      <c r="D508" s="307"/>
      <c r="E508" s="307"/>
      <c r="F508" s="307"/>
      <c r="G508" s="305"/>
      <c r="H508" s="305"/>
      <c r="I508" s="307"/>
      <c r="J508" s="305"/>
    </row>
    <row r="509" spans="1:10" ht="15" customHeight="1">
      <c r="A509" s="305"/>
      <c r="B509" s="306"/>
      <c r="C509" s="306"/>
      <c r="D509" s="307"/>
      <c r="E509" s="307"/>
      <c r="F509" s="307"/>
      <c r="G509" s="305"/>
      <c r="H509" s="305"/>
      <c r="I509" s="307"/>
      <c r="J509" s="305"/>
    </row>
    <row r="510" spans="1:10" ht="15" customHeight="1">
      <c r="A510" s="305"/>
      <c r="B510" s="306"/>
      <c r="C510" s="306"/>
      <c r="D510" s="307"/>
      <c r="E510" s="307"/>
      <c r="F510" s="307"/>
      <c r="G510" s="305"/>
      <c r="H510" s="305"/>
      <c r="I510" s="307"/>
      <c r="J510" s="305"/>
    </row>
    <row r="511" spans="1:10" ht="15" customHeight="1">
      <c r="A511" s="305"/>
      <c r="B511" s="306"/>
      <c r="C511" s="306"/>
      <c r="D511" s="307"/>
      <c r="E511" s="307"/>
      <c r="F511" s="307"/>
      <c r="G511" s="305"/>
      <c r="H511" s="305"/>
      <c r="I511" s="307"/>
      <c r="J511" s="305"/>
    </row>
    <row r="512" spans="1:10" ht="15" customHeight="1">
      <c r="A512" s="305"/>
      <c r="B512" s="306"/>
      <c r="C512" s="306"/>
      <c r="D512" s="307"/>
      <c r="E512" s="307"/>
      <c r="F512" s="307"/>
      <c r="G512" s="305"/>
      <c r="H512" s="305"/>
      <c r="I512" s="307"/>
      <c r="J512" s="305"/>
    </row>
    <row r="513" spans="1:10" ht="15" customHeight="1">
      <c r="A513" s="305"/>
      <c r="B513" s="306"/>
      <c r="C513" s="306"/>
      <c r="D513" s="307"/>
      <c r="E513" s="307"/>
      <c r="F513" s="307"/>
      <c r="G513" s="305"/>
      <c r="H513" s="305"/>
      <c r="I513" s="307"/>
      <c r="J513" s="305"/>
    </row>
    <row r="514" spans="1:10" ht="15" customHeight="1">
      <c r="A514" s="305"/>
      <c r="B514" s="306"/>
      <c r="C514" s="306"/>
      <c r="D514" s="307"/>
      <c r="E514" s="307"/>
      <c r="F514" s="307"/>
      <c r="G514" s="305"/>
      <c r="H514" s="305"/>
      <c r="I514" s="307"/>
      <c r="J514" s="305"/>
    </row>
    <row r="515" spans="1:10" ht="15" customHeight="1">
      <c r="A515" s="305"/>
      <c r="B515" s="306"/>
      <c r="C515" s="306"/>
      <c r="D515" s="307"/>
      <c r="E515" s="307"/>
      <c r="F515" s="307"/>
      <c r="G515" s="305"/>
      <c r="H515" s="305"/>
      <c r="I515" s="307"/>
      <c r="J515" s="305"/>
    </row>
    <row r="516" spans="1:10" ht="15" customHeight="1">
      <c r="A516" s="305"/>
      <c r="B516" s="306"/>
      <c r="C516" s="306"/>
      <c r="D516" s="307"/>
      <c r="E516" s="307"/>
      <c r="F516" s="307"/>
      <c r="G516" s="305"/>
      <c r="H516" s="305"/>
      <c r="I516" s="307"/>
      <c r="J516" s="305"/>
    </row>
    <row r="517" spans="1:10" ht="15" customHeight="1">
      <c r="A517" s="305"/>
      <c r="B517" s="306"/>
      <c r="C517" s="306"/>
      <c r="D517" s="307"/>
      <c r="E517" s="307"/>
      <c r="F517" s="307"/>
      <c r="G517" s="305"/>
      <c r="H517" s="305"/>
      <c r="I517" s="307"/>
      <c r="J517" s="305"/>
    </row>
    <row r="518" spans="1:10" ht="15" customHeight="1">
      <c r="A518" s="305"/>
      <c r="B518" s="306"/>
      <c r="C518" s="306"/>
      <c r="D518" s="307"/>
      <c r="E518" s="307"/>
      <c r="F518" s="307"/>
      <c r="G518" s="305"/>
      <c r="H518" s="305"/>
      <c r="I518" s="307"/>
      <c r="J518" s="305"/>
    </row>
    <row r="519" spans="1:10" ht="15" customHeight="1">
      <c r="A519" s="305"/>
      <c r="B519" s="306"/>
      <c r="C519" s="306"/>
      <c r="D519" s="307"/>
      <c r="E519" s="307"/>
      <c r="F519" s="307"/>
      <c r="G519" s="305"/>
      <c r="H519" s="305"/>
      <c r="I519" s="307"/>
      <c r="J519" s="305"/>
    </row>
    <row r="520" spans="1:10" ht="15" customHeight="1">
      <c r="A520" s="305"/>
      <c r="B520" s="306"/>
      <c r="C520" s="306"/>
      <c r="D520" s="307"/>
      <c r="E520" s="307"/>
      <c r="F520" s="307"/>
      <c r="G520" s="305"/>
      <c r="H520" s="305"/>
      <c r="I520" s="307"/>
      <c r="J520" s="305"/>
    </row>
    <row r="521" spans="1:10" ht="15" customHeight="1">
      <c r="A521" s="305"/>
      <c r="B521" s="306"/>
      <c r="C521" s="306"/>
      <c r="D521" s="307"/>
      <c r="E521" s="307"/>
      <c r="F521" s="307"/>
      <c r="G521" s="305"/>
      <c r="H521" s="305"/>
      <c r="I521" s="307"/>
      <c r="J521" s="305"/>
    </row>
    <row r="522" spans="1:10" ht="15" customHeight="1">
      <c r="A522" s="305"/>
      <c r="B522" s="306"/>
      <c r="C522" s="306"/>
      <c r="D522" s="307"/>
      <c r="E522" s="307"/>
      <c r="F522" s="307"/>
      <c r="G522" s="305"/>
      <c r="H522" s="305"/>
      <c r="I522" s="307"/>
      <c r="J522" s="305"/>
    </row>
    <row r="523" spans="1:10" ht="15" customHeight="1">
      <c r="A523" s="305"/>
      <c r="B523" s="306"/>
      <c r="C523" s="306"/>
      <c r="D523" s="307"/>
      <c r="E523" s="307"/>
      <c r="F523" s="307"/>
      <c r="G523" s="305"/>
      <c r="H523" s="305"/>
      <c r="I523" s="307"/>
      <c r="J523" s="305"/>
    </row>
    <row r="524" spans="1:10" ht="15" customHeight="1">
      <c r="A524" s="305"/>
      <c r="B524" s="306"/>
      <c r="C524" s="306"/>
      <c r="D524" s="307"/>
      <c r="E524" s="307"/>
      <c r="F524" s="307"/>
      <c r="G524" s="305"/>
      <c r="H524" s="305"/>
      <c r="I524" s="307"/>
      <c r="J524" s="305"/>
    </row>
    <row r="525" spans="1:10" ht="15" customHeight="1">
      <c r="A525" s="305"/>
      <c r="B525" s="306"/>
      <c r="C525" s="306"/>
      <c r="D525" s="307"/>
      <c r="E525" s="307"/>
      <c r="F525" s="307"/>
      <c r="G525" s="305"/>
      <c r="H525" s="305"/>
      <c r="I525" s="307"/>
      <c r="J525" s="305"/>
    </row>
    <row r="526" spans="1:10" ht="15" customHeight="1">
      <c r="A526" s="305"/>
      <c r="B526" s="306"/>
      <c r="C526" s="306"/>
      <c r="D526" s="307"/>
      <c r="E526" s="307"/>
      <c r="F526" s="307"/>
      <c r="G526" s="305"/>
      <c r="H526" s="305"/>
      <c r="I526" s="307"/>
      <c r="J526" s="305"/>
    </row>
    <row r="527" spans="1:10" ht="15" customHeight="1">
      <c r="A527" s="305"/>
      <c r="B527" s="306"/>
      <c r="C527" s="306"/>
      <c r="D527" s="307"/>
      <c r="E527" s="307"/>
      <c r="F527" s="307"/>
      <c r="G527" s="305"/>
      <c r="H527" s="305"/>
      <c r="I527" s="307"/>
      <c r="J527" s="305"/>
    </row>
    <row r="528" spans="1:10" ht="15" customHeight="1">
      <c r="A528" s="305"/>
      <c r="B528" s="306"/>
      <c r="C528" s="306"/>
      <c r="D528" s="307"/>
      <c r="E528" s="307"/>
      <c r="F528" s="307"/>
      <c r="G528" s="305"/>
      <c r="H528" s="305"/>
      <c r="I528" s="307"/>
      <c r="J528" s="305"/>
    </row>
    <row r="529" spans="1:10" ht="15" customHeight="1">
      <c r="A529" s="305"/>
      <c r="B529" s="306"/>
      <c r="C529" s="306"/>
      <c r="D529" s="307"/>
      <c r="E529" s="307"/>
      <c r="F529" s="307"/>
      <c r="G529" s="305"/>
      <c r="H529" s="305"/>
      <c r="I529" s="307"/>
      <c r="J529" s="305"/>
    </row>
    <row r="530" spans="1:10" ht="15" customHeight="1">
      <c r="A530" s="305"/>
      <c r="B530" s="306"/>
      <c r="C530" s="306"/>
      <c r="D530" s="307"/>
      <c r="E530" s="307"/>
      <c r="F530" s="307"/>
      <c r="G530" s="305"/>
      <c r="H530" s="305"/>
      <c r="I530" s="307"/>
      <c r="J530" s="305"/>
    </row>
    <row r="531" spans="1:10" ht="15" customHeight="1">
      <c r="A531" s="305"/>
      <c r="B531" s="306"/>
      <c r="C531" s="306"/>
      <c r="D531" s="307"/>
      <c r="E531" s="307"/>
      <c r="F531" s="307"/>
      <c r="G531" s="305"/>
      <c r="H531" s="305"/>
      <c r="I531" s="307"/>
      <c r="J531" s="305"/>
    </row>
    <row r="532" spans="1:10" ht="15" customHeight="1">
      <c r="A532" s="305"/>
      <c r="B532" s="306"/>
      <c r="C532" s="306"/>
      <c r="D532" s="307"/>
      <c r="E532" s="307"/>
      <c r="F532" s="307"/>
      <c r="G532" s="305"/>
      <c r="H532" s="305"/>
      <c r="I532" s="307"/>
      <c r="J532" s="305"/>
    </row>
    <row r="533" spans="1:10" ht="15" customHeight="1">
      <c r="A533" s="305"/>
      <c r="B533" s="306"/>
      <c r="C533" s="306"/>
      <c r="D533" s="307"/>
      <c r="E533" s="307"/>
      <c r="F533" s="307"/>
      <c r="G533" s="305"/>
      <c r="H533" s="305"/>
      <c r="I533" s="307"/>
      <c r="J533" s="305"/>
    </row>
    <row r="534" spans="1:10" ht="15" customHeight="1">
      <c r="A534" s="305"/>
      <c r="B534" s="306"/>
      <c r="C534" s="306"/>
      <c r="D534" s="307"/>
      <c r="E534" s="307"/>
      <c r="F534" s="307"/>
      <c r="G534" s="305"/>
      <c r="H534" s="305"/>
      <c r="I534" s="307"/>
      <c r="J534" s="305"/>
    </row>
    <row r="535" spans="1:10" ht="15" customHeight="1">
      <c r="A535" s="305"/>
      <c r="B535" s="306"/>
      <c r="C535" s="306"/>
      <c r="D535" s="307"/>
      <c r="E535" s="307"/>
      <c r="F535" s="307"/>
      <c r="G535" s="305"/>
      <c r="H535" s="305"/>
      <c r="I535" s="307"/>
      <c r="J535" s="305"/>
    </row>
    <row r="536" spans="1:10" ht="15" customHeight="1">
      <c r="A536" s="305"/>
      <c r="B536" s="306"/>
      <c r="C536" s="306"/>
      <c r="D536" s="307"/>
      <c r="E536" s="307"/>
      <c r="F536" s="307"/>
      <c r="G536" s="305"/>
      <c r="H536" s="305"/>
      <c r="I536" s="307"/>
      <c r="J536" s="305"/>
    </row>
    <row r="537" spans="1:10" ht="15" customHeight="1">
      <c r="A537" s="305"/>
      <c r="B537" s="306"/>
      <c r="C537" s="306"/>
      <c r="D537" s="307"/>
      <c r="E537" s="307"/>
      <c r="F537" s="307"/>
      <c r="G537" s="305"/>
      <c r="H537" s="305"/>
      <c r="I537" s="307"/>
      <c r="J537" s="305"/>
    </row>
    <row r="538" spans="1:10" ht="15" customHeight="1">
      <c r="A538" s="305"/>
      <c r="B538" s="306"/>
      <c r="C538" s="306"/>
      <c r="D538" s="307"/>
      <c r="E538" s="307"/>
      <c r="F538" s="307"/>
      <c r="G538" s="305"/>
      <c r="H538" s="305"/>
      <c r="I538" s="307"/>
      <c r="J538" s="305"/>
    </row>
    <row r="539" spans="1:10" ht="15" customHeight="1">
      <c r="A539" s="305"/>
      <c r="B539" s="306"/>
      <c r="C539" s="306"/>
      <c r="D539" s="307"/>
      <c r="E539" s="307"/>
      <c r="F539" s="307"/>
      <c r="G539" s="305"/>
      <c r="H539" s="305"/>
      <c r="I539" s="307"/>
      <c r="J539" s="305"/>
    </row>
    <row r="540" spans="1:10" ht="15" customHeight="1">
      <c r="A540" s="305"/>
      <c r="B540" s="306"/>
      <c r="C540" s="306"/>
      <c r="D540" s="307"/>
      <c r="E540" s="307"/>
      <c r="F540" s="307"/>
      <c r="G540" s="305"/>
      <c r="H540" s="305"/>
      <c r="I540" s="307"/>
      <c r="J540" s="305"/>
    </row>
    <row r="541" spans="1:10" ht="15" customHeight="1">
      <c r="A541" s="305"/>
      <c r="B541" s="306"/>
      <c r="C541" s="306"/>
      <c r="D541" s="307"/>
      <c r="E541" s="307"/>
      <c r="F541" s="307"/>
      <c r="G541" s="305"/>
      <c r="H541" s="305"/>
      <c r="I541" s="307"/>
      <c r="J541" s="305"/>
    </row>
    <row r="542" spans="1:10" ht="15" customHeight="1">
      <c r="A542" s="305"/>
      <c r="B542" s="306"/>
      <c r="C542" s="306"/>
      <c r="D542" s="307"/>
      <c r="E542" s="307"/>
      <c r="F542" s="307"/>
      <c r="G542" s="305"/>
      <c r="H542" s="305"/>
      <c r="I542" s="307"/>
      <c r="J542" s="305"/>
    </row>
    <row r="543" spans="1:10" ht="15" customHeight="1">
      <c r="A543" s="305"/>
      <c r="B543" s="306"/>
      <c r="C543" s="306"/>
      <c r="D543" s="307"/>
      <c r="E543" s="307"/>
      <c r="F543" s="307"/>
      <c r="G543" s="305"/>
      <c r="H543" s="305"/>
      <c r="I543" s="307"/>
      <c r="J543" s="305"/>
    </row>
    <row r="544" spans="1:10" ht="15" customHeight="1">
      <c r="A544" s="305"/>
      <c r="B544" s="306"/>
      <c r="C544" s="306"/>
      <c r="D544" s="307"/>
      <c r="E544" s="307"/>
      <c r="F544" s="307"/>
      <c r="G544" s="305"/>
      <c r="H544" s="305"/>
      <c r="I544" s="307"/>
      <c r="J544" s="305"/>
    </row>
    <row r="545" spans="1:10" ht="15" customHeight="1">
      <c r="A545" s="305"/>
      <c r="B545" s="306"/>
      <c r="C545" s="306"/>
      <c r="D545" s="307"/>
      <c r="E545" s="307"/>
      <c r="F545" s="307"/>
      <c r="G545" s="305"/>
      <c r="H545" s="305"/>
      <c r="I545" s="307"/>
      <c r="J545" s="305"/>
    </row>
    <row r="546" spans="1:10" ht="15" customHeight="1">
      <c r="A546" s="305"/>
      <c r="B546" s="306"/>
      <c r="C546" s="306"/>
      <c r="D546" s="307"/>
      <c r="E546" s="307"/>
      <c r="F546" s="307"/>
      <c r="G546" s="305"/>
      <c r="H546" s="305"/>
      <c r="I546" s="307"/>
      <c r="J546" s="305"/>
    </row>
    <row r="547" spans="1:10" ht="15" customHeight="1">
      <c r="A547" s="305"/>
      <c r="B547" s="306"/>
      <c r="C547" s="306"/>
      <c r="D547" s="307"/>
      <c r="E547" s="307"/>
      <c r="F547" s="307"/>
      <c r="G547" s="305"/>
      <c r="H547" s="305"/>
      <c r="I547" s="307"/>
      <c r="J547" s="305"/>
    </row>
    <row r="548" spans="1:10" ht="15" customHeight="1">
      <c r="A548" s="305"/>
      <c r="B548" s="306"/>
      <c r="C548" s="306"/>
      <c r="D548" s="307"/>
      <c r="E548" s="307"/>
      <c r="F548" s="307"/>
      <c r="G548" s="305"/>
      <c r="H548" s="305"/>
      <c r="I548" s="307"/>
      <c r="J548" s="305"/>
    </row>
    <row r="549" spans="1:10" ht="15" customHeight="1">
      <c r="A549" s="305"/>
      <c r="B549" s="306"/>
      <c r="C549" s="306"/>
      <c r="D549" s="307"/>
      <c r="E549" s="307"/>
      <c r="F549" s="307"/>
      <c r="G549" s="305"/>
      <c r="H549" s="305"/>
      <c r="I549" s="307"/>
      <c r="J549" s="305"/>
    </row>
    <row r="550" spans="1:10" ht="15" customHeight="1">
      <c r="A550" s="305"/>
      <c r="B550" s="306"/>
      <c r="C550" s="306"/>
      <c r="D550" s="307"/>
      <c r="E550" s="307"/>
      <c r="F550" s="307"/>
      <c r="G550" s="305"/>
      <c r="H550" s="305"/>
      <c r="I550" s="307"/>
      <c r="J550" s="305"/>
    </row>
    <row r="551" spans="1:10" ht="15" customHeight="1">
      <c r="A551" s="305"/>
      <c r="B551" s="306"/>
      <c r="C551" s="306"/>
      <c r="D551" s="307"/>
      <c r="E551" s="307"/>
      <c r="F551" s="307"/>
      <c r="G551" s="305"/>
      <c r="H551" s="305"/>
      <c r="I551" s="307"/>
      <c r="J551" s="305"/>
    </row>
    <row r="552" spans="1:10" ht="15" customHeight="1">
      <c r="A552" s="305"/>
      <c r="B552" s="306"/>
      <c r="C552" s="306"/>
      <c r="D552" s="307"/>
      <c r="E552" s="307"/>
      <c r="F552" s="307"/>
      <c r="G552" s="305"/>
      <c r="H552" s="305"/>
      <c r="I552" s="307"/>
      <c r="J552" s="305"/>
    </row>
    <row r="553" spans="1:10" ht="15" customHeight="1">
      <c r="A553" s="305"/>
      <c r="B553" s="306"/>
      <c r="C553" s="306"/>
      <c r="D553" s="307"/>
      <c r="E553" s="307"/>
      <c r="F553" s="307"/>
      <c r="G553" s="305"/>
      <c r="H553" s="305"/>
      <c r="I553" s="307"/>
      <c r="J553" s="305"/>
    </row>
    <row r="554" spans="1:10" ht="15" customHeight="1">
      <c r="A554" s="305"/>
      <c r="B554" s="306"/>
      <c r="C554" s="306"/>
      <c r="D554" s="307"/>
      <c r="E554" s="307"/>
      <c r="F554" s="307"/>
      <c r="G554" s="305"/>
      <c r="H554" s="305"/>
      <c r="I554" s="307"/>
      <c r="J554" s="305"/>
    </row>
    <row r="555" spans="1:10" ht="15" customHeight="1">
      <c r="A555" s="305"/>
      <c r="B555" s="306"/>
      <c r="C555" s="306"/>
      <c r="D555" s="307"/>
      <c r="E555" s="307"/>
      <c r="F555" s="307"/>
      <c r="G555" s="305"/>
      <c r="H555" s="305"/>
      <c r="I555" s="307"/>
      <c r="J555" s="305"/>
    </row>
    <row r="556" spans="1:10" ht="15" customHeight="1">
      <c r="A556" s="305"/>
      <c r="B556" s="306"/>
      <c r="C556" s="306"/>
      <c r="D556" s="307"/>
      <c r="E556" s="307"/>
      <c r="F556" s="307"/>
      <c r="G556" s="305"/>
      <c r="H556" s="305"/>
      <c r="I556" s="307"/>
      <c r="J556" s="305"/>
    </row>
    <row r="557" spans="1:10" ht="15" customHeight="1">
      <c r="A557" s="305"/>
      <c r="B557" s="306"/>
      <c r="C557" s="306"/>
      <c r="D557" s="307"/>
      <c r="E557" s="307"/>
      <c r="F557" s="307"/>
      <c r="G557" s="305"/>
      <c r="H557" s="305"/>
      <c r="I557" s="307"/>
      <c r="J557" s="305"/>
    </row>
    <row r="558" spans="1:10" ht="15" customHeight="1">
      <c r="A558" s="305"/>
      <c r="B558" s="306"/>
      <c r="C558" s="306"/>
      <c r="D558" s="307"/>
      <c r="E558" s="307"/>
      <c r="F558" s="307"/>
      <c r="G558" s="305"/>
      <c r="H558" s="305"/>
      <c r="I558" s="307"/>
      <c r="J558" s="305"/>
    </row>
    <row r="559" spans="1:10" ht="15" customHeight="1">
      <c r="A559" s="305"/>
      <c r="B559" s="306"/>
      <c r="C559" s="306"/>
      <c r="D559" s="307"/>
      <c r="E559" s="307"/>
      <c r="F559" s="307"/>
      <c r="G559" s="305"/>
      <c r="H559" s="305"/>
      <c r="I559" s="307"/>
      <c r="J559" s="305"/>
    </row>
    <row r="560" spans="1:10" ht="15" customHeight="1">
      <c r="A560" s="305"/>
      <c r="B560" s="306"/>
      <c r="C560" s="306"/>
      <c r="D560" s="307"/>
      <c r="E560" s="307"/>
      <c r="F560" s="307"/>
      <c r="G560" s="305"/>
      <c r="H560" s="305"/>
      <c r="I560" s="307"/>
      <c r="J560" s="305"/>
    </row>
    <row r="561" spans="1:10" ht="15" customHeight="1">
      <c r="A561" s="305"/>
      <c r="B561" s="306"/>
      <c r="C561" s="306"/>
      <c r="D561" s="307"/>
      <c r="E561" s="307"/>
      <c r="F561" s="307"/>
      <c r="G561" s="305"/>
      <c r="H561" s="305"/>
      <c r="I561" s="307"/>
      <c r="J561" s="305"/>
    </row>
    <row r="562" spans="1:10" ht="15" customHeight="1">
      <c r="A562" s="305"/>
      <c r="B562" s="306"/>
      <c r="C562" s="306"/>
      <c r="D562" s="307"/>
      <c r="E562" s="307"/>
      <c r="F562" s="307"/>
      <c r="G562" s="305"/>
      <c r="H562" s="305"/>
      <c r="I562" s="307"/>
      <c r="J562" s="305"/>
    </row>
    <row r="563" spans="1:10" ht="15" customHeight="1">
      <c r="A563" s="305"/>
      <c r="B563" s="306"/>
      <c r="C563" s="306"/>
      <c r="D563" s="307"/>
      <c r="E563" s="307"/>
      <c r="F563" s="307"/>
      <c r="G563" s="305"/>
      <c r="H563" s="305"/>
      <c r="I563" s="307"/>
      <c r="J563" s="305"/>
    </row>
    <row r="564" spans="1:10" ht="11.25">
      <c r="A564" s="305"/>
      <c r="B564" s="306"/>
      <c r="C564" s="306"/>
      <c r="D564" s="307"/>
      <c r="E564" s="307"/>
      <c r="F564" s="307"/>
      <c r="G564" s="305"/>
      <c r="H564" s="305"/>
      <c r="I564" s="307"/>
      <c r="J564" s="305"/>
    </row>
    <row r="565" spans="1:10" ht="11.25">
      <c r="A565" s="305"/>
      <c r="B565" s="306"/>
      <c r="C565" s="306"/>
      <c r="D565" s="307"/>
      <c r="E565" s="307"/>
      <c r="F565" s="307"/>
      <c r="G565" s="305"/>
      <c r="H565" s="305"/>
      <c r="I565" s="307"/>
      <c r="J565" s="305"/>
    </row>
    <row r="566" spans="1:10" ht="11.25">
      <c r="A566" s="305"/>
      <c r="B566" s="306"/>
      <c r="C566" s="306"/>
      <c r="D566" s="307"/>
      <c r="E566" s="307"/>
      <c r="F566" s="307"/>
      <c r="G566" s="305"/>
      <c r="H566" s="305"/>
      <c r="I566" s="307"/>
      <c r="J566" s="305"/>
    </row>
    <row r="567" spans="1:10" ht="11.25">
      <c r="A567" s="305"/>
      <c r="B567" s="306"/>
      <c r="C567" s="306"/>
      <c r="D567" s="307"/>
      <c r="E567" s="307"/>
      <c r="F567" s="307"/>
      <c r="G567" s="305"/>
      <c r="H567" s="305"/>
      <c r="I567" s="307"/>
      <c r="J567" s="305"/>
    </row>
    <row r="568" spans="1:10" ht="11.25">
      <c r="A568" s="305"/>
      <c r="B568" s="306"/>
      <c r="C568" s="306"/>
      <c r="D568" s="307"/>
      <c r="E568" s="307"/>
      <c r="F568" s="307"/>
      <c r="G568" s="305"/>
      <c r="H568" s="305"/>
      <c r="I568" s="307"/>
      <c r="J568" s="305"/>
    </row>
    <row r="569" spans="1:10" ht="11.25">
      <c r="A569" s="305"/>
      <c r="B569" s="306"/>
      <c r="C569" s="306"/>
      <c r="D569" s="307"/>
      <c r="E569" s="307"/>
      <c r="F569" s="307"/>
      <c r="G569" s="305"/>
      <c r="H569" s="305"/>
      <c r="I569" s="307"/>
      <c r="J569" s="305"/>
    </row>
    <row r="570" spans="1:10" ht="11.25">
      <c r="A570" s="305"/>
      <c r="B570" s="306"/>
      <c r="C570" s="306"/>
      <c r="D570" s="307"/>
      <c r="E570" s="307"/>
      <c r="F570" s="307"/>
      <c r="G570" s="305"/>
      <c r="H570" s="305"/>
      <c r="I570" s="307"/>
      <c r="J570" s="305"/>
    </row>
    <row r="571" spans="1:10" ht="11.25">
      <c r="A571" s="305"/>
      <c r="B571" s="306"/>
      <c r="C571" s="306"/>
      <c r="D571" s="307"/>
      <c r="E571" s="307"/>
      <c r="F571" s="307"/>
      <c r="G571" s="305"/>
      <c r="H571" s="305"/>
      <c r="I571" s="307"/>
      <c r="J571" s="305"/>
    </row>
    <row r="572" spans="1:10" ht="11.25">
      <c r="A572" s="305"/>
      <c r="B572" s="306"/>
      <c r="C572" s="306"/>
      <c r="D572" s="307"/>
      <c r="E572" s="307"/>
      <c r="F572" s="307"/>
      <c r="G572" s="305"/>
      <c r="H572" s="305"/>
      <c r="I572" s="307"/>
      <c r="J572" s="305"/>
    </row>
    <row r="573" spans="1:10" ht="11.25">
      <c r="A573" s="305"/>
      <c r="B573" s="306"/>
      <c r="C573" s="306"/>
      <c r="D573" s="307"/>
      <c r="E573" s="307"/>
      <c r="F573" s="307"/>
      <c r="G573" s="305"/>
      <c r="H573" s="305"/>
      <c r="I573" s="307"/>
      <c r="J573" s="305"/>
    </row>
    <row r="574" spans="1:10" ht="11.25">
      <c r="A574" s="305"/>
      <c r="B574" s="306"/>
      <c r="C574" s="306"/>
      <c r="D574" s="307"/>
      <c r="E574" s="307"/>
      <c r="F574" s="307"/>
      <c r="G574" s="305"/>
      <c r="H574" s="305"/>
      <c r="I574" s="307"/>
      <c r="J574" s="305"/>
    </row>
    <row r="575" spans="1:10" ht="11.25">
      <c r="A575" s="305"/>
      <c r="B575" s="306"/>
      <c r="C575" s="306"/>
      <c r="D575" s="307"/>
      <c r="E575" s="307"/>
      <c r="F575" s="307"/>
      <c r="G575" s="305"/>
      <c r="H575" s="305"/>
      <c r="I575" s="307"/>
      <c r="J575" s="305"/>
    </row>
    <row r="576" spans="1:10" ht="11.25">
      <c r="A576" s="305"/>
      <c r="B576" s="306"/>
      <c r="C576" s="306"/>
      <c r="D576" s="307"/>
      <c r="E576" s="307"/>
      <c r="F576" s="307"/>
      <c r="G576" s="305"/>
      <c r="H576" s="305"/>
      <c r="I576" s="307"/>
      <c r="J576" s="305"/>
    </row>
    <row r="577" spans="1:10" ht="11.25">
      <c r="A577" s="305"/>
      <c r="B577" s="306"/>
      <c r="C577" s="306"/>
      <c r="D577" s="307"/>
      <c r="E577" s="307"/>
      <c r="F577" s="307"/>
      <c r="G577" s="305"/>
      <c r="H577" s="305"/>
      <c r="I577" s="307"/>
      <c r="J577" s="305"/>
    </row>
    <row r="578" spans="1:10" ht="11.25">
      <c r="A578" s="305"/>
      <c r="B578" s="306"/>
      <c r="C578" s="306"/>
      <c r="D578" s="307"/>
      <c r="E578" s="307"/>
      <c r="F578" s="307"/>
      <c r="G578" s="305"/>
      <c r="H578" s="305"/>
      <c r="I578" s="307"/>
      <c r="J578" s="305"/>
    </row>
    <row r="579" spans="1:10" ht="11.25">
      <c r="A579" s="305"/>
      <c r="B579" s="306"/>
      <c r="C579" s="306"/>
      <c r="D579" s="307"/>
      <c r="E579" s="307"/>
      <c r="F579" s="307"/>
      <c r="G579" s="305"/>
      <c r="H579" s="305"/>
      <c r="I579" s="307"/>
      <c r="J579" s="305"/>
    </row>
    <row r="580" spans="1:10" ht="11.25">
      <c r="A580" s="305"/>
      <c r="B580" s="306"/>
      <c r="C580" s="306"/>
      <c r="D580" s="307"/>
      <c r="E580" s="307"/>
      <c r="F580" s="307"/>
      <c r="G580" s="305"/>
      <c r="H580" s="305"/>
      <c r="I580" s="307"/>
      <c r="J580" s="305"/>
    </row>
    <row r="581" spans="1:10" ht="11.25">
      <c r="A581" s="305"/>
      <c r="B581" s="306"/>
      <c r="C581" s="306"/>
      <c r="D581" s="307"/>
      <c r="E581" s="307"/>
      <c r="F581" s="307"/>
      <c r="G581" s="305"/>
      <c r="H581" s="305"/>
      <c r="I581" s="307"/>
      <c r="J581" s="305"/>
    </row>
    <row r="582" spans="1:10" ht="11.25">
      <c r="A582" s="305"/>
      <c r="B582" s="306"/>
      <c r="C582" s="306"/>
      <c r="D582" s="307"/>
      <c r="E582" s="307"/>
      <c r="F582" s="307"/>
      <c r="G582" s="305"/>
      <c r="H582" s="305"/>
      <c r="I582" s="307"/>
      <c r="J582" s="305"/>
    </row>
    <row r="583" spans="1:10" ht="11.25">
      <c r="A583" s="305"/>
      <c r="B583" s="306"/>
      <c r="C583" s="306"/>
      <c r="D583" s="307"/>
      <c r="E583" s="307"/>
      <c r="F583" s="307"/>
      <c r="G583" s="305"/>
      <c r="H583" s="305"/>
      <c r="I583" s="307"/>
      <c r="J583" s="305"/>
    </row>
    <row r="584" spans="1:10" ht="11.25">
      <c r="A584" s="305"/>
      <c r="B584" s="306"/>
      <c r="C584" s="306"/>
      <c r="D584" s="307"/>
      <c r="E584" s="307"/>
      <c r="F584" s="307"/>
      <c r="G584" s="305"/>
      <c r="H584" s="305"/>
      <c r="I584" s="307"/>
      <c r="J584" s="305"/>
    </row>
    <row r="585" spans="1:10" ht="11.25">
      <c r="A585" s="305"/>
      <c r="B585" s="306"/>
      <c r="C585" s="306"/>
      <c r="D585" s="307"/>
      <c r="E585" s="307"/>
      <c r="F585" s="307"/>
      <c r="G585" s="305"/>
      <c r="H585" s="305"/>
      <c r="I585" s="307"/>
      <c r="J585" s="305"/>
    </row>
    <row r="586" spans="1:10" ht="11.25">
      <c r="A586" s="305"/>
      <c r="B586" s="306"/>
      <c r="C586" s="306"/>
      <c r="D586" s="307"/>
      <c r="E586" s="307"/>
      <c r="F586" s="307"/>
      <c r="G586" s="305"/>
      <c r="H586" s="305"/>
      <c r="I586" s="307"/>
      <c r="J586" s="305"/>
    </row>
    <row r="587" spans="1:10" ht="11.25">
      <c r="A587" s="305"/>
      <c r="B587" s="306"/>
      <c r="C587" s="306"/>
      <c r="D587" s="307"/>
      <c r="E587" s="307"/>
      <c r="F587" s="307"/>
      <c r="G587" s="305"/>
      <c r="H587" s="305"/>
      <c r="I587" s="307"/>
      <c r="J587" s="305"/>
    </row>
    <row r="588" spans="1:10" ht="11.25">
      <c r="A588" s="305"/>
      <c r="B588" s="306"/>
      <c r="C588" s="306"/>
      <c r="D588" s="307"/>
      <c r="E588" s="307"/>
      <c r="F588" s="307"/>
      <c r="G588" s="305"/>
      <c r="H588" s="305"/>
      <c r="I588" s="307"/>
      <c r="J588" s="305"/>
    </row>
    <row r="589" spans="1:10" ht="11.25">
      <c r="A589" s="305"/>
      <c r="B589" s="306"/>
      <c r="C589" s="306"/>
      <c r="D589" s="307"/>
      <c r="E589" s="307"/>
      <c r="F589" s="307"/>
      <c r="G589" s="305"/>
      <c r="H589" s="305"/>
      <c r="I589" s="307"/>
      <c r="J589" s="305"/>
    </row>
    <row r="590" spans="1:10" ht="11.25">
      <c r="A590" s="305"/>
      <c r="B590" s="306"/>
      <c r="C590" s="306"/>
      <c r="D590" s="307"/>
      <c r="E590" s="307"/>
      <c r="F590" s="307"/>
      <c r="G590" s="305"/>
      <c r="H590" s="305"/>
      <c r="I590" s="307"/>
      <c r="J590" s="305"/>
    </row>
    <row r="591" spans="1:10" ht="11.25">
      <c r="A591" s="305"/>
      <c r="B591" s="306"/>
      <c r="C591" s="306"/>
      <c r="D591" s="307"/>
      <c r="E591" s="307"/>
      <c r="F591" s="307"/>
      <c r="G591" s="305"/>
      <c r="H591" s="305"/>
      <c r="I591" s="307"/>
      <c r="J591" s="305"/>
    </row>
    <row r="592" spans="1:10" ht="11.25">
      <c r="A592" s="305"/>
      <c r="B592" s="306"/>
      <c r="C592" s="306"/>
      <c r="D592" s="307"/>
      <c r="E592" s="307"/>
      <c r="F592" s="307"/>
      <c r="G592" s="305"/>
      <c r="H592" s="305"/>
      <c r="I592" s="307"/>
      <c r="J592" s="305"/>
    </row>
    <row r="593" spans="1:10" ht="11.25">
      <c r="A593" s="305"/>
      <c r="B593" s="306"/>
      <c r="C593" s="306"/>
      <c r="D593" s="307"/>
      <c r="E593" s="307"/>
      <c r="F593" s="307"/>
      <c r="G593" s="305"/>
      <c r="H593" s="305"/>
      <c r="I593" s="307"/>
      <c r="J593" s="305"/>
    </row>
    <row r="594" spans="1:10" ht="11.25">
      <c r="A594" s="305"/>
      <c r="B594" s="306"/>
      <c r="C594" s="306"/>
      <c r="D594" s="307"/>
      <c r="E594" s="307"/>
      <c r="F594" s="307"/>
      <c r="G594" s="305"/>
      <c r="H594" s="305"/>
      <c r="I594" s="307"/>
      <c r="J594" s="305"/>
    </row>
    <row r="595" spans="1:10" ht="11.25">
      <c r="A595" s="305"/>
      <c r="B595" s="306"/>
      <c r="C595" s="306"/>
      <c r="D595" s="307"/>
      <c r="E595" s="307"/>
      <c r="F595" s="307"/>
      <c r="G595" s="305"/>
      <c r="H595" s="305"/>
      <c r="I595" s="307"/>
      <c r="J595" s="305"/>
    </row>
    <row r="596" spans="1:10" ht="11.25">
      <c r="A596" s="305"/>
      <c r="B596" s="306"/>
      <c r="C596" s="306"/>
      <c r="D596" s="307"/>
      <c r="E596" s="307"/>
      <c r="F596" s="307"/>
      <c r="G596" s="305"/>
      <c r="H596" s="305"/>
      <c r="I596" s="307"/>
      <c r="J596" s="305"/>
    </row>
    <row r="597" spans="1:10" ht="11.25">
      <c r="A597" s="305"/>
      <c r="B597" s="306"/>
      <c r="C597" s="306"/>
      <c r="D597" s="307"/>
      <c r="E597" s="307"/>
      <c r="F597" s="307"/>
      <c r="G597" s="305"/>
      <c r="H597" s="305"/>
      <c r="I597" s="307"/>
      <c r="J597" s="305"/>
    </row>
    <row r="598" spans="1:10" ht="11.25">
      <c r="A598" s="305"/>
      <c r="B598" s="306"/>
      <c r="C598" s="306"/>
      <c r="D598" s="307"/>
      <c r="E598" s="307"/>
      <c r="F598" s="307"/>
      <c r="G598" s="305"/>
      <c r="H598" s="305"/>
      <c r="I598" s="307"/>
      <c r="J598" s="305"/>
    </row>
    <row r="599" spans="1:10" ht="11.25">
      <c r="A599" s="305"/>
      <c r="B599" s="306"/>
      <c r="C599" s="306"/>
      <c r="D599" s="307"/>
      <c r="E599" s="307"/>
      <c r="F599" s="307"/>
      <c r="G599" s="305"/>
      <c r="H599" s="305"/>
      <c r="I599" s="307"/>
      <c r="J599" s="305"/>
    </row>
    <row r="600" spans="1:10" ht="11.25">
      <c r="A600" s="305"/>
      <c r="B600" s="306"/>
      <c r="C600" s="306"/>
      <c r="D600" s="307"/>
      <c r="E600" s="307"/>
      <c r="F600" s="307"/>
      <c r="G600" s="305"/>
      <c r="H600" s="305"/>
      <c r="I600" s="307"/>
      <c r="J600" s="305"/>
    </row>
    <row r="601" spans="1:10" ht="11.25">
      <c r="A601" s="305"/>
      <c r="B601" s="306"/>
      <c r="C601" s="306"/>
      <c r="D601" s="307"/>
      <c r="E601" s="307"/>
      <c r="F601" s="307"/>
      <c r="G601" s="305"/>
      <c r="H601" s="305"/>
      <c r="I601" s="307"/>
      <c r="J601" s="305"/>
    </row>
    <row r="602" spans="1:10" ht="11.25">
      <c r="A602" s="305"/>
      <c r="B602" s="306"/>
      <c r="C602" s="306"/>
      <c r="D602" s="307"/>
      <c r="E602" s="307"/>
      <c r="F602" s="307"/>
      <c r="G602" s="305"/>
      <c r="H602" s="305"/>
      <c r="I602" s="307"/>
      <c r="J602" s="305"/>
    </row>
    <row r="603" spans="1:10" ht="11.25">
      <c r="A603" s="305"/>
      <c r="B603" s="306"/>
      <c r="C603" s="306"/>
      <c r="D603" s="307"/>
      <c r="E603" s="307"/>
      <c r="F603" s="307"/>
      <c r="G603" s="305"/>
      <c r="H603" s="305"/>
      <c r="I603" s="307"/>
      <c r="J603" s="305"/>
    </row>
    <row r="604" spans="1:10" ht="11.25">
      <c r="A604" s="305"/>
      <c r="B604" s="306"/>
      <c r="C604" s="306"/>
      <c r="D604" s="307"/>
      <c r="E604" s="307"/>
      <c r="F604" s="307"/>
      <c r="G604" s="305"/>
      <c r="H604" s="305"/>
      <c r="I604" s="307"/>
      <c r="J604" s="305"/>
    </row>
    <row r="605" spans="1:10" ht="11.25">
      <c r="A605" s="305"/>
      <c r="B605" s="306"/>
      <c r="C605" s="306"/>
      <c r="D605" s="307"/>
      <c r="E605" s="307"/>
      <c r="F605" s="307"/>
      <c r="G605" s="305"/>
      <c r="H605" s="305"/>
      <c r="I605" s="307"/>
      <c r="J605" s="305"/>
    </row>
    <row r="606" spans="1:10" ht="11.25">
      <c r="A606" s="305"/>
      <c r="B606" s="306"/>
      <c r="C606" s="306"/>
      <c r="D606" s="307"/>
      <c r="E606" s="307"/>
      <c r="F606" s="307"/>
      <c r="G606" s="305"/>
      <c r="H606" s="305"/>
      <c r="I606" s="307"/>
      <c r="J606" s="305"/>
    </row>
    <row r="607" spans="1:10" ht="11.25">
      <c r="A607" s="305"/>
      <c r="B607" s="306"/>
      <c r="C607" s="306"/>
      <c r="D607" s="307"/>
      <c r="E607" s="307"/>
      <c r="F607" s="307"/>
      <c r="G607" s="305"/>
      <c r="H607" s="305"/>
      <c r="I607" s="307"/>
      <c r="J607" s="305"/>
    </row>
    <row r="608" spans="1:10" ht="11.25">
      <c r="A608" s="305"/>
      <c r="B608" s="306"/>
      <c r="C608" s="306"/>
      <c r="D608" s="307"/>
      <c r="E608" s="307"/>
      <c r="F608" s="307"/>
      <c r="G608" s="305"/>
      <c r="H608" s="305"/>
      <c r="I608" s="307"/>
      <c r="J608" s="305"/>
    </row>
    <row r="609" spans="1:10" ht="11.25">
      <c r="A609" s="305"/>
      <c r="B609" s="306"/>
      <c r="C609" s="306"/>
      <c r="D609" s="307"/>
      <c r="E609" s="307"/>
      <c r="F609" s="307"/>
      <c r="G609" s="305"/>
      <c r="H609" s="305"/>
      <c r="I609" s="307"/>
      <c r="J609" s="305"/>
    </row>
    <row r="610" spans="1:10" ht="11.25">
      <c r="A610" s="305"/>
      <c r="B610" s="306"/>
      <c r="C610" s="306"/>
      <c r="D610" s="307"/>
      <c r="E610" s="307"/>
      <c r="F610" s="307"/>
      <c r="G610" s="305"/>
      <c r="H610" s="305"/>
      <c r="I610" s="307"/>
      <c r="J610" s="305"/>
    </row>
    <row r="611" spans="1:10" ht="11.25">
      <c r="A611" s="305"/>
      <c r="B611" s="306"/>
      <c r="C611" s="306"/>
      <c r="D611" s="307"/>
      <c r="E611" s="307"/>
      <c r="F611" s="307"/>
      <c r="G611" s="305"/>
      <c r="H611" s="305"/>
      <c r="I611" s="307"/>
      <c r="J611" s="305"/>
    </row>
    <row r="612" spans="1:10" ht="11.25">
      <c r="A612" s="305"/>
      <c r="B612" s="306"/>
      <c r="C612" s="306"/>
      <c r="D612" s="307"/>
      <c r="E612" s="307"/>
      <c r="F612" s="307"/>
      <c r="G612" s="305"/>
      <c r="H612" s="305"/>
      <c r="I612" s="307"/>
      <c r="J612" s="305"/>
    </row>
    <row r="613" spans="1:10" ht="11.25">
      <c r="A613" s="305"/>
      <c r="B613" s="306"/>
      <c r="C613" s="306"/>
      <c r="D613" s="307"/>
      <c r="E613" s="307"/>
      <c r="F613" s="307"/>
      <c r="G613" s="305"/>
      <c r="H613" s="305"/>
      <c r="I613" s="307"/>
      <c r="J613" s="305"/>
    </row>
    <row r="614" spans="1:10" ht="11.25">
      <c r="A614" s="305"/>
      <c r="B614" s="306"/>
      <c r="C614" s="306"/>
      <c r="D614" s="307"/>
      <c r="E614" s="307"/>
      <c r="F614" s="307"/>
      <c r="G614" s="305"/>
      <c r="H614" s="305"/>
      <c r="I614" s="307"/>
      <c r="J614" s="305"/>
    </row>
    <row r="615" spans="1:10" ht="11.25">
      <c r="A615" s="305"/>
      <c r="B615" s="306"/>
      <c r="C615" s="306"/>
      <c r="D615" s="307"/>
      <c r="E615" s="307"/>
      <c r="F615" s="307"/>
      <c r="G615" s="305"/>
      <c r="H615" s="305"/>
      <c r="I615" s="307"/>
      <c r="J615" s="305"/>
    </row>
    <row r="616" spans="1:10" ht="11.25">
      <c r="A616" s="305"/>
      <c r="B616" s="306"/>
      <c r="C616" s="306"/>
      <c r="D616" s="307"/>
      <c r="E616" s="307"/>
      <c r="F616" s="307"/>
      <c r="G616" s="305"/>
      <c r="H616" s="305"/>
      <c r="I616" s="307"/>
      <c r="J616" s="305"/>
    </row>
    <row r="617" spans="1:10" ht="11.25">
      <c r="A617" s="305"/>
      <c r="B617" s="306"/>
      <c r="C617" s="306"/>
      <c r="D617" s="307"/>
      <c r="E617" s="307"/>
      <c r="F617" s="307"/>
      <c r="G617" s="305"/>
      <c r="H617" s="305"/>
      <c r="I617" s="307"/>
      <c r="J617" s="305"/>
    </row>
    <row r="618" spans="1:10" ht="11.25">
      <c r="A618" s="305"/>
      <c r="B618" s="306"/>
      <c r="C618" s="306"/>
      <c r="D618" s="307"/>
      <c r="E618" s="307"/>
      <c r="F618" s="307"/>
      <c r="G618" s="305"/>
      <c r="H618" s="305"/>
      <c r="I618" s="307"/>
      <c r="J618" s="305"/>
    </row>
    <row r="619" spans="1:10" ht="11.25">
      <c r="A619" s="305"/>
      <c r="B619" s="306"/>
      <c r="C619" s="306"/>
      <c r="D619" s="307"/>
      <c r="E619" s="307"/>
      <c r="F619" s="307"/>
      <c r="G619" s="305"/>
      <c r="H619" s="305"/>
      <c r="I619" s="307"/>
      <c r="J619" s="305"/>
    </row>
    <row r="620" spans="1:10" ht="11.25">
      <c r="A620" s="305"/>
      <c r="B620" s="306"/>
      <c r="C620" s="306"/>
      <c r="D620" s="307"/>
      <c r="E620" s="307"/>
      <c r="F620" s="307"/>
      <c r="G620" s="305"/>
      <c r="H620" s="305"/>
      <c r="I620" s="307"/>
      <c r="J620" s="305"/>
    </row>
    <row r="621" spans="1:10" ht="11.25">
      <c r="A621" s="305"/>
      <c r="B621" s="306"/>
      <c r="C621" s="306"/>
      <c r="D621" s="307"/>
      <c r="E621" s="307"/>
      <c r="F621" s="307"/>
      <c r="G621" s="305"/>
      <c r="H621" s="305"/>
      <c r="I621" s="307"/>
      <c r="J621" s="305"/>
    </row>
    <row r="622" spans="1:10" ht="11.25">
      <c r="A622" s="305"/>
      <c r="B622" s="306"/>
      <c r="C622" s="306"/>
      <c r="D622" s="307"/>
      <c r="E622" s="307"/>
      <c r="F622" s="307"/>
      <c r="G622" s="305"/>
      <c r="H622" s="305"/>
      <c r="I622" s="307"/>
      <c r="J622" s="305"/>
    </row>
    <row r="623" spans="1:10" ht="11.25">
      <c r="A623" s="305"/>
      <c r="B623" s="306"/>
      <c r="C623" s="306"/>
      <c r="D623" s="307"/>
      <c r="E623" s="307"/>
      <c r="F623" s="307"/>
      <c r="G623" s="305"/>
      <c r="H623" s="305"/>
      <c r="I623" s="307"/>
      <c r="J623" s="305"/>
    </row>
    <row r="624" spans="1:10" ht="11.25">
      <c r="A624" s="305"/>
      <c r="B624" s="306"/>
      <c r="C624" s="306"/>
      <c r="D624" s="307"/>
      <c r="E624" s="307"/>
      <c r="F624" s="307"/>
      <c r="G624" s="305"/>
      <c r="H624" s="305"/>
      <c r="I624" s="307"/>
      <c r="J624" s="305"/>
    </row>
    <row r="625" spans="1:10" ht="11.25">
      <c r="A625" s="305"/>
      <c r="B625" s="306"/>
      <c r="C625" s="306"/>
      <c r="D625" s="307"/>
      <c r="E625" s="307"/>
      <c r="F625" s="307"/>
      <c r="G625" s="305"/>
      <c r="H625" s="305"/>
      <c r="I625" s="307"/>
      <c r="J625" s="305"/>
    </row>
    <row r="626" spans="1:10" ht="11.25">
      <c r="A626" s="305"/>
      <c r="B626" s="306"/>
      <c r="C626" s="306"/>
      <c r="D626" s="307"/>
      <c r="E626" s="307"/>
      <c r="F626" s="307"/>
      <c r="G626" s="305"/>
      <c r="H626" s="305"/>
      <c r="I626" s="307"/>
      <c r="J626" s="305"/>
    </row>
    <row r="627" spans="1:10" ht="11.25">
      <c r="A627" s="305"/>
      <c r="B627" s="306"/>
      <c r="C627" s="306"/>
      <c r="D627" s="307"/>
      <c r="E627" s="307"/>
      <c r="F627" s="307"/>
      <c r="G627" s="305"/>
      <c r="H627" s="305"/>
      <c r="I627" s="307"/>
      <c r="J627" s="305"/>
    </row>
    <row r="628" spans="1:10" ht="11.25">
      <c r="A628" s="305"/>
      <c r="B628" s="306"/>
      <c r="C628" s="306"/>
      <c r="D628" s="307"/>
      <c r="E628" s="307"/>
      <c r="F628" s="307"/>
      <c r="G628" s="305"/>
      <c r="H628" s="305"/>
      <c r="I628" s="307"/>
      <c r="J628" s="305"/>
    </row>
    <row r="629" spans="1:10" ht="11.25">
      <c r="A629" s="305"/>
      <c r="B629" s="306"/>
      <c r="C629" s="306"/>
      <c r="D629" s="307"/>
      <c r="E629" s="307"/>
      <c r="F629" s="307"/>
      <c r="G629" s="305"/>
      <c r="H629" s="305"/>
      <c r="I629" s="307"/>
      <c r="J629" s="305"/>
    </row>
    <row r="630" spans="1:10" ht="11.25">
      <c r="A630" s="305"/>
      <c r="B630" s="306"/>
      <c r="C630" s="306"/>
      <c r="D630" s="307"/>
      <c r="E630" s="307"/>
      <c r="F630" s="307"/>
      <c r="G630" s="305"/>
      <c r="H630" s="305"/>
      <c r="I630" s="307"/>
      <c r="J630" s="305"/>
    </row>
    <row r="631" spans="1:10" ht="11.25">
      <c r="A631" s="305"/>
      <c r="B631" s="306"/>
      <c r="C631" s="306"/>
      <c r="D631" s="307"/>
      <c r="E631" s="307"/>
      <c r="F631" s="307"/>
      <c r="G631" s="305"/>
      <c r="H631" s="305"/>
      <c r="I631" s="307"/>
      <c r="J631" s="305"/>
    </row>
    <row r="632" spans="1:10" ht="11.25">
      <c r="A632" s="305"/>
      <c r="B632" s="306"/>
      <c r="C632" s="306"/>
      <c r="D632" s="307"/>
      <c r="E632" s="307"/>
      <c r="F632" s="307"/>
      <c r="G632" s="305"/>
      <c r="H632" s="305"/>
      <c r="I632" s="307"/>
      <c r="J632" s="305"/>
    </row>
    <row r="633" spans="1:10" ht="11.25">
      <c r="A633" s="305"/>
      <c r="B633" s="306"/>
      <c r="C633" s="306"/>
      <c r="D633" s="307"/>
      <c r="E633" s="307"/>
      <c r="F633" s="307"/>
      <c r="G633" s="305"/>
      <c r="H633" s="305"/>
      <c r="I633" s="307"/>
      <c r="J633" s="305"/>
    </row>
    <row r="634" spans="1:10" ht="11.25">
      <c r="A634" s="305"/>
      <c r="B634" s="306"/>
      <c r="C634" s="306"/>
      <c r="D634" s="307"/>
      <c r="E634" s="307"/>
      <c r="F634" s="307"/>
      <c r="G634" s="305"/>
      <c r="H634" s="305"/>
      <c r="I634" s="307"/>
      <c r="J634" s="305"/>
    </row>
    <row r="635" spans="1:10" ht="11.25">
      <c r="A635" s="305"/>
      <c r="B635" s="306"/>
      <c r="C635" s="306"/>
      <c r="D635" s="307"/>
      <c r="E635" s="307"/>
      <c r="F635" s="307"/>
      <c r="G635" s="305"/>
      <c r="H635" s="305"/>
      <c r="I635" s="307"/>
      <c r="J635" s="305"/>
    </row>
    <row r="636" spans="1:10" ht="11.25">
      <c r="A636" s="305"/>
      <c r="B636" s="306"/>
      <c r="C636" s="306"/>
      <c r="D636" s="307"/>
      <c r="E636" s="307"/>
      <c r="F636" s="307"/>
      <c r="G636" s="305"/>
      <c r="H636" s="305"/>
      <c r="I636" s="307"/>
      <c r="J636" s="305"/>
    </row>
    <row r="637" spans="1:10" ht="11.25">
      <c r="A637" s="305"/>
      <c r="B637" s="306"/>
      <c r="C637" s="306"/>
      <c r="D637" s="307"/>
      <c r="E637" s="307"/>
      <c r="F637" s="307"/>
      <c r="G637" s="305"/>
      <c r="H637" s="305"/>
      <c r="I637" s="307"/>
      <c r="J637" s="305"/>
    </row>
    <row r="638" spans="1:10" ht="11.25">
      <c r="A638" s="305"/>
      <c r="B638" s="306"/>
      <c r="C638" s="306"/>
      <c r="D638" s="307"/>
      <c r="E638" s="307"/>
      <c r="F638" s="307"/>
      <c r="G638" s="305"/>
      <c r="H638" s="305"/>
      <c r="I638" s="307"/>
      <c r="J638" s="305"/>
    </row>
    <row r="639" spans="1:10" ht="11.25">
      <c r="A639" s="305"/>
      <c r="B639" s="306"/>
      <c r="C639" s="306"/>
      <c r="D639" s="307"/>
      <c r="E639" s="307"/>
      <c r="F639" s="307"/>
      <c r="G639" s="305"/>
      <c r="H639" s="305"/>
      <c r="I639" s="307"/>
      <c r="J639" s="305"/>
    </row>
    <row r="640" spans="1:10" ht="11.25">
      <c r="A640" s="305"/>
      <c r="B640" s="306"/>
      <c r="C640" s="306"/>
      <c r="D640" s="307"/>
      <c r="E640" s="307"/>
      <c r="F640" s="307"/>
      <c r="G640" s="305"/>
      <c r="H640" s="305"/>
      <c r="I640" s="307"/>
      <c r="J640" s="305"/>
    </row>
    <row r="641" spans="1:10" ht="11.25">
      <c r="A641" s="305"/>
      <c r="B641" s="306"/>
      <c r="C641" s="306"/>
      <c r="D641" s="307"/>
      <c r="E641" s="307"/>
      <c r="F641" s="307"/>
      <c r="G641" s="305"/>
      <c r="H641" s="305"/>
      <c r="I641" s="307"/>
      <c r="J641" s="305"/>
    </row>
    <row r="642" spans="1:10" ht="11.25">
      <c r="A642" s="305"/>
      <c r="B642" s="306"/>
      <c r="C642" s="306"/>
      <c r="D642" s="307"/>
      <c r="E642" s="307"/>
      <c r="F642" s="307"/>
      <c r="G642" s="305"/>
      <c r="H642" s="305"/>
      <c r="I642" s="307"/>
      <c r="J642" s="305"/>
    </row>
    <row r="643" spans="1:10" ht="11.25">
      <c r="A643" s="305"/>
      <c r="B643" s="306"/>
      <c r="C643" s="306"/>
      <c r="D643" s="307"/>
      <c r="E643" s="307"/>
      <c r="F643" s="307"/>
      <c r="G643" s="305"/>
      <c r="H643" s="305"/>
      <c r="I643" s="307"/>
      <c r="J643" s="305"/>
    </row>
    <row r="644" spans="1:10" ht="11.25">
      <c r="A644" s="305"/>
      <c r="B644" s="306"/>
      <c r="C644" s="306"/>
      <c r="D644" s="307"/>
      <c r="E644" s="307"/>
      <c r="F644" s="307"/>
      <c r="G644" s="305"/>
      <c r="H644" s="305"/>
      <c r="I644" s="307"/>
      <c r="J644" s="305"/>
    </row>
    <row r="645" spans="1:10" ht="11.25">
      <c r="A645" s="305"/>
      <c r="B645" s="306"/>
      <c r="C645" s="306"/>
      <c r="D645" s="307"/>
      <c r="E645" s="307"/>
      <c r="F645" s="307"/>
      <c r="G645" s="305"/>
      <c r="H645" s="305"/>
      <c r="I645" s="307"/>
      <c r="J645" s="305"/>
    </row>
    <row r="646" spans="1:10" ht="11.25">
      <c r="A646" s="305"/>
      <c r="B646" s="306"/>
      <c r="C646" s="306"/>
      <c r="D646" s="307"/>
      <c r="E646" s="307"/>
      <c r="F646" s="307"/>
      <c r="G646" s="305"/>
      <c r="H646" s="305"/>
      <c r="I646" s="307"/>
      <c r="J646" s="305"/>
    </row>
    <row r="647" spans="1:10" ht="11.25">
      <c r="A647" s="305"/>
      <c r="B647" s="306"/>
      <c r="C647" s="306"/>
      <c r="D647" s="307"/>
      <c r="E647" s="307"/>
      <c r="F647" s="307"/>
      <c r="G647" s="305"/>
      <c r="H647" s="305"/>
      <c r="I647" s="307"/>
      <c r="J647" s="305"/>
    </row>
    <row r="648" spans="1:10" ht="11.25">
      <c r="A648" s="305"/>
      <c r="B648" s="306"/>
      <c r="C648" s="306"/>
      <c r="D648" s="307"/>
      <c r="E648" s="307"/>
      <c r="F648" s="307"/>
      <c r="G648" s="305"/>
      <c r="H648" s="305"/>
      <c r="I648" s="307"/>
      <c r="J648" s="305"/>
    </row>
    <row r="649" spans="1:10" ht="11.25">
      <c r="A649" s="305"/>
      <c r="B649" s="306"/>
      <c r="C649" s="306"/>
      <c r="D649" s="307"/>
      <c r="E649" s="307"/>
      <c r="F649" s="307"/>
      <c r="G649" s="305"/>
      <c r="H649" s="305"/>
      <c r="I649" s="307"/>
      <c r="J649" s="305"/>
    </row>
    <row r="650" spans="1:10" ht="11.25">
      <c r="A650" s="305"/>
      <c r="B650" s="306"/>
      <c r="C650" s="306"/>
      <c r="D650" s="307"/>
      <c r="E650" s="307"/>
      <c r="F650" s="307"/>
      <c r="G650" s="305"/>
      <c r="H650" s="305"/>
      <c r="I650" s="307"/>
      <c r="J650" s="305"/>
    </row>
    <row r="651" spans="1:10" ht="11.25">
      <c r="A651" s="305"/>
      <c r="B651" s="306"/>
      <c r="C651" s="306"/>
      <c r="D651" s="307"/>
      <c r="E651" s="307"/>
      <c r="F651" s="307"/>
      <c r="G651" s="305"/>
      <c r="H651" s="305"/>
      <c r="I651" s="307"/>
      <c r="J651" s="305"/>
    </row>
    <row r="652" spans="1:10" ht="11.25">
      <c r="A652" s="305"/>
      <c r="B652" s="306"/>
      <c r="C652" s="306"/>
      <c r="D652" s="307"/>
      <c r="E652" s="307"/>
      <c r="F652" s="307"/>
      <c r="G652" s="305"/>
      <c r="H652" s="305"/>
      <c r="I652" s="307"/>
      <c r="J652" s="305"/>
    </row>
    <row r="653" spans="1:10" ht="11.25">
      <c r="A653" s="305"/>
      <c r="B653" s="306"/>
      <c r="C653" s="306"/>
      <c r="D653" s="307"/>
      <c r="E653" s="307"/>
      <c r="F653" s="307"/>
      <c r="G653" s="305"/>
      <c r="H653" s="305"/>
      <c r="I653" s="307"/>
      <c r="J653" s="305"/>
    </row>
    <row r="654" spans="1:10" ht="11.25">
      <c r="A654" s="305"/>
      <c r="B654" s="306"/>
      <c r="C654" s="306"/>
      <c r="D654" s="307"/>
      <c r="E654" s="307"/>
      <c r="F654" s="307"/>
      <c r="G654" s="305"/>
      <c r="H654" s="305"/>
      <c r="I654" s="307"/>
      <c r="J654" s="305"/>
    </row>
    <row r="655" spans="1:10" ht="11.25">
      <c r="A655" s="305"/>
      <c r="B655" s="306"/>
      <c r="C655" s="306"/>
      <c r="D655" s="307"/>
      <c r="E655" s="307"/>
      <c r="F655" s="307"/>
      <c r="G655" s="305"/>
      <c r="H655" s="305"/>
      <c r="I655" s="307"/>
      <c r="J655" s="305"/>
    </row>
    <row r="656" spans="1:10" ht="11.25">
      <c r="A656" s="305"/>
      <c r="B656" s="306"/>
      <c r="C656" s="306"/>
      <c r="D656" s="307"/>
      <c r="E656" s="307"/>
      <c r="F656" s="307"/>
      <c r="G656" s="305"/>
      <c r="H656" s="305"/>
      <c r="I656" s="307"/>
      <c r="J656" s="305"/>
    </row>
    <row r="657" spans="1:10" ht="11.25">
      <c r="A657" s="305"/>
      <c r="B657" s="306"/>
      <c r="C657" s="306"/>
      <c r="D657" s="307"/>
      <c r="E657" s="307"/>
      <c r="F657" s="307"/>
      <c r="G657" s="305"/>
      <c r="H657" s="305"/>
      <c r="I657" s="307"/>
      <c r="J657" s="305"/>
    </row>
    <row r="658" spans="1:10" ht="11.25">
      <c r="A658" s="305"/>
      <c r="B658" s="306"/>
      <c r="C658" s="306"/>
      <c r="D658" s="307"/>
      <c r="E658" s="307"/>
      <c r="F658" s="307"/>
      <c r="G658" s="305"/>
      <c r="H658" s="305"/>
      <c r="I658" s="307"/>
      <c r="J658" s="305"/>
    </row>
    <row r="659" spans="1:10" ht="11.25">
      <c r="A659" s="305"/>
      <c r="B659" s="306"/>
      <c r="C659" s="306"/>
      <c r="D659" s="307"/>
      <c r="E659" s="307"/>
      <c r="F659" s="307"/>
      <c r="G659" s="305"/>
      <c r="H659" s="305"/>
      <c r="I659" s="307"/>
      <c r="J659" s="305"/>
    </row>
    <row r="660" spans="1:10" ht="11.25">
      <c r="A660" s="305"/>
      <c r="B660" s="306"/>
      <c r="C660" s="306"/>
      <c r="D660" s="307"/>
      <c r="E660" s="307"/>
      <c r="F660" s="307"/>
      <c r="G660" s="305"/>
      <c r="H660" s="305"/>
      <c r="I660" s="307"/>
      <c r="J660" s="305"/>
    </row>
    <row r="661" spans="1:10" ht="11.25">
      <c r="A661" s="305"/>
      <c r="B661" s="306"/>
      <c r="C661" s="306"/>
      <c r="D661" s="307"/>
      <c r="E661" s="307"/>
      <c r="F661" s="307"/>
      <c r="G661" s="305"/>
      <c r="H661" s="305"/>
      <c r="I661" s="307"/>
      <c r="J661" s="305"/>
    </row>
    <row r="662" spans="1:10" ht="11.25">
      <c r="A662" s="305"/>
      <c r="B662" s="306"/>
      <c r="C662" s="306"/>
      <c r="D662" s="307"/>
      <c r="E662" s="307"/>
      <c r="F662" s="307"/>
      <c r="G662" s="305"/>
      <c r="H662" s="305"/>
      <c r="I662" s="307"/>
      <c r="J662" s="305"/>
    </row>
    <row r="663" spans="1:10" ht="11.25">
      <c r="A663" s="305"/>
      <c r="B663" s="306"/>
      <c r="C663" s="306"/>
      <c r="D663" s="307"/>
      <c r="E663" s="307"/>
      <c r="F663" s="307"/>
      <c r="G663" s="305"/>
      <c r="H663" s="305"/>
      <c r="I663" s="307"/>
      <c r="J663" s="305"/>
    </row>
    <row r="664" spans="1:10" ht="11.25">
      <c r="A664" s="305"/>
      <c r="B664" s="306"/>
      <c r="C664" s="306"/>
      <c r="D664" s="307"/>
      <c r="E664" s="307"/>
      <c r="F664" s="307"/>
      <c r="G664" s="305"/>
      <c r="H664" s="305"/>
      <c r="I664" s="307"/>
      <c r="J664" s="305"/>
    </row>
    <row r="665" spans="1:10" ht="11.25">
      <c r="A665" s="305"/>
      <c r="B665" s="306"/>
      <c r="C665" s="306"/>
      <c r="D665" s="307"/>
      <c r="E665" s="307"/>
      <c r="F665" s="307"/>
      <c r="G665" s="305"/>
      <c r="H665" s="305"/>
      <c r="I665" s="307"/>
      <c r="J665" s="305"/>
    </row>
    <row r="666" spans="1:10" ht="11.25">
      <c r="A666" s="305"/>
      <c r="B666" s="306"/>
      <c r="C666" s="306"/>
      <c r="D666" s="307"/>
      <c r="E666" s="307"/>
      <c r="F666" s="307"/>
      <c r="G666" s="305"/>
      <c r="H666" s="305"/>
      <c r="I666" s="307"/>
      <c r="J666" s="305"/>
    </row>
    <row r="667" spans="1:10" ht="11.25">
      <c r="A667" s="305"/>
      <c r="B667" s="306"/>
      <c r="C667" s="306"/>
      <c r="D667" s="307"/>
      <c r="E667" s="307"/>
      <c r="F667" s="307"/>
      <c r="G667" s="305"/>
      <c r="H667" s="305"/>
      <c r="I667" s="307"/>
      <c r="J667" s="305"/>
    </row>
    <row r="668" spans="1:10" ht="11.25">
      <c r="A668" s="305"/>
      <c r="B668" s="306"/>
      <c r="C668" s="306"/>
      <c r="D668" s="307"/>
      <c r="E668" s="307"/>
      <c r="F668" s="307"/>
      <c r="G668" s="305"/>
      <c r="H668" s="305"/>
      <c r="I668" s="307"/>
      <c r="J668" s="305"/>
    </row>
    <row r="669" spans="1:10" ht="11.25">
      <c r="A669" s="305"/>
      <c r="B669" s="306"/>
      <c r="C669" s="306"/>
      <c r="D669" s="307"/>
      <c r="E669" s="307"/>
      <c r="F669" s="307"/>
      <c r="G669" s="305"/>
      <c r="H669" s="305"/>
      <c r="I669" s="307"/>
      <c r="J669" s="305"/>
    </row>
    <row r="670" spans="1:10" ht="11.25">
      <c r="A670" s="305"/>
      <c r="B670" s="306"/>
      <c r="C670" s="306"/>
      <c r="D670" s="307"/>
      <c r="E670" s="307"/>
      <c r="F670" s="307"/>
      <c r="G670" s="305"/>
      <c r="H670" s="305"/>
      <c r="I670" s="307"/>
      <c r="J670" s="305"/>
    </row>
    <row r="671" spans="1:10" ht="11.25">
      <c r="A671" s="305"/>
      <c r="B671" s="306"/>
      <c r="C671" s="306"/>
      <c r="D671" s="307"/>
      <c r="E671" s="307"/>
      <c r="F671" s="307"/>
      <c r="G671" s="305"/>
      <c r="H671" s="305"/>
      <c r="I671" s="307"/>
      <c r="J671" s="305"/>
    </row>
    <row r="672" spans="1:10" ht="11.25">
      <c r="A672" s="305"/>
      <c r="B672" s="306"/>
      <c r="C672" s="306"/>
      <c r="D672" s="307"/>
      <c r="E672" s="307"/>
      <c r="F672" s="307"/>
      <c r="G672" s="305"/>
      <c r="H672" s="305"/>
      <c r="I672" s="307"/>
      <c r="J672" s="305"/>
    </row>
    <row r="673" spans="1:10" ht="11.25">
      <c r="A673" s="305"/>
      <c r="B673" s="306"/>
      <c r="C673" s="306"/>
      <c r="D673" s="307"/>
      <c r="E673" s="307"/>
      <c r="F673" s="307"/>
      <c r="G673" s="305"/>
      <c r="H673" s="305"/>
      <c r="I673" s="307"/>
      <c r="J673" s="305"/>
    </row>
    <row r="674" spans="1:10" ht="11.25">
      <c r="A674" s="305"/>
      <c r="B674" s="306"/>
      <c r="C674" s="306"/>
      <c r="D674" s="307"/>
      <c r="E674" s="307"/>
      <c r="F674" s="307"/>
      <c r="G674" s="305"/>
      <c r="H674" s="305"/>
      <c r="I674" s="307"/>
      <c r="J674" s="305"/>
    </row>
    <row r="675" spans="1:10" ht="11.25">
      <c r="A675" s="305"/>
      <c r="B675" s="306"/>
      <c r="C675" s="306"/>
      <c r="D675" s="307"/>
      <c r="E675" s="307"/>
      <c r="F675" s="307"/>
      <c r="G675" s="305"/>
      <c r="H675" s="305"/>
      <c r="I675" s="307"/>
      <c r="J675" s="305"/>
    </row>
    <row r="676" spans="1:10" ht="11.25">
      <c r="A676" s="305"/>
      <c r="B676" s="306"/>
      <c r="C676" s="306"/>
      <c r="D676" s="307"/>
      <c r="E676" s="307"/>
      <c r="F676" s="307"/>
      <c r="G676" s="305"/>
      <c r="H676" s="305"/>
      <c r="I676" s="307"/>
      <c r="J676" s="305"/>
    </row>
    <row r="677" spans="1:10" ht="11.25">
      <c r="A677" s="305"/>
      <c r="B677" s="306"/>
      <c r="C677" s="306"/>
      <c r="D677" s="307"/>
      <c r="E677" s="307"/>
      <c r="F677" s="307"/>
      <c r="G677" s="305"/>
      <c r="H677" s="305"/>
      <c r="I677" s="307"/>
      <c r="J677" s="305"/>
    </row>
    <row r="678" spans="1:10" ht="11.25">
      <c r="A678" s="305"/>
      <c r="B678" s="306"/>
      <c r="C678" s="306"/>
      <c r="D678" s="307"/>
      <c r="E678" s="307"/>
      <c r="F678" s="307"/>
      <c r="G678" s="305"/>
      <c r="H678" s="305"/>
      <c r="I678" s="307"/>
      <c r="J678" s="305"/>
    </row>
    <row r="679" spans="1:10" ht="11.25">
      <c r="A679" s="305"/>
      <c r="B679" s="306"/>
      <c r="C679" s="306"/>
      <c r="D679" s="307"/>
      <c r="E679" s="307"/>
      <c r="F679" s="307"/>
      <c r="G679" s="305"/>
      <c r="H679" s="305"/>
      <c r="I679" s="307"/>
      <c r="J679" s="305"/>
    </row>
    <row r="680" spans="1:10" ht="11.25">
      <c r="A680" s="305"/>
      <c r="B680" s="306"/>
      <c r="C680" s="306"/>
      <c r="D680" s="307"/>
      <c r="E680" s="307"/>
      <c r="F680" s="307"/>
      <c r="G680" s="305"/>
      <c r="H680" s="305"/>
      <c r="I680" s="307"/>
      <c r="J680" s="305"/>
    </row>
    <row r="681" spans="1:10" ht="11.25">
      <c r="A681" s="305"/>
      <c r="B681" s="306"/>
      <c r="C681" s="306"/>
      <c r="D681" s="307"/>
      <c r="E681" s="307"/>
      <c r="F681" s="307"/>
      <c r="G681" s="305"/>
      <c r="H681" s="305"/>
      <c r="I681" s="307"/>
      <c r="J681" s="305"/>
    </row>
    <row r="682" spans="1:10" ht="11.25">
      <c r="A682" s="305"/>
      <c r="B682" s="306"/>
      <c r="C682" s="306"/>
      <c r="D682" s="307"/>
      <c r="E682" s="307"/>
      <c r="F682" s="307"/>
      <c r="G682" s="305"/>
      <c r="H682" s="305"/>
      <c r="I682" s="307"/>
      <c r="J682" s="305"/>
    </row>
    <row r="683" spans="1:10" ht="11.25">
      <c r="A683" s="305"/>
      <c r="B683" s="306"/>
      <c r="C683" s="306"/>
      <c r="D683" s="307"/>
      <c r="E683" s="307"/>
      <c r="F683" s="307"/>
      <c r="G683" s="305"/>
      <c r="H683" s="305"/>
      <c r="I683" s="307"/>
      <c r="J683" s="305"/>
    </row>
    <row r="684" spans="1:10" ht="11.25">
      <c r="A684" s="305"/>
      <c r="B684" s="306"/>
      <c r="C684" s="306"/>
      <c r="D684" s="307"/>
      <c r="E684" s="307"/>
      <c r="F684" s="307"/>
      <c r="G684" s="305"/>
      <c r="H684" s="305"/>
      <c r="I684" s="307"/>
      <c r="J684" s="305"/>
    </row>
    <row r="685" spans="1:10" ht="11.25">
      <c r="A685" s="305"/>
      <c r="B685" s="306"/>
      <c r="C685" s="306"/>
      <c r="D685" s="307"/>
      <c r="E685" s="307"/>
      <c r="F685" s="307"/>
      <c r="G685" s="305"/>
      <c r="H685" s="305"/>
      <c r="I685" s="307"/>
      <c r="J685" s="305"/>
    </row>
    <row r="686" spans="1:10" ht="11.25">
      <c r="A686" s="305"/>
      <c r="B686" s="306"/>
      <c r="C686" s="306"/>
      <c r="D686" s="307"/>
      <c r="E686" s="307"/>
      <c r="F686" s="307"/>
      <c r="G686" s="305"/>
      <c r="H686" s="305"/>
      <c r="I686" s="307"/>
      <c r="J686" s="305"/>
    </row>
    <row r="687" spans="1:10" ht="11.25">
      <c r="A687" s="305"/>
      <c r="B687" s="306"/>
      <c r="C687" s="306"/>
      <c r="D687" s="307"/>
      <c r="E687" s="307"/>
      <c r="F687" s="307"/>
      <c r="G687" s="305"/>
      <c r="H687" s="305"/>
      <c r="I687" s="307"/>
      <c r="J687" s="305"/>
    </row>
    <row r="688" spans="1:10" ht="11.25">
      <c r="A688" s="305"/>
      <c r="B688" s="306"/>
      <c r="C688" s="306"/>
      <c r="D688" s="307"/>
      <c r="E688" s="307"/>
      <c r="F688" s="307"/>
      <c r="G688" s="305"/>
      <c r="H688" s="305"/>
      <c r="I688" s="307"/>
      <c r="J688" s="305"/>
    </row>
    <row r="689" spans="1:10" ht="11.25">
      <c r="A689" s="305"/>
      <c r="B689" s="306"/>
      <c r="C689" s="306"/>
      <c r="D689" s="307"/>
      <c r="E689" s="307"/>
      <c r="F689" s="307"/>
      <c r="G689" s="305"/>
      <c r="H689" s="305"/>
      <c r="I689" s="307"/>
      <c r="J689" s="305"/>
    </row>
    <row r="690" spans="1:10" ht="11.25">
      <c r="A690" s="305"/>
      <c r="B690" s="306"/>
      <c r="C690" s="306"/>
      <c r="D690" s="307"/>
      <c r="E690" s="307"/>
      <c r="F690" s="307"/>
      <c r="G690" s="305"/>
      <c r="H690" s="305"/>
      <c r="I690" s="307"/>
      <c r="J690" s="305"/>
    </row>
    <row r="691" spans="1:10" ht="11.25">
      <c r="A691" s="305"/>
      <c r="B691" s="306"/>
      <c r="C691" s="306"/>
      <c r="D691" s="307"/>
      <c r="E691" s="307"/>
      <c r="F691" s="307"/>
      <c r="G691" s="305"/>
      <c r="H691" s="305"/>
      <c r="I691" s="307"/>
      <c r="J691" s="305"/>
    </row>
    <row r="692" spans="1:10" ht="11.25">
      <c r="A692" s="305"/>
      <c r="B692" s="306"/>
      <c r="C692" s="306"/>
      <c r="D692" s="307"/>
      <c r="E692" s="307"/>
      <c r="F692" s="307"/>
      <c r="G692" s="305"/>
      <c r="H692" s="305"/>
      <c r="I692" s="307"/>
      <c r="J692" s="305"/>
    </row>
    <row r="693" spans="1:10" ht="11.25">
      <c r="A693" s="305"/>
      <c r="B693" s="306"/>
      <c r="C693" s="306"/>
      <c r="D693" s="307"/>
      <c r="E693" s="307"/>
      <c r="F693" s="307"/>
      <c r="G693" s="305"/>
      <c r="H693" s="305"/>
      <c r="I693" s="307"/>
      <c r="J693" s="305"/>
    </row>
    <row r="694" spans="1:10" ht="11.25">
      <c r="A694" s="305"/>
      <c r="B694" s="306"/>
      <c r="C694" s="306"/>
      <c r="D694" s="307"/>
      <c r="E694" s="307"/>
      <c r="F694" s="307"/>
      <c r="G694" s="305"/>
      <c r="H694" s="305"/>
      <c r="I694" s="307"/>
      <c r="J694" s="305"/>
    </row>
    <row r="695" spans="1:10" ht="11.25">
      <c r="A695" s="305"/>
      <c r="B695" s="306"/>
      <c r="C695" s="306"/>
      <c r="D695" s="307"/>
      <c r="E695" s="307"/>
      <c r="F695" s="307"/>
      <c r="G695" s="305"/>
      <c r="H695" s="305"/>
      <c r="I695" s="307"/>
      <c r="J695" s="305"/>
    </row>
    <row r="696" spans="1:10" ht="11.25">
      <c r="A696" s="305"/>
      <c r="B696" s="306"/>
      <c r="C696" s="306"/>
      <c r="D696" s="307"/>
      <c r="E696" s="307"/>
      <c r="F696" s="307"/>
      <c r="G696" s="305"/>
      <c r="H696" s="305"/>
      <c r="I696" s="307"/>
      <c r="J696" s="305"/>
    </row>
    <row r="697" spans="1:10" ht="11.25">
      <c r="A697" s="305"/>
      <c r="B697" s="306"/>
      <c r="C697" s="306"/>
      <c r="D697" s="307"/>
      <c r="E697" s="307"/>
      <c r="F697" s="307"/>
      <c r="G697" s="305"/>
      <c r="H697" s="305"/>
      <c r="I697" s="307"/>
      <c r="J697" s="305"/>
    </row>
    <row r="698" spans="1:10" ht="11.25">
      <c r="A698" s="305"/>
      <c r="B698" s="306"/>
      <c r="C698" s="306"/>
      <c r="D698" s="307"/>
      <c r="E698" s="307"/>
      <c r="F698" s="307"/>
      <c r="G698" s="305"/>
      <c r="H698" s="305"/>
      <c r="I698" s="307"/>
      <c r="J698" s="305"/>
    </row>
    <row r="699" spans="1:10" ht="11.25">
      <c r="A699" s="305"/>
      <c r="B699" s="306"/>
      <c r="C699" s="306"/>
      <c r="D699" s="307"/>
      <c r="E699" s="307"/>
      <c r="F699" s="307"/>
      <c r="G699" s="305"/>
      <c r="H699" s="305"/>
      <c r="I699" s="307"/>
      <c r="J699" s="305"/>
    </row>
    <row r="700" spans="1:10" ht="11.25">
      <c r="A700" s="305"/>
      <c r="B700" s="306"/>
      <c r="C700" s="306"/>
      <c r="D700" s="307"/>
      <c r="E700" s="307"/>
      <c r="F700" s="307"/>
      <c r="G700" s="305"/>
      <c r="H700" s="305"/>
      <c r="I700" s="307"/>
      <c r="J700" s="305"/>
    </row>
    <row r="701" spans="1:10" ht="11.25">
      <c r="A701" s="305"/>
      <c r="B701" s="306"/>
      <c r="C701" s="306"/>
      <c r="D701" s="307"/>
      <c r="E701" s="307"/>
      <c r="F701" s="307"/>
      <c r="G701" s="305"/>
      <c r="H701" s="305"/>
      <c r="I701" s="307"/>
      <c r="J701" s="305"/>
    </row>
    <row r="702" spans="1:10" ht="11.25">
      <c r="A702" s="305"/>
      <c r="B702" s="306"/>
      <c r="C702" s="306"/>
      <c r="D702" s="307"/>
      <c r="E702" s="307"/>
      <c r="F702" s="307"/>
      <c r="G702" s="305"/>
      <c r="H702" s="305"/>
      <c r="I702" s="307"/>
      <c r="J702" s="305"/>
    </row>
    <row r="703" spans="1:10" ht="11.25">
      <c r="A703" s="305"/>
      <c r="B703" s="306"/>
      <c r="C703" s="306"/>
      <c r="D703" s="307"/>
      <c r="E703" s="307"/>
      <c r="F703" s="307"/>
      <c r="G703" s="305"/>
      <c r="H703" s="305"/>
      <c r="I703" s="307"/>
      <c r="J703" s="305"/>
    </row>
    <row r="704" spans="1:10" ht="11.25">
      <c r="A704" s="305"/>
      <c r="B704" s="306"/>
      <c r="C704" s="306"/>
      <c r="D704" s="307"/>
      <c r="E704" s="307"/>
      <c r="F704" s="307"/>
      <c r="G704" s="305"/>
      <c r="H704" s="305"/>
      <c r="I704" s="307"/>
      <c r="J704" s="305"/>
    </row>
    <row r="705" spans="1:10" ht="11.25">
      <c r="A705" s="305"/>
      <c r="B705" s="306"/>
      <c r="C705" s="306"/>
      <c r="D705" s="307"/>
      <c r="E705" s="307"/>
      <c r="F705" s="307"/>
      <c r="G705" s="305"/>
      <c r="H705" s="305"/>
      <c r="I705" s="307"/>
      <c r="J705" s="305"/>
    </row>
    <row r="706" spans="1:10" ht="11.25">
      <c r="A706" s="305"/>
      <c r="B706" s="306"/>
      <c r="C706" s="306"/>
      <c r="D706" s="307"/>
      <c r="E706" s="307"/>
      <c r="F706" s="307"/>
      <c r="G706" s="305"/>
      <c r="H706" s="305"/>
      <c r="I706" s="307"/>
      <c r="J706" s="305"/>
    </row>
    <row r="707" spans="1:10" ht="11.25">
      <c r="A707" s="305"/>
      <c r="B707" s="306"/>
      <c r="C707" s="306"/>
      <c r="D707" s="307"/>
      <c r="E707" s="307"/>
      <c r="F707" s="307"/>
      <c r="G707" s="305"/>
      <c r="H707" s="305"/>
      <c r="I707" s="307"/>
      <c r="J707" s="305"/>
    </row>
    <row r="708" spans="1:10" ht="11.25">
      <c r="A708" s="305"/>
      <c r="B708" s="306"/>
      <c r="C708" s="306"/>
      <c r="D708" s="307"/>
      <c r="E708" s="307"/>
      <c r="F708" s="307"/>
      <c r="G708" s="305"/>
      <c r="H708" s="305"/>
      <c r="I708" s="307"/>
      <c r="J708" s="305"/>
    </row>
    <row r="709" spans="1:10" ht="11.25">
      <c r="A709" s="305"/>
      <c r="B709" s="306"/>
      <c r="C709" s="306"/>
      <c r="D709" s="307"/>
      <c r="E709" s="307"/>
      <c r="F709" s="307"/>
      <c r="G709" s="305"/>
      <c r="H709" s="305"/>
      <c r="I709" s="307"/>
      <c r="J709" s="305"/>
    </row>
    <row r="710" spans="1:10" ht="11.25">
      <c r="A710" s="305"/>
      <c r="B710" s="306"/>
      <c r="C710" s="306"/>
      <c r="D710" s="307"/>
      <c r="E710" s="307"/>
      <c r="F710" s="307"/>
      <c r="G710" s="305"/>
      <c r="H710" s="305"/>
      <c r="I710" s="307"/>
      <c r="J710" s="305"/>
    </row>
    <row r="711" spans="1:10" ht="11.25">
      <c r="A711" s="305"/>
      <c r="B711" s="306"/>
      <c r="C711" s="306"/>
      <c r="D711" s="307"/>
      <c r="E711" s="307"/>
      <c r="F711" s="307"/>
      <c r="G711" s="305"/>
      <c r="H711" s="305"/>
      <c r="I711" s="307"/>
      <c r="J711" s="305"/>
    </row>
    <row r="712" spans="1:10" ht="11.25">
      <c r="A712" s="305"/>
      <c r="B712" s="306"/>
      <c r="C712" s="306"/>
      <c r="D712" s="307"/>
      <c r="E712" s="307"/>
      <c r="F712" s="307"/>
      <c r="G712" s="305"/>
      <c r="H712" s="305"/>
      <c r="I712" s="307"/>
      <c r="J712" s="305"/>
    </row>
    <row r="713" spans="1:10" ht="11.25">
      <c r="A713" s="305"/>
      <c r="B713" s="306"/>
      <c r="C713" s="306"/>
      <c r="D713" s="307"/>
      <c r="E713" s="307"/>
      <c r="F713" s="307"/>
      <c r="G713" s="305"/>
      <c r="H713" s="305"/>
      <c r="I713" s="307"/>
      <c r="J713" s="305"/>
    </row>
    <row r="714" spans="1:10" ht="11.25">
      <c r="A714" s="305"/>
      <c r="B714" s="306"/>
      <c r="C714" s="306"/>
      <c r="D714" s="307"/>
      <c r="E714" s="307"/>
      <c r="F714" s="307"/>
      <c r="G714" s="305"/>
      <c r="H714" s="305"/>
      <c r="I714" s="307"/>
      <c r="J714" s="305"/>
    </row>
    <row r="715" spans="1:10" ht="11.25">
      <c r="A715" s="305"/>
      <c r="B715" s="306"/>
      <c r="C715" s="306"/>
      <c r="D715" s="307"/>
      <c r="E715" s="307"/>
      <c r="F715" s="307"/>
      <c r="G715" s="305"/>
      <c r="H715" s="305"/>
      <c r="I715" s="307"/>
      <c r="J715" s="305"/>
    </row>
    <row r="716" spans="1:10" ht="11.25">
      <c r="A716" s="305"/>
      <c r="B716" s="306"/>
      <c r="C716" s="306"/>
      <c r="D716" s="307"/>
      <c r="E716" s="307"/>
      <c r="F716" s="307"/>
      <c r="G716" s="305"/>
      <c r="H716" s="305"/>
      <c r="I716" s="307"/>
      <c r="J716" s="305"/>
    </row>
    <row r="717" spans="1:10" ht="11.25">
      <c r="A717" s="305"/>
      <c r="B717" s="306"/>
      <c r="C717" s="306"/>
      <c r="D717" s="307"/>
      <c r="E717" s="307"/>
      <c r="F717" s="307"/>
      <c r="G717" s="305"/>
      <c r="H717" s="305"/>
      <c r="I717" s="307"/>
      <c r="J717" s="305"/>
    </row>
    <row r="718" spans="1:10" ht="11.25">
      <c r="A718" s="305"/>
      <c r="B718" s="306"/>
      <c r="C718" s="306"/>
      <c r="D718" s="307"/>
      <c r="E718" s="307"/>
      <c r="F718" s="307"/>
      <c r="G718" s="305"/>
      <c r="H718" s="305"/>
      <c r="I718" s="307"/>
      <c r="J718" s="305"/>
    </row>
    <row r="719" spans="1:10" ht="11.25">
      <c r="A719" s="305"/>
      <c r="B719" s="306"/>
      <c r="C719" s="306"/>
      <c r="D719" s="307"/>
      <c r="E719" s="307"/>
      <c r="F719" s="307"/>
      <c r="G719" s="305"/>
      <c r="H719" s="305"/>
      <c r="I719" s="307"/>
      <c r="J719" s="305"/>
    </row>
    <row r="720" spans="1:10" ht="11.25">
      <c r="A720" s="305"/>
      <c r="B720" s="306"/>
      <c r="C720" s="306"/>
      <c r="D720" s="307"/>
      <c r="E720" s="307"/>
      <c r="F720" s="307"/>
      <c r="G720" s="305"/>
      <c r="H720" s="305"/>
      <c r="I720" s="307"/>
      <c r="J720" s="305"/>
    </row>
    <row r="721" spans="1:10" ht="11.25">
      <c r="A721" s="305"/>
      <c r="B721" s="306"/>
      <c r="C721" s="306"/>
      <c r="D721" s="307"/>
      <c r="E721" s="307"/>
      <c r="F721" s="307"/>
      <c r="G721" s="305"/>
      <c r="H721" s="305"/>
      <c r="I721" s="307"/>
      <c r="J721" s="305"/>
    </row>
    <row r="722" spans="1:10" ht="11.25">
      <c r="A722" s="305"/>
      <c r="B722" s="306"/>
      <c r="C722" s="306"/>
      <c r="D722" s="307"/>
      <c r="E722" s="307"/>
      <c r="F722" s="307"/>
      <c r="G722" s="305"/>
      <c r="H722" s="305"/>
      <c r="I722" s="307"/>
      <c r="J722" s="305"/>
    </row>
    <row r="723" spans="1:10" ht="11.25">
      <c r="A723" s="305"/>
      <c r="B723" s="306"/>
      <c r="C723" s="306"/>
      <c r="D723" s="307"/>
      <c r="E723" s="307"/>
      <c r="F723" s="307"/>
      <c r="G723" s="305"/>
      <c r="H723" s="305"/>
      <c r="I723" s="307"/>
      <c r="J723" s="305"/>
    </row>
    <row r="724" spans="1:10" ht="11.25">
      <c r="A724" s="305"/>
      <c r="B724" s="306"/>
      <c r="C724" s="306"/>
      <c r="D724" s="307"/>
      <c r="E724" s="307"/>
      <c r="F724" s="307"/>
      <c r="G724" s="305"/>
      <c r="H724" s="305"/>
      <c r="I724" s="307"/>
      <c r="J724" s="305"/>
    </row>
    <row r="725" spans="1:10" ht="11.25">
      <c r="A725" s="305"/>
      <c r="B725" s="306"/>
      <c r="C725" s="306"/>
      <c r="D725" s="307"/>
      <c r="E725" s="307"/>
      <c r="F725" s="307"/>
      <c r="G725" s="305"/>
      <c r="H725" s="305"/>
      <c r="I725" s="307"/>
      <c r="J725" s="305"/>
    </row>
    <row r="726" spans="1:10" ht="11.25">
      <c r="A726" s="305"/>
      <c r="B726" s="306"/>
      <c r="C726" s="306"/>
      <c r="D726" s="307"/>
      <c r="E726" s="307"/>
      <c r="F726" s="307"/>
      <c r="G726" s="305"/>
      <c r="H726" s="305"/>
      <c r="I726" s="307"/>
      <c r="J726" s="305"/>
    </row>
    <row r="727" spans="1:10" ht="11.25">
      <c r="A727" s="305"/>
      <c r="B727" s="306"/>
      <c r="C727" s="306"/>
      <c r="D727" s="307"/>
      <c r="E727" s="307"/>
      <c r="F727" s="307"/>
      <c r="G727" s="305"/>
      <c r="H727" s="305"/>
      <c r="I727" s="307"/>
      <c r="J727" s="305"/>
    </row>
    <row r="728" spans="1:10" ht="11.25">
      <c r="A728" s="305"/>
      <c r="B728" s="306"/>
      <c r="C728" s="306"/>
      <c r="D728" s="307"/>
      <c r="E728" s="307"/>
      <c r="F728" s="307"/>
      <c r="G728" s="305"/>
      <c r="H728" s="305"/>
      <c r="I728" s="307"/>
      <c r="J728" s="305"/>
    </row>
    <row r="729" spans="1:10" ht="11.25">
      <c r="A729" s="305"/>
      <c r="B729" s="306"/>
      <c r="C729" s="306"/>
      <c r="D729" s="307"/>
      <c r="E729" s="307"/>
      <c r="F729" s="307"/>
      <c r="G729" s="305"/>
      <c r="H729" s="305"/>
      <c r="I729" s="307"/>
      <c r="J729" s="305"/>
    </row>
    <row r="730" spans="1:10" ht="11.25">
      <c r="A730" s="305"/>
      <c r="B730" s="306"/>
      <c r="C730" s="306"/>
      <c r="D730" s="307"/>
      <c r="E730" s="307"/>
      <c r="F730" s="307"/>
      <c r="G730" s="305"/>
      <c r="H730" s="305"/>
      <c r="I730" s="307"/>
      <c r="J730" s="305"/>
    </row>
    <row r="731" spans="1:10" ht="11.25">
      <c r="A731" s="305"/>
      <c r="B731" s="306"/>
      <c r="C731" s="306"/>
      <c r="D731" s="307"/>
      <c r="E731" s="307"/>
      <c r="F731" s="307"/>
      <c r="G731" s="305"/>
      <c r="H731" s="305"/>
      <c r="I731" s="307"/>
      <c r="J731" s="305"/>
    </row>
    <row r="732" spans="1:10" ht="11.25">
      <c r="A732" s="305"/>
      <c r="B732" s="306"/>
      <c r="C732" s="306"/>
      <c r="D732" s="307"/>
      <c r="E732" s="307"/>
      <c r="F732" s="307"/>
      <c r="G732" s="305"/>
      <c r="H732" s="305"/>
      <c r="I732" s="307"/>
      <c r="J732" s="305"/>
    </row>
    <row r="733" spans="1:10" ht="11.25">
      <c r="A733" s="305"/>
      <c r="B733" s="306"/>
      <c r="C733" s="306"/>
      <c r="D733" s="307"/>
      <c r="E733" s="307"/>
      <c r="F733" s="307"/>
      <c r="G733" s="305"/>
      <c r="H733" s="305"/>
      <c r="I733" s="307"/>
      <c r="J733" s="305"/>
    </row>
    <row r="734" spans="1:10" ht="11.25">
      <c r="A734" s="305"/>
      <c r="B734" s="306"/>
      <c r="C734" s="306"/>
      <c r="D734" s="307"/>
      <c r="E734" s="307"/>
      <c r="F734" s="307"/>
      <c r="G734" s="305"/>
      <c r="H734" s="305"/>
      <c r="I734" s="307"/>
      <c r="J734" s="305"/>
    </row>
    <row r="735" spans="1:10" ht="11.25">
      <c r="A735" s="305"/>
      <c r="B735" s="306"/>
      <c r="C735" s="306"/>
      <c r="D735" s="307"/>
      <c r="E735" s="307"/>
      <c r="F735" s="307"/>
      <c r="G735" s="305"/>
      <c r="H735" s="305"/>
      <c r="I735" s="307"/>
      <c r="J735" s="305"/>
    </row>
    <row r="736" spans="1:10" ht="11.25">
      <c r="A736" s="305"/>
      <c r="B736" s="306"/>
      <c r="C736" s="306"/>
      <c r="D736" s="307"/>
      <c r="E736" s="307"/>
      <c r="F736" s="307"/>
      <c r="G736" s="305"/>
      <c r="H736" s="305"/>
      <c r="I736" s="307"/>
      <c r="J736" s="305"/>
    </row>
    <row r="737" spans="1:10" ht="11.25">
      <c r="A737" s="305"/>
      <c r="B737" s="306"/>
      <c r="C737" s="306"/>
      <c r="D737" s="307"/>
      <c r="E737" s="307"/>
      <c r="F737" s="307"/>
      <c r="G737" s="305"/>
      <c r="H737" s="305"/>
      <c r="I737" s="307"/>
      <c r="J737" s="305"/>
    </row>
    <row r="738" spans="1:10" ht="11.25">
      <c r="A738" s="305"/>
      <c r="B738" s="306"/>
      <c r="C738" s="306"/>
      <c r="D738" s="307"/>
      <c r="E738" s="307"/>
      <c r="F738" s="307"/>
      <c r="G738" s="305"/>
      <c r="H738" s="305"/>
      <c r="I738" s="307"/>
      <c r="J738" s="305"/>
    </row>
    <row r="739" spans="1:10" ht="11.25">
      <c r="A739" s="305"/>
      <c r="B739" s="306"/>
      <c r="C739" s="306"/>
      <c r="D739" s="307"/>
      <c r="E739" s="307"/>
      <c r="F739" s="307"/>
      <c r="G739" s="305"/>
      <c r="H739" s="305"/>
      <c r="I739" s="307"/>
      <c r="J739" s="305"/>
    </row>
    <row r="740" spans="1:10" ht="11.25">
      <c r="A740" s="305"/>
      <c r="B740" s="306"/>
      <c r="C740" s="306"/>
      <c r="D740" s="307"/>
      <c r="E740" s="307"/>
      <c r="F740" s="307"/>
      <c r="G740" s="305"/>
      <c r="H740" s="305"/>
      <c r="I740" s="307"/>
      <c r="J740" s="305"/>
    </row>
    <row r="741" spans="1:10" ht="11.25">
      <c r="A741" s="305"/>
      <c r="B741" s="306"/>
      <c r="C741" s="306"/>
      <c r="D741" s="307"/>
      <c r="E741" s="307"/>
      <c r="F741" s="307"/>
      <c r="G741" s="305"/>
      <c r="H741" s="305"/>
      <c r="I741" s="307"/>
      <c r="J741" s="305"/>
    </row>
    <row r="742" spans="1:10" ht="11.25">
      <c r="A742" s="305"/>
      <c r="B742" s="306"/>
      <c r="C742" s="306"/>
      <c r="D742" s="307"/>
      <c r="E742" s="307"/>
      <c r="F742" s="307"/>
      <c r="G742" s="305"/>
      <c r="H742" s="305"/>
      <c r="I742" s="307"/>
      <c r="J742" s="305"/>
    </row>
    <row r="743" spans="1:10" ht="11.25">
      <c r="A743" s="305"/>
      <c r="B743" s="306"/>
      <c r="C743" s="306"/>
      <c r="D743" s="307"/>
      <c r="E743" s="307"/>
      <c r="F743" s="307"/>
      <c r="G743" s="305"/>
      <c r="H743" s="305"/>
      <c r="I743" s="307"/>
      <c r="J743" s="305"/>
    </row>
    <row r="744" spans="1:10" ht="11.25">
      <c r="A744" s="305"/>
      <c r="B744" s="306"/>
      <c r="C744" s="306"/>
      <c r="D744" s="307"/>
      <c r="E744" s="307"/>
      <c r="F744" s="307"/>
      <c r="G744" s="305"/>
      <c r="H744" s="305"/>
      <c r="I744" s="307"/>
      <c r="J744" s="305"/>
    </row>
    <row r="745" spans="1:10" ht="11.25">
      <c r="A745" s="305"/>
      <c r="B745" s="306"/>
      <c r="C745" s="306"/>
      <c r="D745" s="307"/>
      <c r="E745" s="307"/>
      <c r="F745" s="307"/>
      <c r="G745" s="305"/>
      <c r="H745" s="305"/>
      <c r="I745" s="307"/>
      <c r="J745" s="305"/>
    </row>
    <row r="746" spans="1:10" ht="11.25">
      <c r="A746" s="305"/>
      <c r="B746" s="306"/>
      <c r="C746" s="306"/>
      <c r="D746" s="307"/>
      <c r="E746" s="307"/>
      <c r="F746" s="307"/>
      <c r="G746" s="305"/>
      <c r="H746" s="305"/>
      <c r="I746" s="307"/>
      <c r="J746" s="305"/>
    </row>
    <row r="747" spans="1:10" ht="11.25">
      <c r="A747" s="305"/>
      <c r="B747" s="306"/>
      <c r="C747" s="306"/>
      <c r="D747" s="307"/>
      <c r="E747" s="307"/>
      <c r="F747" s="307"/>
      <c r="G747" s="305"/>
      <c r="H747" s="305"/>
      <c r="I747" s="307"/>
      <c r="J747" s="305"/>
    </row>
    <row r="748" spans="1:10" ht="11.25">
      <c r="A748" s="305"/>
      <c r="B748" s="306"/>
      <c r="C748" s="306"/>
      <c r="D748" s="307"/>
      <c r="E748" s="307"/>
      <c r="F748" s="307"/>
      <c r="G748" s="305"/>
      <c r="H748" s="305"/>
      <c r="I748" s="307"/>
      <c r="J748" s="305"/>
    </row>
    <row r="749" spans="1:10" ht="11.25">
      <c r="A749" s="305"/>
      <c r="B749" s="306"/>
      <c r="C749" s="306"/>
      <c r="D749" s="307"/>
      <c r="E749" s="307"/>
      <c r="F749" s="307"/>
      <c r="G749" s="305"/>
      <c r="H749" s="305"/>
      <c r="I749" s="307"/>
      <c r="J749" s="305"/>
    </row>
    <row r="750" spans="1:10" ht="11.25">
      <c r="A750" s="305"/>
      <c r="B750" s="306"/>
      <c r="C750" s="306"/>
      <c r="D750" s="307"/>
      <c r="E750" s="307"/>
      <c r="F750" s="307"/>
      <c r="G750" s="305"/>
      <c r="H750" s="305"/>
      <c r="I750" s="307"/>
      <c r="J750" s="305"/>
    </row>
    <row r="751" spans="1:10" ht="11.25">
      <c r="A751" s="305"/>
      <c r="B751" s="306"/>
      <c r="C751" s="306"/>
      <c r="D751" s="307"/>
      <c r="E751" s="307"/>
      <c r="F751" s="307"/>
      <c r="G751" s="305"/>
      <c r="H751" s="305"/>
      <c r="I751" s="307"/>
      <c r="J751" s="305"/>
    </row>
    <row r="752" spans="1:10" ht="11.25">
      <c r="A752" s="305"/>
      <c r="B752" s="306"/>
      <c r="C752" s="306"/>
      <c r="D752" s="307"/>
      <c r="E752" s="307"/>
      <c r="F752" s="307"/>
      <c r="G752" s="305"/>
      <c r="H752" s="305"/>
      <c r="I752" s="307"/>
      <c r="J752" s="305"/>
    </row>
    <row r="753" spans="1:10" ht="11.25">
      <c r="A753" s="305"/>
      <c r="B753" s="306"/>
      <c r="C753" s="306"/>
      <c r="D753" s="307"/>
      <c r="E753" s="307"/>
      <c r="F753" s="307"/>
      <c r="G753" s="305"/>
      <c r="H753" s="305"/>
      <c r="I753" s="307"/>
      <c r="J753" s="305"/>
    </row>
    <row r="754" spans="1:10" ht="11.25">
      <c r="A754" s="305"/>
      <c r="B754" s="306"/>
      <c r="C754" s="306"/>
      <c r="D754" s="307"/>
      <c r="E754" s="307"/>
      <c r="F754" s="307"/>
      <c r="G754" s="305"/>
      <c r="H754" s="305"/>
      <c r="I754" s="307"/>
      <c r="J754" s="305"/>
    </row>
    <row r="755" spans="1:10" ht="11.25">
      <c r="A755" s="305"/>
      <c r="B755" s="306"/>
      <c r="C755" s="306"/>
      <c r="D755" s="307"/>
      <c r="E755" s="307"/>
      <c r="F755" s="307"/>
      <c r="G755" s="305"/>
      <c r="H755" s="305"/>
      <c r="I755" s="307"/>
      <c r="J755" s="305"/>
    </row>
    <row r="756" spans="1:10" ht="11.25">
      <c r="A756" s="305"/>
      <c r="B756" s="306"/>
      <c r="C756" s="306"/>
      <c r="D756" s="307"/>
      <c r="E756" s="307"/>
      <c r="F756" s="307"/>
      <c r="G756" s="305"/>
      <c r="H756" s="305"/>
      <c r="I756" s="307"/>
      <c r="J756" s="305"/>
    </row>
    <row r="757" spans="1:10" ht="11.25">
      <c r="A757" s="305"/>
      <c r="B757" s="306"/>
      <c r="C757" s="306"/>
      <c r="D757" s="307"/>
      <c r="E757" s="307"/>
      <c r="F757" s="307"/>
      <c r="G757" s="305"/>
      <c r="H757" s="305"/>
      <c r="I757" s="307"/>
      <c r="J757" s="305"/>
    </row>
    <row r="758" spans="1:10" ht="11.25">
      <c r="A758" s="305"/>
      <c r="B758" s="306"/>
      <c r="C758" s="306"/>
      <c r="D758" s="307"/>
      <c r="E758" s="307"/>
      <c r="F758" s="307"/>
      <c r="G758" s="305"/>
      <c r="H758" s="305"/>
      <c r="I758" s="307"/>
      <c r="J758" s="305"/>
    </row>
    <row r="759" spans="1:10" ht="11.25">
      <c r="A759" s="305"/>
      <c r="B759" s="306"/>
      <c r="C759" s="306"/>
      <c r="D759" s="307"/>
      <c r="E759" s="307"/>
      <c r="F759" s="307"/>
      <c r="G759" s="305"/>
      <c r="H759" s="305"/>
      <c r="I759" s="307"/>
      <c r="J759" s="305"/>
    </row>
    <row r="760" spans="1:10" ht="11.25">
      <c r="A760" s="305"/>
      <c r="B760" s="306"/>
      <c r="C760" s="306"/>
      <c r="D760" s="307"/>
      <c r="E760" s="307"/>
      <c r="F760" s="307"/>
      <c r="G760" s="305"/>
      <c r="H760" s="305"/>
      <c r="I760" s="307"/>
      <c r="J760" s="305"/>
    </row>
    <row r="761" spans="1:10" ht="11.25">
      <c r="A761" s="305"/>
      <c r="B761" s="306"/>
      <c r="C761" s="306"/>
      <c r="D761" s="307"/>
      <c r="E761" s="307"/>
      <c r="F761" s="307"/>
      <c r="G761" s="305"/>
      <c r="H761" s="305"/>
      <c r="I761" s="307"/>
      <c r="J761" s="305"/>
    </row>
    <row r="762" spans="1:10" ht="11.25">
      <c r="A762" s="305"/>
      <c r="B762" s="306"/>
      <c r="C762" s="306"/>
      <c r="D762" s="307"/>
      <c r="E762" s="307"/>
      <c r="F762" s="307"/>
      <c r="G762" s="305"/>
      <c r="H762" s="305"/>
      <c r="I762" s="307"/>
      <c r="J762" s="305"/>
    </row>
    <row r="763" spans="1:10" ht="11.25">
      <c r="A763" s="305"/>
      <c r="B763" s="306"/>
      <c r="C763" s="306"/>
      <c r="D763" s="307"/>
      <c r="E763" s="307"/>
      <c r="F763" s="307"/>
      <c r="G763" s="305"/>
      <c r="H763" s="305"/>
      <c r="I763" s="307"/>
      <c r="J763" s="305"/>
    </row>
    <row r="764" spans="1:10" ht="11.25">
      <c r="A764" s="305"/>
      <c r="B764" s="306"/>
      <c r="C764" s="306"/>
      <c r="D764" s="307"/>
      <c r="E764" s="307"/>
      <c r="F764" s="307"/>
      <c r="G764" s="305"/>
      <c r="H764" s="305"/>
      <c r="I764" s="307"/>
      <c r="J764" s="305"/>
    </row>
    <row r="765" spans="1:10" ht="11.25">
      <c r="A765" s="305"/>
      <c r="B765" s="306"/>
      <c r="C765" s="306"/>
      <c r="D765" s="307"/>
      <c r="E765" s="307"/>
      <c r="F765" s="307"/>
      <c r="G765" s="305"/>
      <c r="H765" s="305"/>
      <c r="I765" s="307"/>
      <c r="J765" s="305"/>
    </row>
    <row r="766" spans="1:10" ht="11.25">
      <c r="A766" s="305"/>
      <c r="B766" s="306"/>
      <c r="C766" s="306"/>
      <c r="D766" s="307"/>
      <c r="E766" s="307"/>
      <c r="F766" s="307"/>
      <c r="G766" s="305"/>
      <c r="H766" s="305"/>
      <c r="I766" s="307"/>
      <c r="J766" s="305"/>
    </row>
    <row r="767" spans="1:10" ht="11.25">
      <c r="A767" s="305"/>
      <c r="B767" s="306"/>
      <c r="C767" s="306"/>
      <c r="D767" s="307"/>
      <c r="E767" s="307"/>
      <c r="F767" s="307"/>
      <c r="G767" s="305"/>
      <c r="H767" s="305"/>
      <c r="I767" s="307"/>
      <c r="J767" s="305"/>
    </row>
    <row r="768" spans="1:10" ht="11.25">
      <c r="A768" s="305"/>
      <c r="B768" s="306"/>
      <c r="C768" s="306"/>
      <c r="D768" s="307"/>
      <c r="E768" s="307"/>
      <c r="F768" s="307"/>
      <c r="G768" s="305"/>
      <c r="H768" s="305"/>
      <c r="I768" s="307"/>
      <c r="J768" s="305"/>
    </row>
    <row r="769" spans="1:10" ht="11.25">
      <c r="A769" s="305"/>
      <c r="B769" s="306"/>
      <c r="C769" s="306"/>
      <c r="D769" s="307"/>
      <c r="E769" s="307"/>
      <c r="F769" s="307"/>
      <c r="G769" s="305"/>
      <c r="H769" s="305"/>
      <c r="I769" s="307"/>
      <c r="J769" s="305"/>
    </row>
    <row r="770" spans="1:10" ht="11.25">
      <c r="A770" s="305"/>
      <c r="B770" s="306"/>
      <c r="C770" s="306"/>
      <c r="D770" s="307"/>
      <c r="E770" s="307"/>
      <c r="F770" s="307"/>
      <c r="G770" s="305"/>
      <c r="H770" s="305"/>
      <c r="I770" s="307"/>
      <c r="J770" s="305"/>
    </row>
    <row r="771" spans="1:10" ht="11.25">
      <c r="A771" s="305"/>
      <c r="B771" s="306"/>
      <c r="C771" s="306"/>
      <c r="D771" s="307"/>
      <c r="E771" s="307"/>
      <c r="F771" s="307"/>
      <c r="G771" s="305"/>
      <c r="H771" s="305"/>
      <c r="I771" s="307"/>
      <c r="J771" s="305"/>
    </row>
    <row r="772" spans="1:10" ht="11.25">
      <c r="A772" s="305"/>
      <c r="B772" s="306"/>
      <c r="C772" s="306"/>
      <c r="D772" s="307"/>
      <c r="E772" s="307"/>
      <c r="F772" s="307"/>
      <c r="G772" s="305"/>
      <c r="H772" s="305"/>
      <c r="I772" s="307"/>
      <c r="J772" s="305"/>
    </row>
    <row r="773" spans="1:10" ht="11.25">
      <c r="A773" s="305"/>
      <c r="B773" s="306"/>
      <c r="C773" s="306"/>
      <c r="D773" s="307"/>
      <c r="E773" s="307"/>
      <c r="F773" s="307"/>
      <c r="G773" s="305"/>
      <c r="H773" s="305"/>
      <c r="I773" s="307"/>
      <c r="J773" s="305"/>
    </row>
    <row r="774" spans="1:10" ht="11.25">
      <c r="A774" s="305"/>
      <c r="B774" s="306"/>
      <c r="C774" s="306"/>
      <c r="D774" s="307"/>
      <c r="E774" s="307"/>
      <c r="F774" s="307"/>
      <c r="G774" s="305"/>
      <c r="H774" s="305"/>
      <c r="I774" s="307"/>
      <c r="J774" s="305"/>
    </row>
    <row r="775" spans="1:10" ht="11.25">
      <c r="A775" s="305"/>
      <c r="B775" s="306"/>
      <c r="C775" s="306"/>
      <c r="D775" s="307"/>
      <c r="E775" s="307"/>
      <c r="F775" s="307"/>
      <c r="G775" s="305"/>
      <c r="H775" s="305"/>
      <c r="I775" s="307"/>
      <c r="J775" s="305"/>
    </row>
    <row r="776" spans="1:10" ht="11.25">
      <c r="A776" s="305"/>
      <c r="B776" s="306"/>
      <c r="C776" s="306"/>
      <c r="D776" s="307"/>
      <c r="E776" s="307"/>
      <c r="F776" s="307"/>
      <c r="G776" s="305"/>
      <c r="H776" s="305"/>
      <c r="I776" s="307"/>
      <c r="J776" s="305"/>
    </row>
    <row r="777" spans="1:10" ht="11.25">
      <c r="A777" s="305"/>
      <c r="B777" s="306"/>
      <c r="C777" s="306"/>
      <c r="D777" s="307"/>
      <c r="E777" s="307"/>
      <c r="F777" s="307"/>
      <c r="G777" s="305"/>
      <c r="H777" s="305"/>
      <c r="I777" s="307"/>
      <c r="J777" s="305"/>
    </row>
    <row r="778" spans="1:10" ht="11.25">
      <c r="A778" s="305"/>
      <c r="B778" s="306"/>
      <c r="C778" s="306"/>
      <c r="D778" s="307"/>
      <c r="E778" s="307"/>
      <c r="F778" s="307"/>
      <c r="G778" s="305"/>
      <c r="H778" s="305"/>
      <c r="I778" s="307"/>
      <c r="J778" s="305"/>
    </row>
    <row r="779" spans="1:10" ht="11.25">
      <c r="A779" s="305"/>
      <c r="B779" s="306"/>
      <c r="C779" s="306"/>
      <c r="D779" s="307"/>
      <c r="E779" s="307"/>
      <c r="F779" s="307"/>
      <c r="G779" s="305"/>
      <c r="H779" s="305"/>
      <c r="I779" s="307"/>
      <c r="J779" s="305"/>
    </row>
    <row r="780" spans="1:10" ht="11.25">
      <c r="A780" s="305"/>
      <c r="B780" s="306"/>
      <c r="C780" s="306"/>
      <c r="D780" s="307"/>
      <c r="E780" s="307"/>
      <c r="F780" s="307"/>
      <c r="G780" s="305"/>
      <c r="H780" s="305"/>
      <c r="I780" s="307"/>
      <c r="J780" s="305"/>
    </row>
    <row r="781" spans="1:10" ht="11.25">
      <c r="A781" s="305"/>
      <c r="B781" s="306"/>
      <c r="C781" s="306"/>
      <c r="D781" s="307"/>
      <c r="E781" s="307"/>
      <c r="F781" s="307"/>
      <c r="G781" s="305"/>
      <c r="H781" s="305"/>
      <c r="I781" s="307"/>
      <c r="J781" s="305"/>
    </row>
    <row r="782" spans="1:10" ht="11.25">
      <c r="A782" s="305"/>
      <c r="B782" s="306"/>
      <c r="C782" s="306"/>
      <c r="D782" s="307"/>
      <c r="E782" s="307"/>
      <c r="F782" s="307"/>
      <c r="G782" s="305"/>
      <c r="H782" s="305"/>
      <c r="I782" s="307"/>
      <c r="J782" s="305"/>
    </row>
    <row r="783" spans="1:10" ht="11.25">
      <c r="A783" s="305"/>
      <c r="B783" s="306"/>
      <c r="C783" s="306"/>
      <c r="D783" s="307"/>
      <c r="E783" s="307"/>
      <c r="F783" s="307"/>
      <c r="G783" s="305"/>
      <c r="H783" s="305"/>
      <c r="I783" s="307"/>
      <c r="J783" s="305"/>
    </row>
    <row r="784" spans="1:10" ht="11.25">
      <c r="A784" s="305"/>
      <c r="B784" s="306"/>
      <c r="C784" s="306"/>
      <c r="D784" s="307"/>
      <c r="E784" s="307"/>
      <c r="F784" s="307"/>
      <c r="G784" s="305"/>
      <c r="H784" s="305"/>
      <c r="I784" s="307"/>
      <c r="J784" s="305"/>
    </row>
    <row r="785" spans="1:10" ht="11.25">
      <c r="A785" s="305"/>
      <c r="B785" s="306"/>
      <c r="C785" s="306"/>
      <c r="D785" s="307"/>
      <c r="E785" s="307"/>
      <c r="F785" s="307"/>
      <c r="G785" s="305"/>
      <c r="H785" s="305"/>
      <c r="I785" s="307"/>
      <c r="J785" s="305"/>
    </row>
    <row r="786" spans="1:10" ht="11.25">
      <c r="A786" s="305"/>
      <c r="B786" s="306"/>
      <c r="C786" s="306"/>
      <c r="D786" s="307"/>
      <c r="E786" s="307"/>
      <c r="F786" s="307"/>
      <c r="G786" s="305"/>
      <c r="H786" s="305"/>
      <c r="I786" s="307"/>
      <c r="J786" s="305"/>
    </row>
    <row r="787" spans="1:10" ht="11.25">
      <c r="A787" s="305"/>
      <c r="B787" s="306"/>
      <c r="C787" s="306"/>
      <c r="D787" s="307"/>
      <c r="E787" s="307"/>
      <c r="F787" s="307"/>
      <c r="G787" s="305"/>
      <c r="H787" s="305"/>
      <c r="I787" s="307"/>
      <c r="J787" s="305"/>
    </row>
    <row r="788" spans="1:10" ht="11.25">
      <c r="A788" s="305"/>
      <c r="B788" s="306"/>
      <c r="C788" s="306"/>
      <c r="D788" s="307"/>
      <c r="E788" s="307"/>
      <c r="F788" s="307"/>
      <c r="G788" s="305"/>
      <c r="H788" s="305"/>
      <c r="I788" s="307"/>
      <c r="J788" s="305"/>
    </row>
    <row r="789" spans="1:10" ht="11.25">
      <c r="A789" s="305"/>
      <c r="B789" s="306"/>
      <c r="C789" s="306"/>
      <c r="D789" s="307"/>
      <c r="E789" s="307"/>
      <c r="F789" s="307"/>
      <c r="G789" s="305"/>
      <c r="H789" s="305"/>
      <c r="I789" s="307"/>
      <c r="J789" s="305"/>
    </row>
    <row r="790" spans="1:10" ht="11.25">
      <c r="A790" s="305"/>
      <c r="B790" s="306"/>
      <c r="C790" s="306"/>
      <c r="D790" s="307"/>
      <c r="E790" s="307"/>
      <c r="F790" s="307"/>
      <c r="G790" s="305"/>
      <c r="H790" s="305"/>
      <c r="I790" s="307"/>
      <c r="J790" s="305"/>
    </row>
    <row r="791" spans="1:10" ht="11.25">
      <c r="A791" s="305"/>
      <c r="B791" s="306"/>
      <c r="C791" s="306"/>
      <c r="D791" s="307"/>
      <c r="E791" s="307"/>
      <c r="F791" s="307"/>
      <c r="G791" s="305"/>
      <c r="H791" s="305"/>
      <c r="I791" s="307"/>
      <c r="J791" s="305"/>
    </row>
    <row r="792" spans="1:10" ht="11.25">
      <c r="A792" s="305"/>
      <c r="B792" s="306"/>
      <c r="C792" s="306"/>
      <c r="D792" s="307"/>
      <c r="E792" s="307"/>
      <c r="F792" s="307"/>
      <c r="G792" s="305"/>
      <c r="H792" s="305"/>
      <c r="I792" s="307"/>
      <c r="J792" s="305"/>
    </row>
    <row r="793" spans="1:10" ht="11.25">
      <c r="A793" s="305"/>
      <c r="B793" s="306"/>
      <c r="C793" s="306"/>
      <c r="D793" s="307"/>
      <c r="E793" s="307"/>
      <c r="F793" s="307"/>
      <c r="G793" s="305"/>
      <c r="H793" s="305"/>
      <c r="I793" s="307"/>
      <c r="J793" s="305"/>
    </row>
    <row r="794" spans="1:10" ht="11.25">
      <c r="A794" s="305"/>
      <c r="B794" s="306"/>
      <c r="C794" s="306"/>
      <c r="D794" s="307"/>
      <c r="E794" s="307"/>
      <c r="F794" s="307"/>
      <c r="G794" s="305"/>
      <c r="H794" s="305"/>
      <c r="I794" s="307"/>
      <c r="J794" s="305"/>
    </row>
    <row r="795" spans="1:10" ht="11.25">
      <c r="A795" s="305"/>
      <c r="B795" s="306"/>
      <c r="C795" s="306"/>
      <c r="D795" s="307"/>
      <c r="E795" s="307"/>
      <c r="F795" s="307"/>
      <c r="G795" s="305"/>
      <c r="H795" s="305"/>
      <c r="I795" s="307"/>
      <c r="J795" s="305"/>
    </row>
    <row r="796" spans="1:10" ht="11.25">
      <c r="A796" s="305"/>
      <c r="B796" s="306"/>
      <c r="C796" s="306"/>
      <c r="D796" s="307"/>
      <c r="E796" s="307"/>
      <c r="F796" s="307"/>
      <c r="G796" s="305"/>
      <c r="H796" s="305"/>
      <c r="I796" s="307"/>
      <c r="J796" s="305"/>
    </row>
    <row r="797" spans="1:10" ht="11.25">
      <c r="A797" s="305"/>
      <c r="B797" s="306"/>
      <c r="C797" s="306"/>
      <c r="D797" s="307"/>
      <c r="E797" s="307"/>
      <c r="F797" s="307"/>
      <c r="G797" s="305"/>
      <c r="H797" s="305"/>
      <c r="I797" s="307"/>
      <c r="J797" s="305"/>
    </row>
    <row r="798" spans="1:10" ht="11.25">
      <c r="A798" s="305"/>
      <c r="B798" s="306"/>
      <c r="C798" s="306"/>
      <c r="D798" s="307"/>
      <c r="E798" s="307"/>
      <c r="F798" s="307"/>
      <c r="G798" s="305"/>
      <c r="H798" s="305"/>
      <c r="I798" s="307"/>
      <c r="J798" s="305"/>
    </row>
    <row r="799" spans="1:10" ht="11.25">
      <c r="A799" s="305"/>
      <c r="B799" s="306"/>
      <c r="C799" s="306"/>
      <c r="D799" s="307"/>
      <c r="E799" s="307"/>
      <c r="F799" s="307"/>
      <c r="G799" s="305"/>
      <c r="H799" s="305"/>
      <c r="I799" s="307"/>
      <c r="J799" s="305"/>
    </row>
    <row r="800" spans="1:10" ht="11.25">
      <c r="A800" s="305"/>
      <c r="B800" s="306"/>
      <c r="C800" s="306"/>
      <c r="D800" s="307"/>
      <c r="E800" s="307"/>
      <c r="F800" s="307"/>
      <c r="G800" s="305"/>
      <c r="H800" s="305"/>
      <c r="I800" s="307"/>
      <c r="J800" s="305"/>
    </row>
    <row r="801" spans="1:10" ht="11.25">
      <c r="A801" s="305"/>
      <c r="B801" s="306"/>
      <c r="C801" s="306"/>
      <c r="D801" s="307"/>
      <c r="E801" s="307"/>
      <c r="F801" s="307"/>
      <c r="G801" s="305"/>
      <c r="H801" s="305"/>
      <c r="I801" s="307"/>
      <c r="J801" s="305"/>
    </row>
    <row r="802" spans="1:10" ht="11.25">
      <c r="A802" s="305"/>
      <c r="B802" s="306"/>
      <c r="C802" s="306"/>
      <c r="D802" s="307"/>
      <c r="E802" s="307"/>
      <c r="F802" s="307"/>
      <c r="G802" s="305"/>
      <c r="H802" s="305"/>
      <c r="I802" s="307"/>
      <c r="J802" s="305"/>
    </row>
    <row r="803" spans="1:10" ht="11.25">
      <c r="A803" s="305"/>
      <c r="B803" s="306"/>
      <c r="C803" s="306"/>
      <c r="D803" s="307"/>
      <c r="E803" s="307"/>
      <c r="F803" s="307"/>
      <c r="G803" s="305"/>
      <c r="H803" s="305"/>
      <c r="I803" s="307"/>
      <c r="J803" s="305"/>
    </row>
    <row r="804" spans="1:10" ht="11.25">
      <c r="A804" s="305"/>
      <c r="B804" s="306"/>
      <c r="C804" s="306"/>
      <c r="D804" s="307"/>
      <c r="E804" s="307"/>
      <c r="F804" s="307"/>
      <c r="G804" s="305"/>
      <c r="H804" s="305"/>
      <c r="I804" s="307"/>
      <c r="J804" s="305"/>
    </row>
    <row r="805" spans="1:10" ht="11.25">
      <c r="A805" s="305"/>
      <c r="B805" s="306"/>
      <c r="C805" s="306"/>
      <c r="D805" s="307"/>
      <c r="E805" s="307"/>
      <c r="F805" s="307"/>
      <c r="G805" s="305"/>
      <c r="H805" s="305"/>
      <c r="I805" s="307"/>
      <c r="J805" s="305"/>
    </row>
    <row r="806" spans="1:10" ht="11.25">
      <c r="A806" s="305"/>
      <c r="B806" s="306"/>
      <c r="C806" s="306"/>
      <c r="D806" s="307"/>
      <c r="E806" s="307"/>
      <c r="F806" s="307"/>
      <c r="G806" s="305"/>
      <c r="H806" s="305"/>
      <c r="I806" s="307"/>
      <c r="J806" s="305"/>
    </row>
    <row r="807" spans="1:10" ht="11.25">
      <c r="A807" s="305"/>
      <c r="B807" s="306"/>
      <c r="C807" s="306"/>
      <c r="D807" s="307"/>
      <c r="E807" s="307"/>
      <c r="F807" s="307"/>
      <c r="G807" s="305"/>
      <c r="H807" s="305"/>
      <c r="I807" s="307"/>
      <c r="J807" s="305"/>
    </row>
    <row r="808" spans="1:10" ht="11.25">
      <c r="A808" s="305"/>
      <c r="B808" s="306"/>
      <c r="C808" s="306"/>
      <c r="D808" s="307"/>
      <c r="E808" s="307"/>
      <c r="F808" s="307"/>
      <c r="G808" s="305"/>
      <c r="H808" s="305"/>
      <c r="I808" s="307"/>
      <c r="J808" s="305"/>
    </row>
    <row r="809" spans="1:10" ht="11.25">
      <c r="A809" s="305"/>
      <c r="B809" s="306"/>
      <c r="C809" s="306"/>
      <c r="D809" s="307"/>
      <c r="E809" s="307"/>
      <c r="F809" s="307"/>
      <c r="G809" s="305"/>
      <c r="H809" s="305"/>
      <c r="I809" s="307"/>
      <c r="J809" s="305"/>
    </row>
    <row r="810" spans="1:10" ht="11.25">
      <c r="A810" s="305"/>
      <c r="B810" s="306"/>
      <c r="C810" s="306"/>
      <c r="D810" s="307"/>
      <c r="E810" s="307"/>
      <c r="F810" s="307"/>
      <c r="G810" s="305"/>
      <c r="H810" s="305"/>
      <c r="I810" s="307"/>
      <c r="J810" s="305"/>
    </row>
    <row r="811" spans="1:10" ht="11.25">
      <c r="A811" s="305"/>
      <c r="B811" s="306"/>
      <c r="C811" s="306"/>
      <c r="D811" s="307"/>
      <c r="E811" s="307"/>
      <c r="F811" s="307"/>
      <c r="G811" s="305"/>
      <c r="H811" s="305"/>
      <c r="I811" s="307"/>
      <c r="J811" s="305"/>
    </row>
    <row r="812" spans="1:10" ht="11.25">
      <c r="A812" s="305"/>
      <c r="B812" s="306"/>
      <c r="C812" s="306"/>
      <c r="D812" s="307"/>
      <c r="E812" s="307"/>
      <c r="F812" s="307"/>
      <c r="G812" s="305"/>
      <c r="H812" s="305"/>
      <c r="I812" s="307"/>
      <c r="J812" s="305"/>
    </row>
    <row r="813" spans="1:10" ht="11.25">
      <c r="A813" s="305"/>
      <c r="B813" s="306"/>
      <c r="C813" s="306"/>
      <c r="D813" s="307"/>
      <c r="E813" s="307"/>
      <c r="F813" s="307"/>
      <c r="G813" s="305"/>
      <c r="H813" s="305"/>
      <c r="I813" s="307"/>
      <c r="J813" s="305"/>
    </row>
    <row r="814" spans="1:10" ht="11.25">
      <c r="A814" s="305"/>
      <c r="B814" s="306"/>
      <c r="C814" s="306"/>
      <c r="D814" s="307"/>
      <c r="E814" s="307"/>
      <c r="F814" s="307"/>
      <c r="G814" s="305"/>
      <c r="H814" s="305"/>
      <c r="I814" s="307"/>
      <c r="J814" s="305"/>
    </row>
    <row r="815" spans="1:10" ht="11.25">
      <c r="A815" s="305"/>
      <c r="B815" s="306"/>
      <c r="C815" s="306"/>
      <c r="D815" s="307"/>
      <c r="E815" s="307"/>
      <c r="F815" s="307"/>
      <c r="G815" s="305"/>
      <c r="H815" s="305"/>
      <c r="I815" s="307"/>
      <c r="J815" s="305"/>
    </row>
    <row r="816" spans="1:10" ht="11.25">
      <c r="A816" s="305"/>
      <c r="B816" s="306"/>
      <c r="C816" s="306"/>
      <c r="D816" s="307"/>
      <c r="E816" s="307"/>
      <c r="F816" s="307"/>
      <c r="G816" s="305"/>
      <c r="H816" s="305"/>
      <c r="I816" s="307"/>
      <c r="J816" s="305"/>
    </row>
    <row r="817" spans="1:10" ht="11.25">
      <c r="A817" s="305"/>
      <c r="B817" s="306"/>
      <c r="C817" s="306"/>
      <c r="D817" s="307"/>
      <c r="E817" s="307"/>
      <c r="F817" s="307"/>
      <c r="G817" s="305"/>
      <c r="H817" s="305"/>
      <c r="I817" s="307"/>
      <c r="J817" s="305"/>
    </row>
    <row r="818" spans="1:10" ht="11.25">
      <c r="A818" s="305"/>
      <c r="B818" s="306"/>
      <c r="C818" s="306"/>
      <c r="D818" s="307"/>
      <c r="E818" s="307"/>
      <c r="F818" s="307"/>
      <c r="G818" s="305"/>
      <c r="H818" s="305"/>
      <c r="I818" s="307"/>
      <c r="J818" s="305"/>
    </row>
    <row r="819" spans="1:10" ht="11.25">
      <c r="A819" s="305"/>
      <c r="B819" s="306"/>
      <c r="C819" s="306"/>
      <c r="D819" s="307"/>
      <c r="E819" s="307"/>
      <c r="F819" s="307"/>
      <c r="G819" s="305"/>
      <c r="H819" s="305"/>
      <c r="I819" s="307"/>
      <c r="J819" s="305"/>
    </row>
    <row r="820" spans="1:10" ht="11.25">
      <c r="A820" s="305"/>
      <c r="B820" s="306"/>
      <c r="C820" s="306"/>
      <c r="D820" s="307"/>
      <c r="E820" s="307"/>
      <c r="F820" s="307"/>
      <c r="G820" s="305"/>
      <c r="H820" s="305"/>
      <c r="I820" s="307"/>
      <c r="J820" s="305"/>
    </row>
    <row r="821" spans="1:10" ht="11.25">
      <c r="A821" s="305"/>
      <c r="B821" s="306"/>
      <c r="C821" s="306"/>
      <c r="D821" s="307"/>
      <c r="E821" s="307"/>
      <c r="F821" s="307"/>
      <c r="G821" s="305"/>
      <c r="H821" s="305"/>
      <c r="I821" s="307"/>
      <c r="J821" s="305"/>
    </row>
    <row r="822" spans="1:10" ht="11.25">
      <c r="A822" s="305"/>
      <c r="B822" s="306"/>
      <c r="C822" s="306"/>
      <c r="D822" s="307"/>
      <c r="E822" s="307"/>
      <c r="F822" s="307"/>
      <c r="G822" s="305"/>
      <c r="H822" s="305"/>
      <c r="I822" s="307"/>
      <c r="J822" s="305"/>
    </row>
    <row r="823" spans="1:10" ht="11.25">
      <c r="A823" s="305"/>
      <c r="B823" s="306"/>
      <c r="C823" s="306"/>
      <c r="D823" s="307"/>
      <c r="E823" s="307"/>
      <c r="F823" s="307"/>
      <c r="G823" s="305"/>
      <c r="H823" s="305"/>
      <c r="I823" s="307"/>
      <c r="J823" s="305"/>
    </row>
    <row r="824" spans="1:10" ht="11.25">
      <c r="A824" s="305"/>
      <c r="B824" s="306"/>
      <c r="C824" s="306"/>
      <c r="D824" s="307"/>
      <c r="E824" s="307"/>
      <c r="F824" s="307"/>
      <c r="G824" s="305"/>
      <c r="H824" s="305"/>
      <c r="I824" s="307"/>
      <c r="J824" s="305"/>
    </row>
    <row r="825" spans="1:10" ht="11.25">
      <c r="A825" s="305"/>
      <c r="B825" s="306"/>
      <c r="C825" s="306"/>
      <c r="D825" s="307"/>
      <c r="E825" s="307"/>
      <c r="F825" s="307"/>
      <c r="G825" s="305"/>
      <c r="H825" s="305"/>
      <c r="I825" s="307"/>
      <c r="J825" s="305"/>
    </row>
    <row r="826" spans="1:10" ht="11.25">
      <c r="A826" s="305"/>
      <c r="B826" s="306"/>
      <c r="C826" s="306"/>
      <c r="D826" s="307"/>
      <c r="E826" s="307"/>
      <c r="F826" s="307"/>
      <c r="G826" s="305"/>
      <c r="H826" s="305"/>
      <c r="I826" s="307"/>
      <c r="J826" s="305"/>
    </row>
    <row r="827" spans="1:10" ht="11.25">
      <c r="A827" s="305"/>
      <c r="B827" s="306"/>
      <c r="C827" s="306"/>
      <c r="D827" s="307"/>
      <c r="E827" s="307"/>
      <c r="F827" s="307"/>
      <c r="G827" s="305"/>
      <c r="H827" s="305"/>
      <c r="I827" s="307"/>
      <c r="J827" s="305"/>
    </row>
    <row r="828" spans="1:10" ht="11.25">
      <c r="A828" s="305"/>
      <c r="B828" s="306"/>
      <c r="C828" s="306"/>
      <c r="D828" s="307"/>
      <c r="E828" s="307"/>
      <c r="F828" s="307"/>
      <c r="G828" s="305"/>
      <c r="H828" s="305"/>
      <c r="I828" s="307"/>
      <c r="J828" s="305"/>
    </row>
    <row r="829" spans="1:10" ht="11.25">
      <c r="A829" s="305"/>
      <c r="B829" s="306"/>
      <c r="C829" s="306"/>
      <c r="D829" s="307"/>
      <c r="E829" s="307"/>
      <c r="F829" s="307"/>
      <c r="G829" s="305"/>
      <c r="H829" s="305"/>
      <c r="I829" s="307"/>
      <c r="J829" s="305"/>
    </row>
    <row r="830" spans="1:10" ht="11.25">
      <c r="A830" s="305"/>
      <c r="B830" s="306"/>
      <c r="C830" s="306"/>
      <c r="D830" s="307"/>
      <c r="E830" s="307"/>
      <c r="F830" s="307"/>
      <c r="G830" s="305"/>
      <c r="H830" s="305"/>
      <c r="I830" s="307"/>
      <c r="J830" s="305"/>
    </row>
    <row r="831" spans="1:10" ht="11.25">
      <c r="A831" s="305"/>
      <c r="B831" s="306"/>
      <c r="C831" s="306"/>
      <c r="D831" s="307"/>
      <c r="E831" s="307"/>
      <c r="F831" s="307"/>
      <c r="G831" s="305"/>
      <c r="H831" s="305"/>
      <c r="I831" s="307"/>
      <c r="J831" s="305"/>
    </row>
    <row r="832" spans="1:10" ht="11.25">
      <c r="A832" s="305"/>
      <c r="B832" s="306"/>
      <c r="C832" s="306"/>
      <c r="D832" s="307"/>
      <c r="E832" s="307"/>
      <c r="F832" s="307"/>
      <c r="G832" s="305"/>
      <c r="H832" s="305"/>
      <c r="I832" s="307"/>
      <c r="J832" s="305"/>
    </row>
    <row r="833" spans="1:10" ht="11.25">
      <c r="A833" s="305"/>
      <c r="B833" s="306"/>
      <c r="C833" s="306"/>
      <c r="D833" s="307"/>
      <c r="E833" s="307"/>
      <c r="F833" s="307"/>
      <c r="G833" s="305"/>
      <c r="H833" s="305"/>
      <c r="I833" s="307"/>
      <c r="J833" s="305"/>
    </row>
    <row r="834" spans="1:10" ht="11.25">
      <c r="A834" s="305"/>
      <c r="B834" s="306"/>
      <c r="C834" s="306"/>
      <c r="D834" s="307"/>
      <c r="E834" s="307"/>
      <c r="F834" s="307"/>
      <c r="G834" s="305"/>
      <c r="H834" s="305"/>
      <c r="I834" s="307"/>
      <c r="J834" s="305"/>
    </row>
    <row r="835" spans="1:10" ht="11.25">
      <c r="A835" s="305"/>
      <c r="B835" s="306"/>
      <c r="C835" s="306"/>
      <c r="D835" s="307"/>
      <c r="E835" s="307"/>
      <c r="F835" s="307"/>
      <c r="G835" s="305"/>
      <c r="H835" s="305"/>
      <c r="I835" s="307"/>
      <c r="J835" s="305"/>
    </row>
    <row r="836" spans="1:10" ht="11.25">
      <c r="A836" s="305"/>
      <c r="B836" s="306"/>
      <c r="C836" s="306"/>
      <c r="D836" s="307"/>
      <c r="E836" s="307"/>
      <c r="F836" s="307"/>
      <c r="G836" s="305"/>
      <c r="H836" s="305"/>
      <c r="I836" s="307"/>
      <c r="J836" s="305"/>
    </row>
    <row r="837" spans="1:10" ht="11.25">
      <c r="A837" s="305"/>
      <c r="B837" s="306"/>
      <c r="C837" s="306"/>
      <c r="D837" s="307"/>
      <c r="E837" s="307"/>
      <c r="F837" s="307"/>
      <c r="G837" s="305"/>
      <c r="H837" s="305"/>
      <c r="I837" s="307"/>
      <c r="J837" s="305"/>
    </row>
    <row r="838" spans="1:10" ht="11.25">
      <c r="A838" s="305"/>
      <c r="B838" s="306"/>
      <c r="C838" s="306"/>
      <c r="D838" s="307"/>
      <c r="E838" s="307"/>
      <c r="F838" s="307"/>
      <c r="G838" s="305"/>
      <c r="H838" s="305"/>
      <c r="I838" s="307"/>
      <c r="J838" s="305"/>
    </row>
    <row r="839" spans="1:10" ht="11.25">
      <c r="A839" s="305"/>
      <c r="B839" s="306"/>
      <c r="C839" s="306"/>
      <c r="D839" s="307"/>
      <c r="E839" s="307"/>
      <c r="F839" s="307"/>
      <c r="G839" s="305"/>
      <c r="H839" s="305"/>
      <c r="I839" s="307"/>
      <c r="J839" s="305"/>
    </row>
    <row r="840" spans="1:10" ht="11.25">
      <c r="A840" s="305"/>
      <c r="B840" s="306"/>
      <c r="C840" s="306"/>
      <c r="D840" s="307"/>
      <c r="E840" s="307"/>
      <c r="F840" s="307"/>
      <c r="G840" s="305"/>
      <c r="H840" s="305"/>
      <c r="I840" s="307"/>
      <c r="J840" s="305"/>
    </row>
    <row r="841" spans="1:10" ht="11.25">
      <c r="A841" s="305"/>
      <c r="B841" s="306"/>
      <c r="C841" s="306"/>
      <c r="D841" s="307"/>
      <c r="E841" s="307"/>
      <c r="F841" s="307"/>
      <c r="G841" s="305"/>
      <c r="H841" s="305"/>
      <c r="I841" s="307"/>
      <c r="J841" s="305"/>
    </row>
    <row r="842" spans="1:10" ht="11.25">
      <c r="A842" s="305"/>
      <c r="B842" s="306"/>
      <c r="C842" s="306"/>
      <c r="D842" s="307"/>
      <c r="E842" s="307"/>
      <c r="F842" s="307"/>
      <c r="G842" s="305"/>
      <c r="H842" s="305"/>
      <c r="I842" s="307"/>
      <c r="J842" s="305"/>
    </row>
    <row r="843" spans="1:10" ht="11.25">
      <c r="A843" s="305"/>
      <c r="B843" s="306"/>
      <c r="C843" s="306"/>
      <c r="D843" s="307"/>
      <c r="E843" s="307"/>
      <c r="F843" s="307"/>
      <c r="G843" s="305"/>
      <c r="H843" s="305"/>
      <c r="I843" s="307"/>
      <c r="J843" s="305"/>
    </row>
    <row r="844" spans="1:10" ht="11.25">
      <c r="A844" s="305"/>
      <c r="B844" s="306"/>
      <c r="C844" s="306"/>
      <c r="D844" s="307"/>
      <c r="E844" s="307"/>
      <c r="F844" s="307"/>
      <c r="G844" s="305"/>
      <c r="H844" s="305"/>
      <c r="I844" s="307"/>
      <c r="J844" s="305"/>
    </row>
    <row r="845" spans="1:10" ht="11.25">
      <c r="A845" s="305"/>
      <c r="B845" s="306"/>
      <c r="C845" s="306"/>
      <c r="D845" s="307"/>
      <c r="E845" s="307"/>
      <c r="F845" s="307"/>
      <c r="G845" s="305"/>
      <c r="H845" s="305"/>
      <c r="I845" s="307"/>
      <c r="J845" s="305"/>
    </row>
    <row r="846" spans="1:10" ht="11.25">
      <c r="A846" s="305"/>
      <c r="B846" s="306"/>
      <c r="C846" s="306"/>
      <c r="D846" s="307"/>
      <c r="E846" s="307"/>
      <c r="F846" s="307"/>
      <c r="G846" s="305"/>
      <c r="H846" s="305"/>
      <c r="I846" s="307"/>
      <c r="J846" s="305"/>
    </row>
    <row r="847" spans="1:10" ht="11.25">
      <c r="A847" s="305"/>
      <c r="B847" s="306"/>
      <c r="C847" s="306"/>
      <c r="D847" s="307"/>
      <c r="E847" s="307"/>
      <c r="F847" s="307"/>
      <c r="G847" s="305"/>
      <c r="H847" s="305"/>
      <c r="I847" s="307"/>
      <c r="J847" s="305"/>
    </row>
    <row r="848" spans="1:10" ht="11.25">
      <c r="A848" s="305"/>
      <c r="B848" s="306"/>
      <c r="C848" s="306"/>
      <c r="D848" s="307"/>
      <c r="E848" s="307"/>
      <c r="F848" s="307"/>
      <c r="G848" s="305"/>
      <c r="H848" s="305"/>
      <c r="I848" s="307"/>
      <c r="J848" s="305"/>
    </row>
    <row r="849" spans="1:10" ht="11.25">
      <c r="A849" s="305"/>
      <c r="B849" s="306"/>
      <c r="C849" s="306"/>
      <c r="D849" s="307"/>
      <c r="E849" s="307"/>
      <c r="F849" s="307"/>
      <c r="G849" s="305"/>
      <c r="H849" s="305"/>
      <c r="I849" s="307"/>
      <c r="J849" s="305"/>
    </row>
    <row r="850" spans="1:10" ht="11.25">
      <c r="A850" s="305"/>
      <c r="B850" s="306"/>
      <c r="C850" s="306"/>
      <c r="D850" s="307"/>
      <c r="E850" s="307"/>
      <c r="F850" s="307"/>
      <c r="G850" s="305"/>
      <c r="H850" s="305"/>
      <c r="I850" s="307"/>
      <c r="J850" s="305"/>
    </row>
    <row r="851" spans="1:10" ht="11.25">
      <c r="A851" s="305"/>
      <c r="B851" s="306"/>
      <c r="C851" s="306"/>
      <c r="D851" s="307"/>
      <c r="E851" s="307"/>
      <c r="F851" s="307"/>
      <c r="G851" s="305"/>
      <c r="H851" s="305"/>
      <c r="I851" s="307"/>
      <c r="J851" s="305"/>
    </row>
    <row r="852" spans="1:10" ht="11.25">
      <c r="A852" s="305"/>
      <c r="B852" s="306"/>
      <c r="C852" s="306"/>
      <c r="D852" s="307"/>
      <c r="E852" s="307"/>
      <c r="F852" s="307"/>
      <c r="G852" s="305"/>
      <c r="H852" s="305"/>
      <c r="I852" s="307"/>
      <c r="J852" s="305"/>
    </row>
    <row r="853" spans="1:10" ht="11.25">
      <c r="A853" s="305"/>
      <c r="B853" s="306"/>
      <c r="C853" s="306"/>
      <c r="D853" s="307"/>
      <c r="E853" s="307"/>
      <c r="F853" s="307"/>
      <c r="G853" s="305"/>
      <c r="H853" s="305"/>
      <c r="I853" s="307"/>
      <c r="J853" s="305"/>
    </row>
    <row r="854" spans="1:10" ht="11.25">
      <c r="A854" s="305"/>
      <c r="B854" s="306"/>
      <c r="C854" s="306"/>
      <c r="D854" s="307"/>
      <c r="E854" s="307"/>
      <c r="F854" s="307"/>
      <c r="G854" s="305"/>
      <c r="H854" s="305"/>
      <c r="I854" s="307"/>
      <c r="J854" s="305"/>
    </row>
    <row r="855" spans="1:10" ht="11.25">
      <c r="A855" s="305"/>
      <c r="B855" s="306"/>
      <c r="C855" s="306"/>
      <c r="D855" s="307"/>
      <c r="E855" s="307"/>
      <c r="F855" s="307"/>
      <c r="G855" s="305"/>
      <c r="H855" s="305"/>
      <c r="I855" s="307"/>
      <c r="J855" s="305"/>
    </row>
    <row r="856" spans="1:10" ht="11.25">
      <c r="A856" s="305"/>
      <c r="B856" s="306"/>
      <c r="C856" s="306"/>
      <c r="D856" s="307"/>
      <c r="E856" s="307"/>
      <c r="F856" s="307"/>
      <c r="G856" s="305"/>
      <c r="H856" s="305"/>
      <c r="I856" s="307"/>
      <c r="J856" s="305"/>
    </row>
    <row r="857" spans="1:10" ht="11.25">
      <c r="A857" s="305"/>
      <c r="B857" s="306"/>
      <c r="C857" s="306"/>
      <c r="D857" s="307"/>
      <c r="E857" s="307"/>
      <c r="F857" s="307"/>
      <c r="G857" s="305"/>
      <c r="H857" s="305"/>
      <c r="I857" s="307"/>
      <c r="J857" s="305"/>
    </row>
    <row r="858" spans="1:10" ht="11.25">
      <c r="A858" s="305"/>
      <c r="B858" s="306"/>
      <c r="C858" s="306"/>
      <c r="D858" s="307"/>
      <c r="E858" s="307"/>
      <c r="F858" s="307"/>
      <c r="G858" s="305"/>
      <c r="H858" s="305"/>
      <c r="I858" s="307"/>
      <c r="J858" s="305"/>
    </row>
    <row r="859" spans="1:10" ht="11.25">
      <c r="A859" s="305"/>
      <c r="B859" s="306"/>
      <c r="C859" s="306"/>
      <c r="D859" s="307"/>
      <c r="E859" s="307"/>
      <c r="F859" s="307"/>
      <c r="G859" s="305"/>
      <c r="H859" s="305"/>
      <c r="I859" s="307"/>
      <c r="J859" s="305"/>
    </row>
    <row r="860" spans="1:10" ht="11.25">
      <c r="A860" s="305"/>
      <c r="B860" s="306"/>
      <c r="C860" s="306"/>
      <c r="D860" s="307"/>
      <c r="E860" s="307"/>
      <c r="F860" s="307"/>
      <c r="G860" s="305"/>
      <c r="H860" s="305"/>
      <c r="I860" s="307"/>
      <c r="J860" s="305"/>
    </row>
    <row r="861" spans="1:10" ht="11.25">
      <c r="A861" s="305"/>
      <c r="B861" s="306"/>
      <c r="C861" s="306"/>
      <c r="D861" s="307"/>
      <c r="E861" s="307"/>
      <c r="F861" s="307"/>
      <c r="G861" s="305"/>
      <c r="H861" s="305"/>
      <c r="I861" s="307"/>
      <c r="J861" s="305"/>
    </row>
    <row r="862" spans="1:10" ht="11.25">
      <c r="A862" s="305"/>
      <c r="B862" s="306"/>
      <c r="C862" s="306"/>
      <c r="D862" s="307"/>
      <c r="E862" s="307"/>
      <c r="F862" s="307"/>
      <c r="G862" s="305"/>
      <c r="H862" s="305"/>
      <c r="I862" s="307"/>
      <c r="J862" s="305"/>
    </row>
    <row r="863" spans="1:10" ht="11.25">
      <c r="A863" s="305"/>
      <c r="B863" s="306"/>
      <c r="C863" s="306"/>
      <c r="D863" s="307"/>
      <c r="E863" s="307"/>
      <c r="F863" s="307"/>
      <c r="G863" s="305"/>
      <c r="H863" s="305"/>
      <c r="I863" s="307"/>
      <c r="J863" s="305"/>
    </row>
    <row r="864" spans="1:10" ht="11.25">
      <c r="A864" s="305"/>
      <c r="B864" s="306"/>
      <c r="C864" s="306"/>
      <c r="D864" s="307"/>
      <c r="E864" s="307"/>
      <c r="F864" s="307"/>
      <c r="G864" s="305"/>
      <c r="H864" s="305"/>
      <c r="I864" s="307"/>
      <c r="J864" s="305"/>
    </row>
    <row r="865" spans="1:10" ht="11.25">
      <c r="A865" s="305"/>
      <c r="B865" s="306"/>
      <c r="C865" s="306"/>
      <c r="D865" s="307"/>
      <c r="E865" s="307"/>
      <c r="F865" s="307"/>
      <c r="G865" s="305"/>
      <c r="H865" s="305"/>
      <c r="I865" s="307"/>
      <c r="J865" s="305"/>
    </row>
    <row r="866" spans="1:10" ht="11.25">
      <c r="A866" s="305"/>
      <c r="B866" s="306"/>
      <c r="C866" s="306"/>
      <c r="D866" s="307"/>
      <c r="E866" s="307"/>
      <c r="F866" s="307"/>
      <c r="G866" s="305"/>
      <c r="H866" s="305"/>
      <c r="I866" s="307"/>
      <c r="J866" s="305"/>
    </row>
    <row r="867" spans="1:10" ht="11.25">
      <c r="A867" s="305"/>
      <c r="B867" s="306"/>
      <c r="C867" s="306"/>
      <c r="D867" s="307"/>
      <c r="E867" s="307"/>
      <c r="F867" s="307"/>
      <c r="G867" s="305"/>
      <c r="H867" s="305"/>
      <c r="I867" s="307"/>
      <c r="J867" s="305"/>
    </row>
    <row r="868" spans="1:10" ht="11.25">
      <c r="A868" s="305"/>
      <c r="B868" s="306"/>
      <c r="C868" s="306"/>
      <c r="D868" s="307"/>
      <c r="E868" s="307"/>
      <c r="F868" s="307"/>
      <c r="G868" s="305"/>
      <c r="H868" s="305"/>
      <c r="I868" s="307"/>
      <c r="J868" s="305"/>
    </row>
    <row r="869" spans="1:10" ht="11.25">
      <c r="A869" s="305"/>
      <c r="B869" s="306"/>
      <c r="C869" s="306"/>
      <c r="D869" s="307"/>
      <c r="E869" s="307"/>
      <c r="F869" s="307"/>
      <c r="G869" s="305"/>
      <c r="H869" s="305"/>
      <c r="I869" s="307"/>
      <c r="J869" s="305"/>
    </row>
    <row r="870" spans="1:10" ht="11.25">
      <c r="A870" s="305"/>
      <c r="B870" s="306"/>
      <c r="C870" s="306"/>
      <c r="D870" s="307"/>
      <c r="E870" s="307"/>
      <c r="F870" s="307"/>
      <c r="G870" s="305"/>
      <c r="H870" s="305"/>
      <c r="I870" s="307"/>
      <c r="J870" s="305"/>
    </row>
    <row r="871" spans="1:10" ht="11.25">
      <c r="A871" s="305"/>
      <c r="B871" s="306"/>
      <c r="C871" s="306"/>
      <c r="D871" s="307"/>
      <c r="E871" s="307"/>
      <c r="F871" s="307"/>
      <c r="G871" s="305"/>
      <c r="H871" s="305"/>
      <c r="I871" s="307"/>
      <c r="J871" s="305"/>
    </row>
    <row r="872" spans="1:10" ht="11.25">
      <c r="A872" s="305"/>
      <c r="B872" s="306"/>
      <c r="C872" s="306"/>
      <c r="D872" s="307"/>
      <c r="E872" s="307"/>
      <c r="F872" s="307"/>
      <c r="G872" s="305"/>
      <c r="H872" s="305"/>
      <c r="I872" s="307"/>
      <c r="J872" s="305"/>
    </row>
    <row r="873" spans="1:10" ht="11.25">
      <c r="A873" s="305"/>
      <c r="B873" s="306"/>
      <c r="C873" s="306"/>
      <c r="D873" s="307"/>
      <c r="E873" s="307"/>
      <c r="F873" s="307"/>
      <c r="G873" s="305"/>
      <c r="H873" s="305"/>
      <c r="I873" s="307"/>
      <c r="J873" s="305"/>
    </row>
    <row r="874" spans="1:10" ht="11.25">
      <c r="A874" s="305"/>
      <c r="B874" s="306"/>
      <c r="C874" s="306"/>
      <c r="D874" s="307"/>
      <c r="E874" s="307"/>
      <c r="F874" s="307"/>
      <c r="G874" s="305"/>
      <c r="H874" s="305"/>
      <c r="I874" s="307"/>
      <c r="J874" s="305"/>
    </row>
    <row r="875" spans="1:10" ht="11.25">
      <c r="A875" s="305"/>
      <c r="B875" s="306"/>
      <c r="C875" s="306"/>
      <c r="D875" s="307"/>
      <c r="E875" s="307"/>
      <c r="F875" s="307"/>
      <c r="G875" s="305"/>
      <c r="H875" s="305"/>
      <c r="I875" s="307"/>
      <c r="J875" s="305"/>
    </row>
    <row r="876" spans="1:10" ht="11.25">
      <c r="A876" s="305"/>
      <c r="B876" s="306"/>
      <c r="C876" s="306"/>
      <c r="D876" s="307"/>
      <c r="E876" s="307"/>
      <c r="F876" s="307"/>
      <c r="G876" s="305"/>
      <c r="H876" s="305"/>
      <c r="I876" s="307"/>
      <c r="J876" s="305"/>
    </row>
    <row r="877" spans="1:10" ht="11.25">
      <c r="A877" s="305"/>
      <c r="B877" s="306"/>
      <c r="C877" s="306"/>
      <c r="D877" s="307"/>
      <c r="E877" s="307"/>
      <c r="F877" s="307"/>
      <c r="G877" s="305"/>
      <c r="H877" s="305"/>
      <c r="I877" s="307"/>
      <c r="J877" s="305"/>
    </row>
    <row r="878" spans="1:10" ht="11.25">
      <c r="A878" s="305"/>
      <c r="B878" s="306"/>
      <c r="C878" s="306"/>
      <c r="D878" s="307"/>
      <c r="E878" s="307"/>
      <c r="F878" s="307"/>
      <c r="G878" s="305"/>
      <c r="H878" s="305"/>
      <c r="I878" s="307"/>
      <c r="J878" s="305"/>
    </row>
    <row r="879" spans="1:10" ht="11.25">
      <c r="A879" s="305"/>
      <c r="B879" s="306"/>
      <c r="C879" s="306"/>
      <c r="D879" s="307"/>
      <c r="E879" s="307"/>
      <c r="F879" s="307"/>
      <c r="G879" s="305"/>
      <c r="H879" s="305"/>
      <c r="I879" s="307"/>
      <c r="J879" s="305"/>
    </row>
    <row r="880" spans="1:10" ht="11.25">
      <c r="A880" s="305"/>
      <c r="B880" s="306"/>
      <c r="C880" s="306"/>
      <c r="D880" s="307"/>
      <c r="E880" s="307"/>
      <c r="F880" s="307"/>
      <c r="G880" s="305"/>
      <c r="H880" s="305"/>
      <c r="I880" s="307"/>
      <c r="J880" s="305"/>
    </row>
    <row r="881" spans="1:10" ht="11.25">
      <c r="A881" s="305"/>
      <c r="B881" s="306"/>
      <c r="C881" s="306"/>
      <c r="D881" s="307"/>
      <c r="E881" s="307"/>
      <c r="F881" s="307"/>
      <c r="G881" s="305"/>
      <c r="H881" s="305"/>
      <c r="I881" s="307"/>
      <c r="J881" s="305"/>
    </row>
    <row r="882" spans="1:10" ht="11.25">
      <c r="A882" s="305"/>
      <c r="B882" s="306"/>
      <c r="C882" s="306"/>
      <c r="D882" s="307"/>
      <c r="E882" s="307"/>
      <c r="F882" s="307"/>
      <c r="G882" s="305"/>
      <c r="H882" s="305"/>
      <c r="I882" s="307"/>
      <c r="J882" s="305"/>
    </row>
    <row r="883" spans="1:10" ht="11.25">
      <c r="A883" s="305"/>
      <c r="B883" s="306"/>
      <c r="C883" s="306"/>
      <c r="D883" s="307"/>
      <c r="E883" s="307"/>
      <c r="F883" s="307"/>
      <c r="G883" s="305"/>
      <c r="H883" s="305"/>
      <c r="I883" s="307"/>
      <c r="J883" s="305"/>
    </row>
    <row r="884" spans="1:10" ht="11.25">
      <c r="A884" s="305"/>
      <c r="B884" s="306"/>
      <c r="C884" s="306"/>
      <c r="D884" s="307"/>
      <c r="E884" s="307"/>
      <c r="F884" s="307"/>
      <c r="G884" s="305"/>
      <c r="H884" s="305"/>
      <c r="I884" s="307"/>
      <c r="J884" s="305"/>
    </row>
    <row r="885" spans="1:10" ht="11.25">
      <c r="A885" s="305"/>
      <c r="B885" s="306"/>
      <c r="C885" s="306"/>
      <c r="D885" s="307"/>
      <c r="E885" s="307"/>
      <c r="F885" s="307"/>
      <c r="G885" s="305"/>
      <c r="H885" s="305"/>
      <c r="I885" s="307"/>
      <c r="J885" s="305"/>
    </row>
    <row r="886" spans="1:10" ht="11.25">
      <c r="A886" s="305"/>
      <c r="B886" s="306"/>
      <c r="C886" s="306"/>
      <c r="D886" s="307"/>
      <c r="E886" s="307"/>
      <c r="F886" s="307"/>
      <c r="G886" s="305"/>
      <c r="H886" s="305"/>
      <c r="I886" s="307"/>
      <c r="J886" s="305"/>
    </row>
    <row r="887" spans="1:10" ht="11.25">
      <c r="A887" s="305"/>
      <c r="B887" s="306"/>
      <c r="C887" s="306"/>
      <c r="D887" s="307"/>
      <c r="E887" s="307"/>
      <c r="F887" s="307"/>
      <c r="G887" s="305"/>
      <c r="H887" s="305"/>
      <c r="I887" s="307"/>
      <c r="J887" s="305"/>
    </row>
    <row r="888" spans="1:10" ht="11.25">
      <c r="A888" s="305"/>
      <c r="B888" s="306"/>
      <c r="C888" s="306"/>
      <c r="D888" s="307"/>
      <c r="E888" s="307"/>
      <c r="F888" s="307"/>
      <c r="G888" s="305"/>
      <c r="H888" s="305"/>
      <c r="I888" s="307"/>
      <c r="J888" s="305"/>
    </row>
    <row r="889" spans="1:10" ht="11.25">
      <c r="A889" s="305"/>
      <c r="B889" s="306"/>
      <c r="C889" s="306"/>
      <c r="D889" s="307"/>
      <c r="E889" s="307"/>
      <c r="F889" s="307"/>
      <c r="G889" s="305"/>
      <c r="H889" s="305"/>
      <c r="I889" s="307"/>
      <c r="J889" s="305"/>
    </row>
    <row r="890" spans="1:10" ht="11.25">
      <c r="A890" s="305"/>
      <c r="B890" s="306"/>
      <c r="C890" s="306"/>
      <c r="D890" s="307"/>
      <c r="E890" s="307"/>
      <c r="F890" s="307"/>
      <c r="G890" s="305"/>
      <c r="H890" s="305"/>
      <c r="I890" s="307"/>
      <c r="J890" s="305"/>
    </row>
    <row r="891" spans="1:10" ht="11.25">
      <c r="A891" s="305"/>
      <c r="B891" s="306"/>
      <c r="C891" s="306"/>
      <c r="D891" s="307"/>
      <c r="E891" s="307"/>
      <c r="F891" s="307"/>
      <c r="G891" s="305"/>
      <c r="H891" s="305"/>
      <c r="I891" s="307"/>
      <c r="J891" s="305"/>
    </row>
    <row r="892" spans="1:10" ht="11.25">
      <c r="A892" s="305"/>
      <c r="B892" s="306"/>
      <c r="C892" s="306"/>
      <c r="D892" s="307"/>
      <c r="E892" s="307"/>
      <c r="F892" s="307"/>
      <c r="G892" s="305"/>
      <c r="H892" s="305"/>
      <c r="I892" s="307"/>
      <c r="J892" s="305"/>
    </row>
    <row r="893" spans="1:10" ht="11.25">
      <c r="A893" s="305"/>
      <c r="B893" s="306"/>
      <c r="C893" s="306"/>
      <c r="D893" s="307"/>
      <c r="E893" s="307"/>
      <c r="F893" s="307"/>
      <c r="G893" s="305"/>
      <c r="H893" s="305"/>
      <c r="I893" s="307"/>
      <c r="J893" s="305"/>
    </row>
    <row r="894" spans="1:10" ht="11.25">
      <c r="A894" s="305"/>
      <c r="B894" s="306"/>
      <c r="C894" s="306"/>
      <c r="D894" s="307"/>
      <c r="E894" s="307"/>
      <c r="F894" s="307"/>
      <c r="G894" s="305"/>
      <c r="H894" s="305"/>
      <c r="I894" s="307"/>
      <c r="J894" s="305"/>
    </row>
    <row r="895" spans="1:10" ht="11.25">
      <c r="A895" s="305"/>
      <c r="B895" s="306"/>
      <c r="C895" s="306"/>
      <c r="D895" s="307"/>
      <c r="E895" s="307"/>
      <c r="F895" s="307"/>
      <c r="G895" s="305"/>
      <c r="H895" s="305"/>
      <c r="I895" s="307"/>
      <c r="J895" s="305"/>
    </row>
    <row r="896" spans="1:10" ht="11.25">
      <c r="A896" s="305"/>
      <c r="B896" s="306"/>
      <c r="C896" s="306"/>
      <c r="D896" s="307"/>
      <c r="E896" s="307"/>
      <c r="F896" s="307"/>
      <c r="G896" s="305"/>
      <c r="H896" s="305"/>
      <c r="I896" s="307"/>
      <c r="J896" s="305"/>
    </row>
    <row r="897" spans="1:10" ht="11.25">
      <c r="A897" s="305"/>
      <c r="B897" s="306"/>
      <c r="C897" s="306"/>
      <c r="D897" s="307"/>
      <c r="E897" s="307"/>
      <c r="F897" s="307"/>
      <c r="G897" s="305"/>
      <c r="H897" s="305"/>
      <c r="I897" s="307"/>
      <c r="J897" s="305"/>
    </row>
    <row r="898" spans="1:10" ht="11.25">
      <c r="A898" s="305"/>
      <c r="B898" s="306"/>
      <c r="C898" s="306"/>
      <c r="D898" s="307"/>
      <c r="E898" s="307"/>
      <c r="F898" s="307"/>
      <c r="G898" s="305"/>
      <c r="H898" s="305"/>
      <c r="I898" s="307"/>
      <c r="J898" s="305"/>
    </row>
    <row r="899" spans="1:10" ht="11.25">
      <c r="A899" s="305"/>
      <c r="B899" s="306"/>
      <c r="C899" s="306"/>
      <c r="D899" s="307"/>
      <c r="E899" s="307"/>
      <c r="F899" s="307"/>
      <c r="G899" s="305"/>
      <c r="H899" s="305"/>
      <c r="I899" s="307"/>
      <c r="J899" s="305"/>
    </row>
    <row r="900" spans="1:10" ht="11.25">
      <c r="A900" s="305"/>
      <c r="B900" s="306"/>
      <c r="C900" s="306"/>
      <c r="D900" s="307"/>
      <c r="E900" s="307"/>
      <c r="F900" s="307"/>
      <c r="G900" s="305"/>
      <c r="H900" s="305"/>
      <c r="I900" s="307"/>
      <c r="J900" s="305"/>
    </row>
    <row r="901" spans="1:10" ht="11.25">
      <c r="A901" s="305"/>
      <c r="B901" s="306"/>
      <c r="C901" s="306"/>
      <c r="D901" s="307"/>
      <c r="E901" s="307"/>
      <c r="F901" s="307"/>
      <c r="G901" s="305"/>
      <c r="H901" s="305"/>
      <c r="I901" s="307"/>
      <c r="J901" s="305"/>
    </row>
    <row r="902" spans="1:10" ht="11.25">
      <c r="A902" s="305"/>
      <c r="B902" s="306"/>
      <c r="C902" s="306"/>
      <c r="D902" s="307"/>
      <c r="E902" s="307"/>
      <c r="F902" s="307"/>
      <c r="G902" s="305"/>
      <c r="H902" s="305"/>
      <c r="I902" s="307"/>
      <c r="J902" s="305"/>
    </row>
    <row r="903" spans="1:10" ht="11.25">
      <c r="A903" s="305"/>
      <c r="B903" s="306"/>
      <c r="C903" s="306"/>
      <c r="D903" s="307"/>
      <c r="E903" s="307"/>
      <c r="F903" s="307"/>
      <c r="G903" s="305"/>
      <c r="H903" s="305"/>
      <c r="I903" s="307"/>
      <c r="J903" s="305"/>
    </row>
    <row r="904" spans="1:10" ht="11.25">
      <c r="A904" s="305"/>
      <c r="B904" s="306"/>
      <c r="C904" s="306"/>
      <c r="D904" s="307"/>
      <c r="E904" s="307"/>
      <c r="F904" s="307"/>
      <c r="G904" s="305"/>
      <c r="H904" s="305"/>
      <c r="I904" s="307"/>
      <c r="J904" s="305"/>
    </row>
    <row r="905" spans="1:10" ht="11.25">
      <c r="A905" s="305"/>
      <c r="B905" s="306"/>
      <c r="C905" s="306"/>
      <c r="D905" s="307"/>
      <c r="E905" s="307"/>
      <c r="F905" s="307"/>
      <c r="G905" s="305"/>
      <c r="H905" s="305"/>
      <c r="I905" s="307"/>
      <c r="J905" s="305"/>
    </row>
    <row r="906" spans="1:10" ht="11.25">
      <c r="A906" s="305"/>
      <c r="B906" s="306"/>
      <c r="C906" s="306"/>
      <c r="D906" s="307"/>
      <c r="E906" s="307"/>
      <c r="F906" s="307"/>
      <c r="G906" s="305"/>
      <c r="H906" s="305"/>
      <c r="I906" s="307"/>
      <c r="J906" s="305"/>
    </row>
    <row r="907" spans="1:10" ht="11.25">
      <c r="A907" s="305"/>
      <c r="B907" s="306"/>
      <c r="C907" s="306"/>
      <c r="D907" s="307"/>
      <c r="E907" s="307"/>
      <c r="F907" s="307"/>
      <c r="G907" s="305"/>
      <c r="H907" s="305"/>
      <c r="I907" s="307"/>
      <c r="J907" s="305"/>
    </row>
    <row r="908" spans="1:10" ht="11.25">
      <c r="A908" s="305"/>
      <c r="B908" s="306"/>
      <c r="C908" s="306"/>
      <c r="D908" s="307"/>
      <c r="E908" s="307"/>
      <c r="F908" s="307"/>
      <c r="G908" s="305"/>
      <c r="H908" s="305"/>
      <c r="I908" s="307"/>
      <c r="J908" s="305"/>
    </row>
    <row r="909" spans="1:10" ht="11.25">
      <c r="A909" s="305"/>
      <c r="B909" s="306"/>
      <c r="C909" s="306"/>
      <c r="D909" s="307"/>
      <c r="E909" s="307"/>
      <c r="F909" s="307"/>
      <c r="G909" s="305"/>
      <c r="H909" s="305"/>
      <c r="I909" s="307"/>
      <c r="J909" s="305"/>
    </row>
    <row r="910" spans="1:10" ht="11.25">
      <c r="A910" s="305"/>
      <c r="B910" s="306"/>
      <c r="C910" s="306"/>
      <c r="D910" s="307"/>
      <c r="E910" s="307"/>
      <c r="F910" s="307"/>
      <c r="G910" s="305"/>
      <c r="H910" s="305"/>
      <c r="I910" s="307"/>
      <c r="J910" s="305"/>
    </row>
    <row r="911" spans="1:10" ht="11.25">
      <c r="A911" s="305"/>
      <c r="B911" s="306"/>
      <c r="C911" s="306"/>
      <c r="D911" s="307"/>
      <c r="E911" s="307"/>
      <c r="F911" s="307"/>
      <c r="G911" s="305"/>
      <c r="H911" s="305"/>
      <c r="I911" s="307"/>
      <c r="J911" s="305"/>
    </row>
    <row r="912" spans="1:10" ht="11.25">
      <c r="A912" s="305"/>
      <c r="B912" s="306"/>
      <c r="C912" s="306"/>
      <c r="D912" s="307"/>
      <c r="E912" s="307"/>
      <c r="F912" s="307"/>
      <c r="G912" s="305"/>
      <c r="H912" s="305"/>
      <c r="I912" s="307"/>
      <c r="J912" s="305"/>
    </row>
    <row r="913" spans="1:10" ht="11.25">
      <c r="A913" s="305"/>
      <c r="B913" s="306"/>
      <c r="C913" s="306"/>
      <c r="D913" s="307"/>
      <c r="E913" s="307"/>
      <c r="F913" s="307"/>
      <c r="G913" s="305"/>
      <c r="H913" s="305"/>
      <c r="I913" s="307"/>
      <c r="J913" s="305"/>
    </row>
    <row r="914" spans="1:10" ht="11.25">
      <c r="A914" s="305"/>
      <c r="B914" s="306"/>
      <c r="C914" s="306"/>
      <c r="D914" s="307"/>
      <c r="E914" s="307"/>
      <c r="F914" s="307"/>
      <c r="G914" s="305"/>
      <c r="H914" s="305"/>
      <c r="I914" s="307"/>
      <c r="J914" s="305"/>
    </row>
    <row r="915" spans="1:10" ht="11.25">
      <c r="A915" s="305"/>
      <c r="B915" s="306"/>
      <c r="C915" s="306"/>
      <c r="D915" s="307"/>
      <c r="E915" s="307"/>
      <c r="F915" s="307"/>
      <c r="G915" s="305"/>
      <c r="H915" s="305"/>
      <c r="I915" s="307"/>
      <c r="J915" s="305"/>
    </row>
    <row r="916" spans="1:10" ht="11.25">
      <c r="A916" s="305"/>
      <c r="B916" s="306"/>
      <c r="C916" s="306"/>
      <c r="D916" s="307"/>
      <c r="E916" s="307"/>
      <c r="F916" s="307"/>
      <c r="G916" s="305"/>
      <c r="H916" s="305"/>
      <c r="I916" s="307"/>
      <c r="J916" s="305"/>
    </row>
    <row r="917" spans="1:10" ht="11.25">
      <c r="A917" s="305"/>
      <c r="B917" s="306"/>
      <c r="C917" s="306"/>
      <c r="D917" s="307"/>
      <c r="E917" s="307"/>
      <c r="F917" s="307"/>
      <c r="G917" s="305"/>
      <c r="H917" s="305"/>
      <c r="I917" s="307"/>
      <c r="J917" s="305"/>
    </row>
    <row r="918" spans="1:10" ht="11.25">
      <c r="A918" s="305"/>
      <c r="B918" s="306"/>
      <c r="C918" s="306"/>
      <c r="D918" s="307"/>
      <c r="E918" s="307"/>
      <c r="F918" s="307"/>
      <c r="G918" s="305"/>
      <c r="H918" s="305"/>
      <c r="I918" s="307"/>
      <c r="J918" s="305"/>
    </row>
    <row r="919" spans="1:10" ht="11.25">
      <c r="A919" s="305"/>
      <c r="B919" s="306"/>
      <c r="C919" s="306"/>
      <c r="D919" s="307"/>
      <c r="E919" s="307"/>
      <c r="F919" s="307"/>
      <c r="G919" s="305"/>
      <c r="H919" s="305"/>
      <c r="I919" s="307"/>
      <c r="J919" s="305"/>
    </row>
    <row r="920" spans="1:10" ht="11.25">
      <c r="A920" s="305"/>
      <c r="B920" s="306"/>
      <c r="C920" s="306"/>
      <c r="D920" s="307"/>
      <c r="E920" s="307"/>
      <c r="F920" s="307"/>
      <c r="G920" s="305"/>
      <c r="H920" s="305"/>
      <c r="I920" s="307"/>
      <c r="J920" s="305"/>
    </row>
    <row r="921" spans="1:10" ht="11.25">
      <c r="A921" s="305"/>
      <c r="B921" s="306"/>
      <c r="C921" s="306"/>
      <c r="D921" s="307"/>
      <c r="E921" s="307"/>
      <c r="F921" s="307"/>
      <c r="G921" s="305"/>
      <c r="H921" s="305"/>
      <c r="I921" s="307"/>
      <c r="J921" s="305"/>
    </row>
    <row r="922" spans="1:10" ht="11.25">
      <c r="A922" s="305"/>
      <c r="B922" s="306"/>
      <c r="C922" s="306"/>
      <c r="D922" s="307"/>
      <c r="E922" s="307"/>
      <c r="F922" s="307"/>
      <c r="G922" s="305"/>
      <c r="H922" s="305"/>
      <c r="I922" s="307"/>
      <c r="J922" s="305"/>
    </row>
    <row r="923" spans="1:10" ht="11.25">
      <c r="A923" s="305"/>
      <c r="B923" s="306"/>
      <c r="C923" s="306"/>
      <c r="D923" s="307"/>
      <c r="E923" s="307"/>
      <c r="F923" s="307"/>
      <c r="G923" s="305"/>
      <c r="H923" s="305"/>
      <c r="I923" s="307"/>
      <c r="J923" s="305"/>
    </row>
    <row r="924" spans="1:10" ht="11.25">
      <c r="A924" s="305"/>
      <c r="B924" s="306"/>
      <c r="C924" s="306"/>
      <c r="D924" s="307"/>
      <c r="E924" s="307"/>
      <c r="F924" s="307"/>
      <c r="G924" s="305"/>
      <c r="H924" s="305"/>
      <c r="I924" s="307"/>
      <c r="J924" s="305"/>
    </row>
    <row r="925" spans="1:10" ht="11.25">
      <c r="A925" s="305"/>
      <c r="B925" s="306"/>
      <c r="C925" s="306"/>
      <c r="D925" s="307"/>
      <c r="E925" s="307"/>
      <c r="F925" s="307"/>
      <c r="G925" s="305"/>
      <c r="H925" s="305"/>
      <c r="I925" s="307"/>
      <c r="J925" s="305"/>
    </row>
    <row r="926" spans="1:10" ht="11.25">
      <c r="A926" s="305"/>
      <c r="B926" s="306"/>
      <c r="C926" s="306"/>
      <c r="D926" s="307"/>
      <c r="E926" s="307"/>
      <c r="F926" s="307"/>
      <c r="G926" s="305"/>
      <c r="H926" s="305"/>
      <c r="I926" s="307"/>
      <c r="J926" s="305"/>
    </row>
    <row r="927" spans="1:10" ht="11.25">
      <c r="A927" s="305"/>
      <c r="B927" s="306"/>
      <c r="C927" s="306"/>
      <c r="D927" s="307"/>
      <c r="E927" s="307"/>
      <c r="F927" s="307"/>
      <c r="G927" s="305"/>
      <c r="H927" s="305"/>
      <c r="I927" s="307"/>
      <c r="J927" s="305"/>
    </row>
    <row r="928" spans="1:10" ht="11.25">
      <c r="A928" s="305"/>
      <c r="B928" s="306"/>
      <c r="C928" s="306"/>
      <c r="D928" s="307"/>
      <c r="E928" s="307"/>
      <c r="F928" s="307"/>
      <c r="G928" s="305"/>
      <c r="H928" s="305"/>
      <c r="I928" s="307"/>
      <c r="J928" s="305"/>
    </row>
    <row r="929" spans="1:10" ht="11.25">
      <c r="A929" s="305"/>
      <c r="B929" s="306"/>
      <c r="C929" s="306"/>
      <c r="D929" s="307"/>
      <c r="E929" s="307"/>
      <c r="F929" s="307"/>
      <c r="G929" s="305"/>
      <c r="H929" s="305"/>
      <c r="I929" s="307"/>
      <c r="J929" s="305"/>
    </row>
    <row r="930" spans="1:10" ht="11.25">
      <c r="A930" s="305"/>
      <c r="B930" s="306"/>
      <c r="C930" s="306"/>
      <c r="D930" s="307"/>
      <c r="E930" s="307"/>
      <c r="F930" s="307"/>
      <c r="G930" s="305"/>
      <c r="H930" s="305"/>
      <c r="I930" s="307"/>
      <c r="J930" s="305"/>
    </row>
    <row r="931" spans="1:10" ht="11.25">
      <c r="A931" s="305"/>
      <c r="B931" s="306"/>
      <c r="C931" s="306"/>
      <c r="D931" s="307"/>
      <c r="E931" s="307"/>
      <c r="F931" s="307"/>
      <c r="G931" s="305"/>
      <c r="H931" s="305"/>
      <c r="I931" s="307"/>
      <c r="J931" s="305"/>
    </row>
    <row r="932" spans="1:10" ht="11.25">
      <c r="A932" s="305"/>
      <c r="B932" s="306"/>
      <c r="C932" s="306"/>
      <c r="D932" s="307"/>
      <c r="E932" s="307"/>
      <c r="F932" s="307"/>
      <c r="G932" s="305"/>
      <c r="H932" s="305"/>
      <c r="I932" s="307"/>
      <c r="J932" s="305"/>
    </row>
    <row r="933" spans="1:10" ht="11.25">
      <c r="A933" s="305"/>
      <c r="B933" s="306"/>
      <c r="C933" s="306"/>
      <c r="D933" s="307"/>
      <c r="E933" s="307"/>
      <c r="F933" s="307"/>
      <c r="G933" s="305"/>
      <c r="H933" s="305"/>
      <c r="I933" s="307"/>
      <c r="J933" s="305"/>
    </row>
    <row r="934" spans="1:10" ht="11.25">
      <c r="A934" s="305"/>
      <c r="B934" s="306"/>
      <c r="C934" s="306"/>
      <c r="D934" s="307"/>
      <c r="E934" s="307"/>
      <c r="F934" s="307"/>
      <c r="G934" s="305"/>
      <c r="H934" s="305"/>
      <c r="I934" s="307"/>
      <c r="J934" s="305"/>
    </row>
    <row r="935" spans="1:10" ht="11.25">
      <c r="A935" s="305"/>
      <c r="B935" s="306"/>
      <c r="C935" s="306"/>
      <c r="D935" s="307"/>
      <c r="E935" s="307"/>
      <c r="F935" s="307"/>
      <c r="G935" s="305"/>
      <c r="H935" s="305"/>
      <c r="I935" s="307"/>
      <c r="J935" s="305"/>
    </row>
    <row r="936" spans="1:10" ht="11.25">
      <c r="A936" s="305"/>
      <c r="B936" s="306"/>
      <c r="C936" s="306"/>
      <c r="D936" s="307"/>
      <c r="E936" s="307"/>
      <c r="F936" s="307"/>
      <c r="G936" s="305"/>
      <c r="H936" s="305"/>
      <c r="I936" s="307"/>
      <c r="J936" s="305"/>
    </row>
    <row r="937" spans="1:10" ht="11.25">
      <c r="A937" s="305"/>
      <c r="B937" s="306"/>
      <c r="C937" s="306"/>
      <c r="D937" s="307"/>
      <c r="E937" s="307"/>
      <c r="F937" s="307"/>
      <c r="G937" s="305"/>
      <c r="H937" s="305"/>
      <c r="I937" s="307"/>
      <c r="J937" s="305"/>
    </row>
    <row r="938" spans="1:10" ht="11.25">
      <c r="A938" s="305"/>
      <c r="B938" s="306"/>
      <c r="C938" s="306"/>
      <c r="D938" s="307"/>
      <c r="E938" s="307"/>
      <c r="F938" s="307"/>
      <c r="G938" s="305"/>
      <c r="H938" s="305"/>
      <c r="I938" s="307"/>
      <c r="J938" s="305"/>
    </row>
    <row r="939" spans="1:10" ht="11.25">
      <c r="A939" s="305"/>
      <c r="B939" s="306"/>
      <c r="C939" s="306"/>
      <c r="D939" s="307"/>
      <c r="E939" s="307"/>
      <c r="F939" s="307"/>
      <c r="G939" s="305"/>
      <c r="H939" s="305"/>
      <c r="I939" s="307"/>
      <c r="J939" s="305"/>
    </row>
    <row r="940" spans="1:10" ht="11.25">
      <c r="A940" s="305"/>
      <c r="B940" s="306"/>
      <c r="C940" s="306"/>
      <c r="D940" s="307"/>
      <c r="E940" s="307"/>
      <c r="F940" s="307"/>
      <c r="G940" s="305"/>
      <c r="H940" s="305"/>
      <c r="I940" s="307"/>
      <c r="J940" s="305"/>
    </row>
    <row r="941" spans="1:10" ht="11.25">
      <c r="A941" s="305"/>
      <c r="B941" s="306"/>
      <c r="C941" s="306"/>
      <c r="D941" s="307"/>
      <c r="E941" s="307"/>
      <c r="F941" s="307"/>
      <c r="G941" s="305"/>
      <c r="H941" s="305"/>
      <c r="I941" s="307"/>
      <c r="J941" s="305"/>
    </row>
    <row r="942" spans="1:10" ht="11.25">
      <c r="A942" s="305"/>
      <c r="B942" s="306"/>
      <c r="C942" s="306"/>
      <c r="D942" s="307"/>
      <c r="E942" s="307"/>
      <c r="F942" s="307"/>
      <c r="G942" s="305"/>
      <c r="H942" s="305"/>
      <c r="I942" s="307"/>
      <c r="J942" s="305"/>
    </row>
    <row r="943" spans="1:10" ht="11.25">
      <c r="A943" s="305"/>
      <c r="B943" s="306"/>
      <c r="C943" s="306"/>
      <c r="D943" s="307"/>
      <c r="E943" s="307"/>
      <c r="F943" s="307"/>
      <c r="G943" s="305"/>
      <c r="H943" s="305"/>
      <c r="I943" s="307"/>
      <c r="J943" s="305"/>
    </row>
    <row r="944" spans="1:10" ht="11.25">
      <c r="A944" s="305"/>
      <c r="B944" s="306"/>
      <c r="C944" s="306"/>
      <c r="D944" s="307"/>
      <c r="E944" s="307"/>
      <c r="F944" s="307"/>
      <c r="G944" s="305"/>
      <c r="H944" s="305"/>
      <c r="I944" s="307"/>
      <c r="J944" s="305"/>
    </row>
    <row r="945" spans="1:10" ht="11.25">
      <c r="A945" s="305"/>
      <c r="B945" s="306"/>
      <c r="C945" s="306"/>
      <c r="D945" s="307"/>
      <c r="E945" s="307"/>
      <c r="F945" s="307"/>
      <c r="G945" s="305"/>
      <c r="H945" s="305"/>
      <c r="I945" s="307"/>
      <c r="J945" s="305"/>
    </row>
    <row r="946" spans="1:10" ht="11.25">
      <c r="A946" s="305"/>
      <c r="B946" s="306"/>
      <c r="C946" s="306"/>
      <c r="D946" s="307"/>
      <c r="E946" s="307"/>
      <c r="F946" s="307"/>
      <c r="G946" s="305"/>
      <c r="H946" s="305"/>
      <c r="I946" s="307"/>
      <c r="J946" s="305"/>
    </row>
    <row r="947" spans="1:10" ht="11.25">
      <c r="A947" s="305"/>
      <c r="B947" s="306"/>
      <c r="C947" s="306"/>
      <c r="D947" s="307"/>
      <c r="E947" s="307"/>
      <c r="F947" s="307"/>
      <c r="G947" s="305"/>
      <c r="H947" s="305"/>
      <c r="I947" s="307"/>
      <c r="J947" s="305"/>
    </row>
    <row r="948" spans="1:10" ht="11.25">
      <c r="A948" s="305"/>
      <c r="B948" s="306"/>
      <c r="C948" s="306"/>
      <c r="D948" s="307"/>
      <c r="E948" s="307"/>
      <c r="F948" s="307"/>
      <c r="G948" s="305"/>
      <c r="H948" s="305"/>
      <c r="I948" s="307"/>
      <c r="J948" s="305"/>
    </row>
    <row r="949" spans="1:10" ht="11.25">
      <c r="A949" s="305"/>
      <c r="B949" s="306"/>
      <c r="C949" s="306"/>
      <c r="D949" s="307"/>
      <c r="E949" s="307"/>
      <c r="F949" s="307"/>
      <c r="G949" s="305"/>
      <c r="H949" s="305"/>
      <c r="I949" s="307"/>
      <c r="J949" s="305"/>
    </row>
    <row r="950" spans="1:10" ht="11.25">
      <c r="A950" s="305"/>
      <c r="B950" s="306"/>
      <c r="C950" s="306"/>
      <c r="D950" s="307"/>
      <c r="E950" s="307"/>
      <c r="F950" s="307"/>
      <c r="G950" s="305"/>
      <c r="H950" s="305"/>
      <c r="I950" s="307"/>
      <c r="J950" s="305"/>
    </row>
    <row r="951" spans="1:10" ht="11.25">
      <c r="A951" s="305"/>
      <c r="B951" s="306"/>
      <c r="C951" s="306"/>
      <c r="D951" s="307"/>
      <c r="E951" s="307"/>
      <c r="F951" s="307"/>
      <c r="G951" s="305"/>
      <c r="H951" s="305"/>
      <c r="I951" s="307"/>
      <c r="J951" s="305"/>
    </row>
    <row r="952" spans="1:10" ht="11.25">
      <c r="A952" s="305"/>
      <c r="B952" s="306"/>
      <c r="C952" s="306"/>
      <c r="D952" s="307"/>
      <c r="E952" s="307"/>
      <c r="F952" s="307"/>
      <c r="G952" s="305"/>
      <c r="H952" s="305"/>
      <c r="I952" s="307"/>
      <c r="J952" s="305"/>
    </row>
    <row r="953" spans="1:10" ht="11.25">
      <c r="A953" s="305"/>
      <c r="B953" s="306"/>
      <c r="C953" s="306"/>
      <c r="D953" s="307"/>
      <c r="E953" s="307"/>
      <c r="F953" s="307"/>
      <c r="G953" s="305"/>
      <c r="H953" s="305"/>
      <c r="I953" s="307"/>
      <c r="J953" s="305"/>
    </row>
    <row r="954" spans="1:10" ht="11.25">
      <c r="A954" s="305"/>
      <c r="B954" s="306"/>
      <c r="C954" s="306"/>
      <c r="D954" s="307"/>
      <c r="E954" s="307"/>
      <c r="F954" s="307"/>
      <c r="G954" s="305"/>
      <c r="H954" s="305"/>
      <c r="I954" s="307"/>
      <c r="J954" s="305"/>
    </row>
    <row r="955" spans="1:10" ht="11.25">
      <c r="A955" s="305"/>
      <c r="B955" s="306"/>
      <c r="C955" s="306"/>
      <c r="D955" s="307"/>
      <c r="E955" s="307"/>
      <c r="F955" s="307"/>
      <c r="G955" s="305"/>
      <c r="H955" s="305"/>
      <c r="I955" s="307"/>
      <c r="J955" s="305"/>
    </row>
    <row r="956" spans="1:10" ht="11.25">
      <c r="A956" s="305"/>
      <c r="B956" s="306"/>
      <c r="C956" s="306"/>
      <c r="D956" s="307"/>
      <c r="E956" s="307"/>
      <c r="F956" s="307"/>
      <c r="G956" s="305"/>
      <c r="H956" s="305"/>
      <c r="I956" s="307"/>
      <c r="J956" s="305"/>
    </row>
    <row r="957" spans="1:10" ht="11.25">
      <c r="A957" s="305"/>
      <c r="B957" s="306"/>
      <c r="C957" s="306"/>
      <c r="D957" s="307"/>
      <c r="E957" s="307"/>
      <c r="F957" s="307"/>
      <c r="G957" s="305"/>
      <c r="H957" s="305"/>
      <c r="I957" s="307"/>
      <c r="J957" s="305"/>
    </row>
    <row r="958" spans="1:10" ht="11.25">
      <c r="A958" s="305"/>
      <c r="B958" s="306"/>
      <c r="C958" s="306"/>
      <c r="D958" s="307"/>
      <c r="E958" s="307"/>
      <c r="F958" s="307"/>
      <c r="G958" s="305"/>
      <c r="H958" s="305"/>
      <c r="I958" s="307"/>
      <c r="J958" s="305"/>
    </row>
    <row r="959" spans="1:10" ht="11.25">
      <c r="A959" s="305"/>
      <c r="B959" s="306"/>
      <c r="C959" s="306"/>
      <c r="D959" s="307"/>
      <c r="E959" s="307"/>
      <c r="F959" s="307"/>
      <c r="G959" s="305"/>
      <c r="H959" s="305"/>
      <c r="I959" s="307"/>
      <c r="J959" s="305"/>
    </row>
    <row r="960" spans="1:10" ht="11.25">
      <c r="A960" s="305"/>
      <c r="B960" s="306"/>
      <c r="C960" s="306"/>
      <c r="D960" s="307"/>
      <c r="E960" s="307"/>
      <c r="F960" s="307"/>
      <c r="G960" s="305"/>
      <c r="H960" s="305"/>
      <c r="I960" s="307"/>
      <c r="J960" s="305"/>
    </row>
    <row r="961" spans="1:10" ht="11.25">
      <c r="A961" s="305"/>
      <c r="B961" s="306"/>
      <c r="C961" s="306"/>
      <c r="D961" s="307"/>
      <c r="E961" s="307"/>
      <c r="F961" s="307"/>
      <c r="G961" s="305"/>
      <c r="H961" s="305"/>
      <c r="I961" s="307"/>
      <c r="J961" s="305"/>
    </row>
    <row r="962" spans="1:10" ht="11.25">
      <c r="A962" s="305"/>
      <c r="B962" s="306"/>
      <c r="C962" s="306"/>
      <c r="D962" s="307"/>
      <c r="E962" s="307"/>
      <c r="F962" s="307"/>
      <c r="G962" s="305"/>
      <c r="H962" s="305"/>
      <c r="I962" s="307"/>
      <c r="J962" s="305"/>
    </row>
    <row r="963" spans="1:10" ht="11.25">
      <c r="A963" s="305"/>
      <c r="B963" s="306"/>
      <c r="C963" s="306"/>
      <c r="D963" s="307"/>
      <c r="E963" s="307"/>
      <c r="F963" s="307"/>
      <c r="G963" s="305"/>
      <c r="H963" s="305"/>
      <c r="I963" s="307"/>
      <c r="J963" s="305"/>
    </row>
    <row r="964" spans="1:10" ht="11.25">
      <c r="A964" s="305"/>
      <c r="B964" s="306"/>
      <c r="C964" s="306"/>
      <c r="D964" s="307"/>
      <c r="E964" s="307"/>
      <c r="F964" s="307"/>
      <c r="G964" s="305"/>
      <c r="H964" s="305"/>
      <c r="I964" s="307"/>
      <c r="J964" s="305"/>
    </row>
    <row r="965" spans="1:10" ht="11.25">
      <c r="A965" s="305"/>
      <c r="B965" s="306"/>
      <c r="C965" s="306"/>
      <c r="D965" s="307"/>
      <c r="E965" s="307"/>
      <c r="F965" s="307"/>
      <c r="G965" s="305"/>
      <c r="H965" s="305"/>
      <c r="I965" s="307"/>
      <c r="J965" s="305"/>
    </row>
    <row r="966" spans="1:10" ht="11.25">
      <c r="A966" s="305"/>
      <c r="B966" s="306"/>
      <c r="C966" s="306"/>
      <c r="D966" s="307"/>
      <c r="E966" s="307"/>
      <c r="F966" s="307"/>
      <c r="G966" s="305"/>
      <c r="H966" s="305"/>
      <c r="I966" s="307"/>
      <c r="J966" s="305"/>
    </row>
    <row r="967" spans="1:10" ht="11.25">
      <c r="A967" s="305"/>
      <c r="B967" s="306"/>
      <c r="C967" s="306"/>
      <c r="D967" s="307"/>
      <c r="E967" s="307"/>
      <c r="F967" s="307"/>
      <c r="G967" s="305"/>
      <c r="H967" s="305"/>
      <c r="I967" s="307"/>
      <c r="J967" s="305"/>
    </row>
    <row r="968" spans="1:10" ht="11.25">
      <c r="A968" s="305"/>
      <c r="B968" s="306"/>
      <c r="C968" s="306"/>
      <c r="D968" s="307"/>
      <c r="E968" s="307"/>
      <c r="F968" s="307"/>
      <c r="G968" s="305"/>
      <c r="H968" s="305"/>
      <c r="I968" s="307"/>
      <c r="J968" s="305"/>
    </row>
    <row r="969" spans="1:10" ht="11.25">
      <c r="A969" s="305"/>
      <c r="B969" s="306"/>
      <c r="C969" s="306"/>
      <c r="D969" s="307"/>
      <c r="E969" s="307"/>
      <c r="F969" s="307"/>
      <c r="G969" s="305"/>
      <c r="H969" s="305"/>
      <c r="I969" s="307"/>
      <c r="J969" s="305"/>
    </row>
    <row r="970" spans="1:10" ht="11.25">
      <c r="A970" s="305"/>
      <c r="B970" s="306"/>
      <c r="C970" s="306"/>
      <c r="D970" s="307"/>
      <c r="E970" s="307"/>
      <c r="F970" s="307"/>
      <c r="G970" s="305"/>
      <c r="H970" s="305"/>
      <c r="I970" s="307"/>
      <c r="J970" s="305"/>
    </row>
    <row r="971" spans="1:10" ht="11.25">
      <c r="A971" s="305"/>
      <c r="B971" s="306"/>
      <c r="C971" s="306"/>
      <c r="D971" s="307"/>
      <c r="E971" s="307"/>
      <c r="F971" s="307"/>
      <c r="G971" s="305"/>
      <c r="H971" s="305"/>
      <c r="I971" s="307"/>
      <c r="J971" s="305"/>
    </row>
    <row r="972" spans="1:10" ht="11.25">
      <c r="A972" s="305"/>
      <c r="B972" s="306"/>
      <c r="C972" s="306"/>
      <c r="D972" s="307"/>
      <c r="E972" s="307"/>
      <c r="F972" s="307"/>
      <c r="G972" s="305"/>
      <c r="H972" s="305"/>
      <c r="I972" s="307"/>
      <c r="J972" s="305"/>
    </row>
    <row r="973" spans="1:10" ht="11.25">
      <c r="A973" s="305"/>
      <c r="B973" s="306"/>
      <c r="C973" s="306"/>
      <c r="D973" s="307"/>
      <c r="E973" s="307"/>
      <c r="F973" s="307"/>
      <c r="G973" s="305"/>
      <c r="H973" s="305"/>
      <c r="I973" s="307"/>
      <c r="J973" s="305"/>
    </row>
    <row r="974" spans="1:10" ht="11.25">
      <c r="A974" s="305"/>
      <c r="B974" s="306"/>
      <c r="C974" s="306"/>
      <c r="D974" s="307"/>
      <c r="E974" s="307"/>
      <c r="F974" s="307"/>
      <c r="G974" s="305"/>
      <c r="H974" s="305"/>
      <c r="I974" s="307"/>
      <c r="J974" s="305"/>
    </row>
    <row r="975" spans="1:10" ht="11.25">
      <c r="A975" s="305"/>
      <c r="B975" s="306"/>
      <c r="C975" s="306"/>
      <c r="D975" s="307"/>
      <c r="E975" s="307"/>
      <c r="F975" s="307"/>
      <c r="G975" s="305"/>
      <c r="H975" s="305"/>
      <c r="I975" s="307"/>
      <c r="J975" s="305"/>
    </row>
    <row r="976" spans="1:10" ht="11.25">
      <c r="A976" s="305"/>
      <c r="B976" s="306"/>
      <c r="C976" s="306"/>
      <c r="D976" s="307"/>
      <c r="E976" s="307"/>
      <c r="F976" s="307"/>
      <c r="G976" s="305"/>
      <c r="H976" s="305"/>
      <c r="I976" s="307"/>
      <c r="J976" s="305"/>
    </row>
    <row r="977" spans="1:10" ht="11.25">
      <c r="A977" s="305"/>
      <c r="B977" s="306"/>
      <c r="C977" s="306"/>
      <c r="D977" s="307"/>
      <c r="E977" s="307"/>
      <c r="F977" s="307"/>
      <c r="G977" s="305"/>
      <c r="H977" s="305"/>
      <c r="I977" s="307"/>
      <c r="J977" s="305"/>
    </row>
    <row r="978" spans="1:10" ht="11.25">
      <c r="A978" s="305"/>
      <c r="B978" s="306"/>
      <c r="C978" s="306"/>
      <c r="D978" s="307"/>
      <c r="E978" s="307"/>
      <c r="F978" s="307"/>
      <c r="G978" s="305"/>
      <c r="H978" s="305"/>
      <c r="I978" s="307"/>
      <c r="J978" s="305"/>
    </row>
    <row r="979" spans="1:10" ht="11.25">
      <c r="A979" s="305"/>
      <c r="B979" s="306"/>
      <c r="C979" s="306"/>
      <c r="D979" s="307"/>
      <c r="E979" s="307"/>
      <c r="F979" s="307"/>
      <c r="G979" s="305"/>
      <c r="H979" s="305"/>
      <c r="I979" s="307"/>
      <c r="J979" s="305"/>
    </row>
    <row r="980" spans="1:10" ht="11.25">
      <c r="A980" s="305"/>
      <c r="B980" s="306"/>
      <c r="C980" s="306"/>
      <c r="D980" s="307"/>
      <c r="E980" s="307"/>
      <c r="F980" s="307"/>
      <c r="G980" s="305"/>
      <c r="H980" s="305"/>
      <c r="I980" s="307"/>
      <c r="J980" s="305"/>
    </row>
    <row r="981" spans="1:10" ht="11.25">
      <c r="A981" s="305"/>
      <c r="B981" s="306"/>
      <c r="C981" s="306"/>
      <c r="D981" s="307"/>
      <c r="E981" s="307"/>
      <c r="F981" s="307"/>
      <c r="G981" s="305"/>
      <c r="H981" s="305"/>
      <c r="I981" s="307"/>
      <c r="J981" s="305"/>
    </row>
    <row r="982" spans="1:10" ht="11.25">
      <c r="A982" s="305"/>
      <c r="B982" s="306"/>
      <c r="C982" s="306"/>
      <c r="D982" s="307"/>
      <c r="E982" s="307"/>
      <c r="F982" s="307"/>
      <c r="G982" s="305"/>
      <c r="H982" s="305"/>
      <c r="I982" s="307"/>
      <c r="J982" s="305"/>
    </row>
    <row r="983" spans="1:10" ht="11.25">
      <c r="A983" s="305"/>
      <c r="B983" s="306"/>
      <c r="C983" s="306"/>
      <c r="D983" s="307"/>
      <c r="E983" s="307"/>
      <c r="F983" s="307"/>
      <c r="G983" s="305"/>
      <c r="H983" s="305"/>
      <c r="I983" s="307"/>
      <c r="J983" s="305"/>
    </row>
    <row r="984" spans="1:10" ht="11.25">
      <c r="A984" s="305"/>
      <c r="B984" s="306"/>
      <c r="C984" s="306"/>
      <c r="D984" s="307"/>
      <c r="E984" s="307"/>
      <c r="F984" s="307"/>
      <c r="G984" s="305"/>
      <c r="H984" s="305"/>
      <c r="I984" s="307"/>
      <c r="J984" s="305"/>
    </row>
    <row r="985" spans="1:10" ht="11.25">
      <c r="A985" s="305"/>
      <c r="B985" s="306"/>
      <c r="C985" s="306"/>
      <c r="D985" s="307"/>
      <c r="E985" s="307"/>
      <c r="F985" s="307"/>
      <c r="G985" s="305"/>
      <c r="H985" s="305"/>
      <c r="I985" s="307"/>
      <c r="J985" s="305"/>
    </row>
    <row r="986" spans="1:10" ht="11.25">
      <c r="A986" s="305"/>
      <c r="B986" s="306"/>
      <c r="C986" s="306"/>
      <c r="D986" s="307"/>
      <c r="E986" s="307"/>
      <c r="F986" s="307"/>
      <c r="G986" s="305"/>
      <c r="H986" s="305"/>
      <c r="I986" s="307"/>
      <c r="J986" s="305"/>
    </row>
    <row r="987" spans="1:10" ht="11.25">
      <c r="A987" s="305"/>
      <c r="B987" s="306"/>
      <c r="C987" s="306"/>
      <c r="D987" s="307"/>
      <c r="E987" s="307"/>
      <c r="F987" s="307"/>
      <c r="G987" s="305"/>
      <c r="H987" s="305"/>
      <c r="I987" s="307"/>
      <c r="J987" s="305"/>
    </row>
    <row r="988" spans="1:10" ht="11.25">
      <c r="A988" s="305"/>
      <c r="B988" s="306"/>
      <c r="C988" s="306"/>
      <c r="D988" s="307"/>
      <c r="E988" s="307"/>
      <c r="F988" s="307"/>
      <c r="G988" s="305"/>
      <c r="H988" s="305"/>
      <c r="I988" s="307"/>
      <c r="J988" s="305"/>
    </row>
    <row r="989" spans="1:10" ht="11.25">
      <c r="A989" s="305"/>
      <c r="B989" s="306"/>
      <c r="C989" s="306"/>
      <c r="D989" s="307"/>
      <c r="E989" s="307"/>
      <c r="F989" s="307"/>
      <c r="G989" s="305"/>
      <c r="H989" s="305"/>
      <c r="I989" s="307"/>
      <c r="J989" s="305"/>
    </row>
    <row r="990" spans="1:10" ht="11.25">
      <c r="A990" s="305"/>
      <c r="B990" s="306"/>
      <c r="C990" s="306"/>
      <c r="D990" s="307"/>
      <c r="E990" s="307"/>
      <c r="F990" s="307"/>
      <c r="G990" s="305"/>
      <c r="H990" s="305"/>
      <c r="I990" s="307"/>
      <c r="J990" s="305"/>
    </row>
    <row r="991" spans="1:10" ht="11.25">
      <c r="A991" s="305"/>
      <c r="B991" s="306"/>
      <c r="C991" s="306"/>
      <c r="D991" s="307"/>
      <c r="E991" s="307"/>
      <c r="F991" s="307"/>
      <c r="G991" s="305"/>
      <c r="H991" s="305"/>
      <c r="I991" s="307"/>
      <c r="J991" s="305"/>
    </row>
    <row r="992" spans="1:10" ht="11.25">
      <c r="A992" s="305"/>
      <c r="B992" s="306"/>
      <c r="C992" s="306"/>
      <c r="D992" s="307"/>
      <c r="E992" s="307"/>
      <c r="F992" s="307"/>
      <c r="G992" s="305"/>
      <c r="H992" s="305"/>
      <c r="I992" s="307"/>
      <c r="J992" s="305"/>
    </row>
    <row r="993" spans="1:10" ht="11.25">
      <c r="A993" s="305"/>
      <c r="B993" s="306"/>
      <c r="C993" s="306"/>
      <c r="D993" s="307"/>
      <c r="E993" s="307"/>
      <c r="F993" s="307"/>
      <c r="G993" s="305"/>
      <c r="H993" s="305"/>
      <c r="I993" s="307"/>
      <c r="J993" s="305"/>
    </row>
    <row r="994" spans="1:10" ht="11.25">
      <c r="A994" s="305"/>
      <c r="B994" s="306"/>
      <c r="C994" s="306"/>
      <c r="D994" s="307"/>
      <c r="E994" s="307"/>
      <c r="F994" s="307"/>
      <c r="G994" s="305"/>
      <c r="H994" s="305"/>
      <c r="I994" s="307"/>
      <c r="J994" s="305"/>
    </row>
    <row r="995" spans="1:10" ht="11.25">
      <c r="A995" s="305"/>
      <c r="B995" s="306"/>
      <c r="C995" s="306"/>
      <c r="D995" s="307"/>
      <c r="E995" s="307"/>
      <c r="F995" s="307"/>
      <c r="G995" s="305"/>
      <c r="H995" s="305"/>
      <c r="I995" s="307"/>
      <c r="J995" s="305"/>
    </row>
    <row r="996" spans="1:10" ht="11.25">
      <c r="A996" s="305"/>
      <c r="B996" s="306"/>
      <c r="C996" s="306"/>
      <c r="D996" s="307"/>
      <c r="E996" s="307"/>
      <c r="F996" s="307"/>
      <c r="G996" s="305"/>
      <c r="H996" s="305"/>
      <c r="I996" s="307"/>
      <c r="J996" s="305"/>
    </row>
    <row r="997" spans="1:10" ht="11.25">
      <c r="A997" s="305"/>
      <c r="B997" s="306"/>
      <c r="C997" s="306"/>
      <c r="D997" s="307"/>
      <c r="E997" s="307"/>
      <c r="F997" s="307"/>
      <c r="G997" s="305"/>
      <c r="H997" s="305"/>
      <c r="I997" s="307"/>
      <c r="J997" s="305"/>
    </row>
    <row r="998" spans="1:10" ht="11.25">
      <c r="A998" s="305"/>
      <c r="B998" s="306"/>
      <c r="C998" s="306"/>
      <c r="D998" s="307"/>
      <c r="E998" s="307"/>
      <c r="F998" s="307"/>
      <c r="G998" s="305"/>
      <c r="H998" s="305"/>
      <c r="I998" s="307"/>
      <c r="J998" s="305"/>
    </row>
    <row r="999" spans="1:10" ht="11.25">
      <c r="A999" s="305"/>
      <c r="B999" s="306"/>
      <c r="C999" s="306"/>
      <c r="D999" s="307"/>
      <c r="E999" s="307"/>
      <c r="F999" s="307"/>
      <c r="G999" s="305"/>
      <c r="H999" s="305"/>
      <c r="I999" s="307"/>
      <c r="J999" s="305"/>
    </row>
    <row r="1000" spans="1:10" ht="11.25">
      <c r="A1000" s="305"/>
      <c r="B1000" s="306"/>
      <c r="C1000" s="306"/>
      <c r="D1000" s="307"/>
      <c r="E1000" s="307"/>
      <c r="F1000" s="307"/>
      <c r="G1000" s="305"/>
      <c r="H1000" s="305"/>
      <c r="I1000" s="307"/>
      <c r="J1000" s="305"/>
    </row>
    <row r="1001" spans="1:10" ht="11.25">
      <c r="A1001" s="305"/>
      <c r="B1001" s="306"/>
      <c r="C1001" s="306"/>
      <c r="D1001" s="307"/>
      <c r="E1001" s="307"/>
      <c r="F1001" s="307"/>
      <c r="G1001" s="305"/>
      <c r="H1001" s="305"/>
      <c r="I1001" s="307"/>
      <c r="J1001" s="305"/>
    </row>
    <row r="1002" spans="1:10" ht="11.25">
      <c r="A1002" s="305"/>
      <c r="B1002" s="306"/>
      <c r="C1002" s="306"/>
      <c r="D1002" s="307"/>
      <c r="E1002" s="307"/>
      <c r="F1002" s="307"/>
      <c r="G1002" s="305"/>
      <c r="H1002" s="305"/>
      <c r="I1002" s="307"/>
      <c r="J1002" s="305"/>
    </row>
    <row r="1003" spans="1:10" ht="11.25">
      <c r="A1003" s="305"/>
      <c r="B1003" s="306"/>
      <c r="C1003" s="306"/>
      <c r="D1003" s="307"/>
      <c r="E1003" s="307"/>
      <c r="F1003" s="307"/>
      <c r="G1003" s="305"/>
      <c r="H1003" s="305"/>
      <c r="I1003" s="307"/>
      <c r="J1003" s="305"/>
    </row>
    <row r="1004" spans="1:10" ht="11.25">
      <c r="A1004" s="305"/>
      <c r="B1004" s="306"/>
      <c r="C1004" s="306"/>
      <c r="D1004" s="307"/>
      <c r="E1004" s="307"/>
      <c r="F1004" s="307"/>
      <c r="G1004" s="305"/>
      <c r="H1004" s="305"/>
      <c r="I1004" s="307"/>
      <c r="J1004" s="305"/>
    </row>
    <row r="1005" spans="1:10" ht="11.25">
      <c r="A1005" s="305"/>
      <c r="B1005" s="306"/>
      <c r="C1005" s="306"/>
      <c r="D1005" s="307"/>
      <c r="E1005" s="307"/>
      <c r="F1005" s="307"/>
      <c r="G1005" s="305"/>
      <c r="H1005" s="305"/>
      <c r="I1005" s="307"/>
      <c r="J1005" s="305"/>
    </row>
    <row r="1006" spans="1:10" ht="11.25">
      <c r="A1006" s="305"/>
      <c r="B1006" s="306"/>
      <c r="C1006" s="306"/>
      <c r="D1006" s="307"/>
      <c r="E1006" s="307"/>
      <c r="F1006" s="307"/>
      <c r="G1006" s="305"/>
      <c r="H1006" s="305"/>
      <c r="I1006" s="307"/>
      <c r="J1006" s="305"/>
    </row>
    <row r="1007" spans="1:10" ht="11.25">
      <c r="A1007" s="305"/>
      <c r="B1007" s="306"/>
      <c r="C1007" s="306"/>
      <c r="D1007" s="307"/>
      <c r="E1007" s="307"/>
      <c r="F1007" s="307"/>
      <c r="G1007" s="305"/>
      <c r="H1007" s="305"/>
      <c r="I1007" s="307"/>
      <c r="J1007" s="305"/>
    </row>
  </sheetData>
  <mergeCells count="9">
    <mergeCell ref="G5:G7"/>
    <mergeCell ref="H5:H7"/>
    <mergeCell ref="I5:I7"/>
    <mergeCell ref="A5:A7"/>
    <mergeCell ref="B5:B7"/>
    <mergeCell ref="C5:C7"/>
    <mergeCell ref="D5:D7"/>
    <mergeCell ref="E5:E7"/>
    <mergeCell ref="F5:F7"/>
  </mergeCells>
  <pageMargins left="0.2" right="0.2" top="0.25" bottom="0.25" header="0.3" footer="0.3"/>
  <pageSetup scale="90" orientation="landscape" r:id="rId1"/>
</worksheet>
</file>

<file path=xl/worksheets/sheet17.xml><?xml version="1.0" encoding="utf-8"?>
<worksheet xmlns="http://schemas.openxmlformats.org/spreadsheetml/2006/main" xmlns:r="http://schemas.openxmlformats.org/officeDocument/2006/relationships">
  <dimension ref="B2:F15"/>
  <sheetViews>
    <sheetView workbookViewId="0">
      <selection activeCell="E21" sqref="E21"/>
    </sheetView>
  </sheetViews>
  <sheetFormatPr defaultRowHeight="12.75"/>
  <cols>
    <col min="3" max="3" width="67.7109375" customWidth="1"/>
    <col min="5" max="5" width="10.7109375" customWidth="1"/>
    <col min="6" max="6" width="100.85546875" customWidth="1"/>
  </cols>
  <sheetData>
    <row r="2" spans="2:6" ht="13.5" thickBot="1"/>
    <row r="3" spans="2:6" ht="30.75" thickBot="1">
      <c r="B3" s="396" t="s">
        <v>1</v>
      </c>
      <c r="C3" s="397" t="s">
        <v>1420</v>
      </c>
      <c r="D3" s="397" t="s">
        <v>46</v>
      </c>
      <c r="E3" s="397" t="s">
        <v>1421</v>
      </c>
      <c r="F3" s="397" t="s">
        <v>3</v>
      </c>
    </row>
    <row r="4" spans="2:6">
      <c r="B4">
        <f>ROW()-3</f>
        <v>1</v>
      </c>
      <c r="C4" t="s">
        <v>1422</v>
      </c>
      <c r="D4" t="s">
        <v>755</v>
      </c>
      <c r="E4" s="398">
        <v>41974</v>
      </c>
    </row>
    <row r="5" spans="2:6">
      <c r="B5">
        <f t="shared" ref="B5:B15" si="0">ROW()-3</f>
        <v>2</v>
      </c>
      <c r="C5" t="s">
        <v>1426</v>
      </c>
      <c r="D5" t="s">
        <v>755</v>
      </c>
      <c r="E5" s="398">
        <v>41974</v>
      </c>
    </row>
    <row r="6" spans="2:6">
      <c r="B6">
        <f t="shared" si="0"/>
        <v>3</v>
      </c>
      <c r="C6" t="s">
        <v>1423</v>
      </c>
      <c r="D6" t="s">
        <v>755</v>
      </c>
      <c r="E6" s="398">
        <v>41974</v>
      </c>
    </row>
    <row r="7" spans="2:6">
      <c r="B7">
        <f t="shared" si="0"/>
        <v>4</v>
      </c>
      <c r="C7" t="s">
        <v>1424</v>
      </c>
      <c r="D7" t="s">
        <v>755</v>
      </c>
      <c r="E7" s="398">
        <v>41974</v>
      </c>
    </row>
    <row r="8" spans="2:6">
      <c r="B8">
        <f t="shared" si="0"/>
        <v>5</v>
      </c>
      <c r="C8" t="s">
        <v>12</v>
      </c>
      <c r="D8" t="s">
        <v>755</v>
      </c>
      <c r="E8" s="398">
        <v>41974</v>
      </c>
    </row>
    <row r="9" spans="2:6" ht="14.25" customHeight="1">
      <c r="B9">
        <f t="shared" si="0"/>
        <v>6</v>
      </c>
      <c r="C9" s="115" t="s">
        <v>1425</v>
      </c>
      <c r="D9" t="s">
        <v>755</v>
      </c>
      <c r="E9" s="398">
        <v>42080</v>
      </c>
    </row>
    <row r="10" spans="2:6">
      <c r="B10">
        <f t="shared" si="0"/>
        <v>7</v>
      </c>
      <c r="C10" t="s">
        <v>1427</v>
      </c>
      <c r="D10" t="s">
        <v>755</v>
      </c>
      <c r="E10" s="398">
        <v>42081</v>
      </c>
    </row>
    <row r="11" spans="2:6">
      <c r="B11">
        <f t="shared" si="0"/>
        <v>8</v>
      </c>
      <c r="E11" s="398"/>
    </row>
    <row r="12" spans="2:6">
      <c r="B12">
        <f t="shared" si="0"/>
        <v>9</v>
      </c>
      <c r="E12" s="398"/>
    </row>
    <row r="13" spans="2:6">
      <c r="B13">
        <f t="shared" si="0"/>
        <v>10</v>
      </c>
      <c r="E13" s="398"/>
    </row>
    <row r="14" spans="2:6">
      <c r="B14">
        <f t="shared" si="0"/>
        <v>11</v>
      </c>
      <c r="E14" s="398"/>
    </row>
    <row r="15" spans="2:6">
      <c r="B15">
        <f t="shared" si="0"/>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AJ145"/>
  <sheetViews>
    <sheetView workbookViewId="0">
      <selection activeCell="C10" sqref="C10"/>
    </sheetView>
  </sheetViews>
  <sheetFormatPr defaultRowHeight="12.75"/>
  <cols>
    <col min="1" max="1" width="40.5703125" customWidth="1"/>
    <col min="2" max="2" width="18.7109375" customWidth="1"/>
    <col min="3" max="3" width="28.7109375" customWidth="1"/>
    <col min="4" max="4" width="39.140625" customWidth="1"/>
    <col min="5" max="5" width="11" customWidth="1"/>
    <col min="6" max="6" width="10.28515625" bestFit="1" customWidth="1"/>
    <col min="7" max="24" width="11.140625" customWidth="1"/>
    <col min="25" max="25" width="12.140625" customWidth="1"/>
    <col min="26" max="26" width="11.5703125" customWidth="1"/>
    <col min="28" max="28" width="17.42578125" customWidth="1"/>
    <col min="29" max="29" width="12" customWidth="1"/>
    <col min="31" max="31" width="11.7109375" customWidth="1"/>
    <col min="32" max="32" width="13" customWidth="1"/>
  </cols>
  <sheetData>
    <row r="1" spans="1:36">
      <c r="A1" s="233" t="s">
        <v>1078</v>
      </c>
      <c r="B1" s="357" t="s">
        <v>1380</v>
      </c>
      <c r="C1" s="358"/>
      <c r="D1" s="358"/>
      <c r="E1" s="358"/>
      <c r="F1" s="358"/>
      <c r="G1" s="358"/>
      <c r="H1" s="358"/>
      <c r="I1" s="358"/>
      <c r="J1" s="358"/>
      <c r="K1" s="358"/>
      <c r="L1" s="358"/>
      <c r="M1" s="358"/>
      <c r="N1" s="358"/>
      <c r="O1" s="358"/>
      <c r="P1" s="358"/>
      <c r="Q1" s="358"/>
      <c r="R1" s="358"/>
      <c r="S1" s="359"/>
      <c r="T1" s="234"/>
      <c r="U1" s="234"/>
      <c r="V1" s="234"/>
      <c r="W1" s="234"/>
      <c r="X1" s="24"/>
      <c r="Y1" s="24"/>
      <c r="Z1" s="24"/>
      <c r="AB1" s="24"/>
      <c r="AC1" s="24"/>
      <c r="AD1" s="24"/>
      <c r="AE1" s="24"/>
      <c r="AF1" s="24"/>
      <c r="AG1" s="24"/>
      <c r="AH1" s="24"/>
      <c r="AI1" s="24"/>
      <c r="AJ1" s="24"/>
    </row>
    <row r="2" spans="1:36">
      <c r="A2" s="235"/>
      <c r="B2" s="360"/>
      <c r="C2" s="361"/>
      <c r="D2" s="361"/>
      <c r="E2" s="361"/>
      <c r="F2" s="361"/>
      <c r="G2" s="361"/>
      <c r="H2" s="361"/>
      <c r="I2" s="361"/>
      <c r="J2" s="361"/>
      <c r="K2" s="361"/>
      <c r="L2" s="361"/>
      <c r="M2" s="361"/>
      <c r="N2" s="361"/>
      <c r="O2" s="361"/>
      <c r="P2" s="361"/>
      <c r="Q2" s="361"/>
      <c r="R2" s="361"/>
      <c r="S2" s="362"/>
      <c r="T2" s="236"/>
      <c r="U2" s="236"/>
      <c r="V2" s="236"/>
      <c r="W2" s="236"/>
      <c r="X2" s="24"/>
      <c r="Y2" s="24"/>
      <c r="Z2" s="24"/>
      <c r="AB2" s="24"/>
      <c r="AC2" s="24"/>
      <c r="AD2" s="24"/>
      <c r="AE2" s="24"/>
      <c r="AF2" s="24"/>
      <c r="AG2" s="24"/>
      <c r="AH2" s="24"/>
      <c r="AI2" s="24"/>
      <c r="AJ2" s="24"/>
    </row>
    <row r="3" spans="1:36">
      <c r="A3" s="235"/>
      <c r="B3" s="360"/>
      <c r="C3" s="361"/>
      <c r="D3" s="361"/>
      <c r="E3" s="361"/>
      <c r="F3" s="361"/>
      <c r="G3" s="361"/>
      <c r="H3" s="361"/>
      <c r="I3" s="361"/>
      <c r="J3" s="361"/>
      <c r="K3" s="361"/>
      <c r="L3" s="361"/>
      <c r="M3" s="361"/>
      <c r="N3" s="361"/>
      <c r="O3" s="361"/>
      <c r="P3" s="361"/>
      <c r="Q3" s="361"/>
      <c r="R3" s="361"/>
      <c r="S3" s="362"/>
      <c r="T3" s="236"/>
      <c r="U3" s="236"/>
      <c r="V3" s="236"/>
      <c r="W3" s="236"/>
      <c r="X3" s="24"/>
      <c r="Y3" s="24"/>
      <c r="Z3" s="24"/>
      <c r="AB3" s="24"/>
      <c r="AC3" s="24"/>
      <c r="AD3" s="24"/>
      <c r="AE3" s="24"/>
      <c r="AF3" s="24"/>
      <c r="AG3" s="24"/>
      <c r="AH3" s="24"/>
      <c r="AI3" s="24"/>
      <c r="AJ3" s="24"/>
    </row>
    <row r="4" spans="1:36">
      <c r="A4" s="235"/>
      <c r="B4" s="360"/>
      <c r="C4" s="361"/>
      <c r="D4" s="361"/>
      <c r="E4" s="361"/>
      <c r="F4" s="361"/>
      <c r="G4" s="361"/>
      <c r="H4" s="361"/>
      <c r="I4" s="361"/>
      <c r="J4" s="361"/>
      <c r="K4" s="361"/>
      <c r="L4" s="361"/>
      <c r="M4" s="361"/>
      <c r="N4" s="361"/>
      <c r="O4" s="361"/>
      <c r="P4" s="361"/>
      <c r="Q4" s="361"/>
      <c r="R4" s="361"/>
      <c r="S4" s="362"/>
      <c r="T4" s="236"/>
      <c r="U4" s="236"/>
      <c r="V4" s="236"/>
      <c r="W4" s="236"/>
      <c r="X4" s="24"/>
      <c r="Y4" s="24"/>
      <c r="Z4" s="24"/>
      <c r="AB4" s="24"/>
      <c r="AC4" s="24"/>
      <c r="AD4" s="24"/>
      <c r="AE4" s="24"/>
      <c r="AF4" s="24"/>
      <c r="AG4" s="24"/>
      <c r="AH4" s="24"/>
      <c r="AI4" s="24"/>
      <c r="AJ4" s="24"/>
    </row>
    <row r="5" spans="1:36">
      <c r="A5" s="237" t="s">
        <v>1079</v>
      </c>
      <c r="B5" s="360"/>
      <c r="C5" s="361"/>
      <c r="D5" s="363"/>
      <c r="E5" s="363"/>
      <c r="F5" s="363"/>
      <c r="G5" s="363"/>
      <c r="H5" s="363"/>
      <c r="I5" s="363"/>
      <c r="J5" s="363"/>
      <c r="K5" s="363"/>
      <c r="L5" s="363"/>
      <c r="M5" s="363"/>
      <c r="N5" s="363"/>
      <c r="O5" s="363"/>
      <c r="P5" s="363"/>
      <c r="Q5" s="363"/>
      <c r="R5" s="363"/>
      <c r="S5" s="364"/>
      <c r="T5" s="236"/>
      <c r="U5" s="236"/>
      <c r="V5" s="236"/>
      <c r="W5" s="236"/>
      <c r="X5" s="24"/>
      <c r="Y5" s="24"/>
      <c r="Z5" s="24"/>
      <c r="AB5" s="24"/>
      <c r="AC5" s="24"/>
      <c r="AD5" s="24"/>
      <c r="AE5" s="24"/>
      <c r="AF5" s="24"/>
      <c r="AG5" s="24"/>
      <c r="AH5" s="24"/>
      <c r="AI5" s="24"/>
      <c r="AJ5" s="24"/>
    </row>
    <row r="6" spans="1:36">
      <c r="A6" s="237" t="str">
        <f>D9</f>
        <v>Base</v>
      </c>
      <c r="B6" s="238"/>
      <c r="C6" s="238"/>
      <c r="D6" s="239"/>
      <c r="E6" s="240"/>
      <c r="F6" s="240"/>
      <c r="G6" s="240"/>
      <c r="H6" s="240"/>
      <c r="I6" s="240"/>
      <c r="J6" s="240"/>
      <c r="K6" s="240"/>
      <c r="L6" s="240"/>
      <c r="M6" s="240"/>
      <c r="N6" s="240"/>
      <c r="O6" s="240"/>
      <c r="P6" s="240"/>
      <c r="Q6" s="240"/>
      <c r="R6" s="240"/>
      <c r="S6" s="241"/>
      <c r="T6" s="236"/>
      <c r="U6" s="236"/>
      <c r="V6" s="236"/>
      <c r="W6" s="236"/>
      <c r="X6" s="24"/>
      <c r="Y6" s="24"/>
      <c r="Z6" s="24" t="s">
        <v>127</v>
      </c>
      <c r="AA6">
        <f>'ES 2007-2013'!$E$42</f>
        <v>6</v>
      </c>
      <c r="AB6" s="24"/>
      <c r="AC6" s="24"/>
      <c r="AD6" s="24"/>
      <c r="AE6" s="24"/>
      <c r="AF6" s="24"/>
      <c r="AG6" s="24"/>
      <c r="AH6" s="24"/>
      <c r="AI6" s="24"/>
      <c r="AJ6" s="24"/>
    </row>
    <row r="7" spans="1:36">
      <c r="A7" s="392"/>
      <c r="B7" s="242" t="s">
        <v>1080</v>
      </c>
      <c r="C7" s="243" t="s">
        <v>1081</v>
      </c>
      <c r="D7" s="390" t="s">
        <v>1418</v>
      </c>
      <c r="E7" s="24"/>
      <c r="F7" s="24"/>
      <c r="G7" s="24"/>
      <c r="H7" s="24"/>
      <c r="I7" s="24"/>
      <c r="J7" s="24"/>
      <c r="K7" s="24"/>
      <c r="L7" s="24"/>
      <c r="M7" s="24"/>
      <c r="N7" s="24"/>
      <c r="O7" s="24"/>
      <c r="P7" s="24"/>
      <c r="Q7" s="24"/>
      <c r="R7" s="24"/>
      <c r="S7" s="24"/>
      <c r="T7" s="24"/>
      <c r="U7" s="24"/>
      <c r="V7" s="24"/>
      <c r="W7" s="24"/>
      <c r="X7" s="24"/>
      <c r="Y7" s="24"/>
      <c r="Z7" s="24"/>
      <c r="AB7" s="24"/>
      <c r="AC7" s="24"/>
      <c r="AD7" s="24"/>
      <c r="AE7" s="24"/>
      <c r="AF7" s="24"/>
      <c r="AG7" s="24"/>
      <c r="AH7" s="24"/>
      <c r="AI7" s="24"/>
      <c r="AJ7" s="24"/>
    </row>
    <row r="8" spans="1:36">
      <c r="A8" s="393" t="s">
        <v>1419</v>
      </c>
      <c r="B8" s="242" t="s">
        <v>1082</v>
      </c>
      <c r="C8" s="243" t="str">
        <f>CONCATENATE([1]MLIST!$B$85,"-",C7)</f>
        <v>Water Cooler Controls-NR</v>
      </c>
      <c r="D8" s="391" t="str">
        <f>[2]!switch_ForecastState</f>
        <v>Region</v>
      </c>
      <c r="E8" s="244"/>
      <c r="F8" s="24"/>
      <c r="G8" s="24"/>
      <c r="H8" s="24"/>
      <c r="I8" s="24"/>
      <c r="J8" s="24"/>
      <c r="K8" s="24"/>
      <c r="L8" s="24"/>
      <c r="M8" s="24"/>
      <c r="N8" s="24"/>
      <c r="O8" s="24"/>
      <c r="P8" s="24"/>
      <c r="Q8" s="24"/>
      <c r="R8" s="24"/>
      <c r="S8" s="24"/>
      <c r="T8" s="24"/>
      <c r="U8" s="24"/>
      <c r="V8" s="24"/>
      <c r="W8" s="24"/>
      <c r="X8" s="24"/>
      <c r="Y8" s="24"/>
      <c r="Z8" s="24"/>
      <c r="AB8" s="24"/>
      <c r="AC8" s="24"/>
      <c r="AD8" s="24"/>
      <c r="AE8" s="24"/>
      <c r="AF8" s="24"/>
      <c r="AG8" s="24"/>
      <c r="AH8" s="24"/>
      <c r="AI8" s="24"/>
      <c r="AJ8" s="24"/>
    </row>
    <row r="9" spans="1:36">
      <c r="A9" s="393" t="str">
        <f>INDEX([1]ACHIEV!$A$19:$B$120,MATCH(C8,[1]ACHIEV!$B$19:$B$120,0),1)</f>
        <v>Refrigeration</v>
      </c>
      <c r="B9" s="245" t="s">
        <v>1083</v>
      </c>
      <c r="C9" s="243">
        <f>[1]FILES!$H$4</f>
        <v>2035</v>
      </c>
      <c r="D9" s="391" t="str">
        <f>[2]!switch_ForecastScenario</f>
        <v>Base</v>
      </c>
      <c r="E9" s="246"/>
      <c r="F9" s="24"/>
      <c r="G9" s="24"/>
      <c r="H9" s="24"/>
      <c r="I9" s="24"/>
      <c r="J9" s="24"/>
      <c r="K9" s="24"/>
      <c r="L9" s="24"/>
      <c r="M9" s="24"/>
      <c r="N9" s="24"/>
      <c r="O9" s="24"/>
      <c r="P9" s="24"/>
      <c r="Q9" s="24"/>
      <c r="R9" s="24"/>
      <c r="S9" s="24"/>
      <c r="T9" s="24"/>
      <c r="U9" s="24"/>
      <c r="V9" s="24"/>
      <c r="W9" s="24"/>
      <c r="X9" s="24"/>
      <c r="Y9" s="24"/>
      <c r="Z9" s="24"/>
      <c r="AB9" s="24"/>
      <c r="AC9" s="24"/>
      <c r="AD9" s="24"/>
      <c r="AE9" s="24"/>
      <c r="AF9" s="24"/>
      <c r="AG9" s="24"/>
      <c r="AH9" s="24"/>
      <c r="AI9" s="24"/>
      <c r="AJ9" s="24"/>
    </row>
    <row r="10" spans="1:36">
      <c r="A10" s="394"/>
      <c r="B10" s="242" t="s">
        <v>1084</v>
      </c>
      <c r="C10" s="395">
        <f>MIN(SUM(E62:X64),SUM(Y62:Y64))</f>
        <v>13.180394293600866</v>
      </c>
      <c r="D10" s="24"/>
      <c r="E10" s="24">
        <v>1</v>
      </c>
      <c r="F10" s="24">
        <f>E10+1</f>
        <v>2</v>
      </c>
      <c r="G10" s="24">
        <f t="shared" ref="G10:V11" si="0">F10+1</f>
        <v>3</v>
      </c>
      <c r="H10" s="24">
        <f t="shared" si="0"/>
        <v>4</v>
      </c>
      <c r="I10" s="24">
        <f t="shared" si="0"/>
        <v>5</v>
      </c>
      <c r="J10" s="24">
        <f t="shared" si="0"/>
        <v>6</v>
      </c>
      <c r="K10" s="24">
        <f t="shared" si="0"/>
        <v>7</v>
      </c>
      <c r="L10" s="24">
        <f t="shared" si="0"/>
        <v>8</v>
      </c>
      <c r="M10" s="24">
        <f t="shared" si="0"/>
        <v>9</v>
      </c>
      <c r="N10" s="24">
        <f t="shared" si="0"/>
        <v>10</v>
      </c>
      <c r="O10" s="24">
        <f t="shared" si="0"/>
        <v>11</v>
      </c>
      <c r="P10" s="24">
        <f t="shared" si="0"/>
        <v>12</v>
      </c>
      <c r="Q10" s="24">
        <f t="shared" si="0"/>
        <v>13</v>
      </c>
      <c r="R10" s="24">
        <f t="shared" si="0"/>
        <v>14</v>
      </c>
      <c r="S10" s="24">
        <f t="shared" si="0"/>
        <v>15</v>
      </c>
      <c r="T10" s="24">
        <f t="shared" si="0"/>
        <v>16</v>
      </c>
      <c r="U10" s="24">
        <f t="shared" si="0"/>
        <v>17</v>
      </c>
      <c r="V10" s="24">
        <f t="shared" si="0"/>
        <v>18</v>
      </c>
      <c r="W10" s="24">
        <f t="shared" ref="W10:X11" si="1">V10+1</f>
        <v>19</v>
      </c>
      <c r="X10" s="24">
        <f t="shared" si="1"/>
        <v>20</v>
      </c>
      <c r="Y10" s="24"/>
      <c r="Z10" s="24"/>
      <c r="AB10" s="24"/>
      <c r="AC10" s="24"/>
      <c r="AD10" s="24"/>
      <c r="AE10" s="24"/>
      <c r="AF10" s="24"/>
      <c r="AG10" s="24"/>
      <c r="AH10" s="24"/>
      <c r="AI10" s="24"/>
      <c r="AJ10" s="24"/>
    </row>
    <row r="11" spans="1:36" ht="15">
      <c r="A11" s="252" t="s">
        <v>1188</v>
      </c>
      <c r="B11" s="242"/>
      <c r="C11" s="242" t="str">
        <f>C8</f>
        <v>Water Cooler Controls-NR</v>
      </c>
      <c r="D11" s="242"/>
      <c r="E11" s="242">
        <f>C9-20+1</f>
        <v>2016</v>
      </c>
      <c r="F11" s="242">
        <f>E11+1</f>
        <v>2017</v>
      </c>
      <c r="G11" s="242">
        <f t="shared" si="0"/>
        <v>2018</v>
      </c>
      <c r="H11" s="242">
        <f t="shared" si="0"/>
        <v>2019</v>
      </c>
      <c r="I11" s="242">
        <f t="shared" si="0"/>
        <v>2020</v>
      </c>
      <c r="J11" s="242">
        <f t="shared" si="0"/>
        <v>2021</v>
      </c>
      <c r="K11" s="242">
        <f t="shared" si="0"/>
        <v>2022</v>
      </c>
      <c r="L11" s="242">
        <f t="shared" si="0"/>
        <v>2023</v>
      </c>
      <c r="M11" s="242">
        <f t="shared" si="0"/>
        <v>2024</v>
      </c>
      <c r="N11" s="242">
        <f t="shared" si="0"/>
        <v>2025</v>
      </c>
      <c r="O11" s="242">
        <f t="shared" si="0"/>
        <v>2026</v>
      </c>
      <c r="P11" s="242">
        <f t="shared" si="0"/>
        <v>2027</v>
      </c>
      <c r="Q11" s="242">
        <f t="shared" si="0"/>
        <v>2028</v>
      </c>
      <c r="R11" s="242">
        <f t="shared" si="0"/>
        <v>2029</v>
      </c>
      <c r="S11" s="242">
        <f t="shared" si="0"/>
        <v>2030</v>
      </c>
      <c r="T11" s="242">
        <f t="shared" si="0"/>
        <v>2031</v>
      </c>
      <c r="U11" s="242">
        <f t="shared" si="0"/>
        <v>2032</v>
      </c>
      <c r="V11" s="242">
        <f t="shared" si="0"/>
        <v>2033</v>
      </c>
      <c r="W11" s="242">
        <f t="shared" si="1"/>
        <v>2034</v>
      </c>
      <c r="X11" s="242">
        <f t="shared" si="1"/>
        <v>2035</v>
      </c>
      <c r="Y11" s="24"/>
      <c r="Z11" s="247" t="s">
        <v>1086</v>
      </c>
      <c r="AB11" s="24"/>
      <c r="AC11" s="24"/>
      <c r="AD11" s="24"/>
      <c r="AE11" s="24"/>
      <c r="AF11" s="24"/>
      <c r="AG11" s="24"/>
      <c r="AH11" s="24"/>
      <c r="AI11" s="24"/>
      <c r="AJ11" s="24"/>
    </row>
    <row r="12" spans="1:36">
      <c r="A12" s="242"/>
      <c r="B12" s="242"/>
      <c r="C12" s="270" t="s">
        <v>1189</v>
      </c>
      <c r="D12" s="242"/>
      <c r="E12" s="242" t="str">
        <f>CONCATENATE("POP_",E11)</f>
        <v>POP_2016</v>
      </c>
      <c r="F12" s="242" t="str">
        <f t="shared" ref="F12:X12" si="2">CONCATENATE("POP_",F11)</f>
        <v>POP_2017</v>
      </c>
      <c r="G12" s="242" t="str">
        <f t="shared" si="2"/>
        <v>POP_2018</v>
      </c>
      <c r="H12" s="242" t="str">
        <f t="shared" si="2"/>
        <v>POP_2019</v>
      </c>
      <c r="I12" s="242" t="str">
        <f t="shared" si="2"/>
        <v>POP_2020</v>
      </c>
      <c r="J12" s="242" t="str">
        <f t="shared" si="2"/>
        <v>POP_2021</v>
      </c>
      <c r="K12" s="242" t="str">
        <f t="shared" si="2"/>
        <v>POP_2022</v>
      </c>
      <c r="L12" s="242" t="str">
        <f t="shared" si="2"/>
        <v>POP_2023</v>
      </c>
      <c r="M12" s="242" t="str">
        <f t="shared" si="2"/>
        <v>POP_2024</v>
      </c>
      <c r="N12" s="242" t="str">
        <f t="shared" si="2"/>
        <v>POP_2025</v>
      </c>
      <c r="O12" s="242" t="str">
        <f t="shared" si="2"/>
        <v>POP_2026</v>
      </c>
      <c r="P12" s="242" t="str">
        <f t="shared" si="2"/>
        <v>POP_2027</v>
      </c>
      <c r="Q12" s="242" t="str">
        <f t="shared" si="2"/>
        <v>POP_2028</v>
      </c>
      <c r="R12" s="242" t="str">
        <f t="shared" si="2"/>
        <v>POP_2029</v>
      </c>
      <c r="S12" s="242" t="str">
        <f t="shared" si="2"/>
        <v>POP_2030</v>
      </c>
      <c r="T12" s="242" t="str">
        <f t="shared" si="2"/>
        <v>POP_2031</v>
      </c>
      <c r="U12" s="242" t="str">
        <f t="shared" si="2"/>
        <v>POP_2032</v>
      </c>
      <c r="V12" s="242" t="str">
        <f t="shared" si="2"/>
        <v>POP_2033</v>
      </c>
      <c r="W12" s="242" t="str">
        <f t="shared" si="2"/>
        <v>POP_2034</v>
      </c>
      <c r="X12" s="242" t="str">
        <f t="shared" si="2"/>
        <v>POP_2035</v>
      </c>
      <c r="Y12" s="24"/>
      <c r="Z12" s="247" t="s">
        <v>1086</v>
      </c>
      <c r="AB12" s="24"/>
      <c r="AC12" s="24"/>
      <c r="AD12" s="24"/>
      <c r="AE12" s="24"/>
      <c r="AF12" s="24"/>
      <c r="AG12" s="24"/>
      <c r="AH12" s="24"/>
      <c r="AI12" s="24"/>
      <c r="AJ12" s="24"/>
    </row>
    <row r="13" spans="1:36">
      <c r="A13" s="24"/>
      <c r="B13" s="24"/>
      <c r="C13" s="24"/>
      <c r="D13" s="24" t="s">
        <v>1374</v>
      </c>
      <c r="E13" s="257">
        <f>'ES 2007-2013'!D30</f>
        <v>64000</v>
      </c>
      <c r="F13" s="257"/>
      <c r="G13" s="257"/>
      <c r="H13" s="257"/>
      <c r="I13" s="257"/>
      <c r="J13" s="257"/>
      <c r="K13" s="257"/>
      <c r="L13" s="257"/>
      <c r="M13" s="257"/>
      <c r="N13" s="257"/>
      <c r="O13" s="257"/>
      <c r="P13" s="257"/>
      <c r="Q13" s="257"/>
      <c r="R13" s="257"/>
      <c r="S13" s="257"/>
      <c r="T13" s="257"/>
      <c r="U13" s="257"/>
      <c r="V13" s="257"/>
      <c r="W13" s="257"/>
      <c r="X13" s="257"/>
      <c r="Y13" s="24"/>
      <c r="Z13" s="257">
        <f>X14*AA6</f>
        <v>705968.33756933978</v>
      </c>
      <c r="AB13" s="24"/>
      <c r="AC13" s="24"/>
      <c r="AD13" s="24"/>
      <c r="AE13" s="24"/>
      <c r="AF13" s="24"/>
      <c r="AG13" s="24"/>
      <c r="AH13" s="24"/>
      <c r="AI13" s="24"/>
      <c r="AJ13" s="24"/>
    </row>
    <row r="14" spans="1:36">
      <c r="A14" s="24"/>
      <c r="B14" s="24"/>
      <c r="C14" s="282">
        <f>'ES 2007-2013'!$D$32</f>
        <v>7.0000000000000007E-2</v>
      </c>
      <c r="D14" s="24" t="s">
        <v>1375</v>
      </c>
      <c r="E14" s="257">
        <f>E13</f>
        <v>64000</v>
      </c>
      <c r="F14" s="257">
        <f>E14*(1+$C$14)</f>
        <v>68480</v>
      </c>
      <c r="G14" s="257">
        <f>F14*(1+$C$14)</f>
        <v>73273.600000000006</v>
      </c>
      <c r="H14" s="257">
        <f t="shared" ref="H14:N14" si="3">G14*(1+$C$14)</f>
        <v>78402.752000000008</v>
      </c>
      <c r="I14" s="257">
        <f t="shared" si="3"/>
        <v>83890.944640000016</v>
      </c>
      <c r="J14" s="257">
        <f t="shared" si="3"/>
        <v>89763.31076480003</v>
      </c>
      <c r="K14" s="257">
        <f t="shared" si="3"/>
        <v>96046.742518336032</v>
      </c>
      <c r="L14" s="257">
        <f t="shared" si="3"/>
        <v>102770.01449461957</v>
      </c>
      <c r="M14" s="257">
        <f t="shared" si="3"/>
        <v>109963.91550924294</v>
      </c>
      <c r="N14" s="257">
        <f t="shared" si="3"/>
        <v>117661.38959488996</v>
      </c>
      <c r="O14" s="257">
        <f t="shared" ref="O14:X14" si="4">N14</f>
        <v>117661.38959488996</v>
      </c>
      <c r="P14" s="257">
        <f t="shared" si="4"/>
        <v>117661.38959488996</v>
      </c>
      <c r="Q14" s="257">
        <f t="shared" si="4"/>
        <v>117661.38959488996</v>
      </c>
      <c r="R14" s="257">
        <f t="shared" si="4"/>
        <v>117661.38959488996</v>
      </c>
      <c r="S14" s="257">
        <f t="shared" si="4"/>
        <v>117661.38959488996</v>
      </c>
      <c r="T14" s="257">
        <f t="shared" si="4"/>
        <v>117661.38959488996</v>
      </c>
      <c r="U14" s="257">
        <f t="shared" si="4"/>
        <v>117661.38959488996</v>
      </c>
      <c r="V14" s="257">
        <f t="shared" si="4"/>
        <v>117661.38959488996</v>
      </c>
      <c r="W14" s="257">
        <f t="shared" si="4"/>
        <v>117661.38959488996</v>
      </c>
      <c r="X14" s="257">
        <f t="shared" si="4"/>
        <v>117661.38959488996</v>
      </c>
      <c r="Y14" s="24"/>
      <c r="Z14" s="257"/>
      <c r="AB14" s="24"/>
      <c r="AC14" s="24"/>
      <c r="AD14" s="24"/>
      <c r="AE14" s="24"/>
      <c r="AF14" s="24"/>
      <c r="AG14" s="24"/>
      <c r="AH14" s="24"/>
      <c r="AI14" s="24"/>
      <c r="AJ14" s="24"/>
    </row>
    <row r="15" spans="1:36">
      <c r="A15" s="24"/>
      <c r="B15" s="24"/>
      <c r="C15" s="24"/>
      <c r="D15" s="24"/>
      <c r="E15" s="257"/>
      <c r="F15" s="257"/>
      <c r="G15" s="257"/>
      <c r="H15" s="257"/>
      <c r="I15" s="257"/>
      <c r="J15" s="257"/>
      <c r="K15" s="257"/>
      <c r="L15" s="257"/>
      <c r="M15" s="257"/>
      <c r="N15" s="257"/>
      <c r="O15" s="257"/>
      <c r="P15" s="257"/>
      <c r="Q15" s="257"/>
      <c r="R15" s="257"/>
      <c r="S15" s="257"/>
      <c r="T15" s="257"/>
      <c r="U15" s="257"/>
      <c r="V15" s="257"/>
      <c r="W15" s="257"/>
      <c r="X15" s="257"/>
      <c r="Y15" s="24"/>
      <c r="Z15" s="257"/>
      <c r="AB15" s="24"/>
      <c r="AC15" s="24"/>
      <c r="AD15" s="24"/>
      <c r="AE15" s="24"/>
      <c r="AF15" s="24"/>
      <c r="AG15" s="24"/>
      <c r="AH15" s="24"/>
      <c r="AI15" s="24"/>
      <c r="AJ15" s="24"/>
    </row>
    <row r="16" spans="1:36">
      <c r="A16" s="24"/>
      <c r="B16" s="24"/>
      <c r="C16" s="24"/>
      <c r="D16" s="91"/>
      <c r="E16" s="257"/>
      <c r="F16" s="257"/>
      <c r="G16" s="257"/>
      <c r="H16" s="257"/>
      <c r="I16" s="257"/>
      <c r="J16" s="257"/>
      <c r="K16" s="257"/>
      <c r="L16" s="257"/>
      <c r="M16" s="257"/>
      <c r="N16" s="257"/>
      <c r="O16" s="257"/>
      <c r="P16" s="257"/>
      <c r="Q16" s="257"/>
      <c r="R16" s="257"/>
      <c r="S16" s="257"/>
      <c r="T16" s="257"/>
      <c r="U16" s="257"/>
      <c r="V16" s="257"/>
      <c r="W16" s="257"/>
      <c r="X16" s="257"/>
      <c r="Y16" s="24"/>
      <c r="Z16" s="257"/>
      <c r="AB16" s="24"/>
      <c r="AC16" s="24"/>
      <c r="AD16" s="24"/>
      <c r="AE16" s="24"/>
      <c r="AF16" s="24"/>
      <c r="AG16" s="24"/>
      <c r="AH16" s="24"/>
      <c r="AI16" s="24"/>
      <c r="AJ16" s="24"/>
    </row>
    <row r="17" spans="1:36" ht="15">
      <c r="A17" s="252" t="s">
        <v>1191</v>
      </c>
      <c r="B17" s="252"/>
      <c r="C17" s="24"/>
      <c r="D17" s="91"/>
      <c r="E17" s="271">
        <v>1</v>
      </c>
      <c r="F17" s="271">
        <v>2</v>
      </c>
      <c r="G17" s="271">
        <v>3</v>
      </c>
      <c r="H17" s="271">
        <v>4</v>
      </c>
      <c r="I17" s="271">
        <v>5</v>
      </c>
      <c r="J17" s="271">
        <v>6</v>
      </c>
      <c r="K17" s="271">
        <v>7</v>
      </c>
      <c r="L17" s="271">
        <v>8</v>
      </c>
      <c r="M17" s="271">
        <v>9</v>
      </c>
      <c r="N17" s="271">
        <v>10</v>
      </c>
      <c r="O17" s="271">
        <v>11</v>
      </c>
      <c r="P17" s="271">
        <v>12</v>
      </c>
      <c r="Q17" s="271">
        <v>13</v>
      </c>
      <c r="R17" s="271">
        <v>14</v>
      </c>
      <c r="S17" s="271">
        <v>15</v>
      </c>
      <c r="T17" s="271">
        <v>16</v>
      </c>
      <c r="U17" s="271">
        <v>17</v>
      </c>
      <c r="V17" s="271">
        <v>18</v>
      </c>
      <c r="W17" s="271">
        <v>19</v>
      </c>
      <c r="X17" s="271">
        <v>20</v>
      </c>
      <c r="Y17" s="24"/>
      <c r="Z17" s="247" t="s">
        <v>1086</v>
      </c>
      <c r="AB17" s="24"/>
      <c r="AC17" s="24"/>
      <c r="AD17" s="24"/>
      <c r="AE17" s="24"/>
      <c r="AF17" s="24"/>
      <c r="AG17" s="24"/>
      <c r="AH17" s="24"/>
      <c r="AI17" s="24"/>
      <c r="AJ17" s="24"/>
    </row>
    <row r="18" spans="1:36">
      <c r="A18" s="270" t="s">
        <v>1192</v>
      </c>
      <c r="B18" s="270"/>
      <c r="C18" s="24" t="s">
        <v>1190</v>
      </c>
      <c r="D18" s="24" t="s">
        <v>1376</v>
      </c>
      <c r="E18" s="257"/>
      <c r="F18" s="257"/>
      <c r="G18" s="257"/>
      <c r="H18" s="257"/>
      <c r="I18" s="257"/>
      <c r="J18" s="257"/>
      <c r="K18" s="257"/>
      <c r="L18" s="257"/>
      <c r="M18" s="257"/>
      <c r="N18" s="257"/>
      <c r="O18" s="257"/>
      <c r="P18" s="257"/>
      <c r="Q18" s="257"/>
      <c r="R18" s="257"/>
      <c r="S18" s="257"/>
      <c r="T18" s="257"/>
      <c r="U18" s="257"/>
      <c r="V18" s="257"/>
      <c r="W18" s="257"/>
      <c r="X18" s="257"/>
      <c r="Y18" s="24"/>
      <c r="Z18" s="257">
        <f>SUM(E18:X18)</f>
        <v>0</v>
      </c>
      <c r="AB18" s="24"/>
      <c r="AC18" s="24"/>
      <c r="AD18" s="24"/>
      <c r="AE18" s="24"/>
      <c r="AF18" s="24"/>
      <c r="AG18" s="24"/>
      <c r="AH18" s="24"/>
      <c r="AI18" s="24"/>
      <c r="AJ18" s="24"/>
    </row>
    <row r="19" spans="1:36" ht="13.5" thickBot="1">
      <c r="A19" s="24"/>
      <c r="B19" s="24"/>
      <c r="C19" s="24"/>
      <c r="D19" s="91"/>
      <c r="E19" s="257"/>
      <c r="F19" s="257"/>
      <c r="G19" s="257"/>
      <c r="H19" s="257"/>
      <c r="I19" s="257"/>
      <c r="J19" s="257"/>
      <c r="K19" s="257"/>
      <c r="L19" s="257"/>
      <c r="M19" s="257"/>
      <c r="N19" s="257"/>
      <c r="O19" s="257"/>
      <c r="P19" s="257"/>
      <c r="Q19" s="257"/>
      <c r="R19" s="257"/>
      <c r="S19" s="257"/>
      <c r="T19" s="257"/>
      <c r="U19" s="257"/>
      <c r="V19" s="257"/>
      <c r="W19" s="257"/>
      <c r="X19" s="257"/>
      <c r="Y19" s="24"/>
      <c r="Z19" s="257"/>
      <c r="AB19" s="24"/>
      <c r="AC19" s="24"/>
      <c r="AD19" s="24"/>
      <c r="AE19" s="24"/>
      <c r="AF19" s="24"/>
      <c r="AG19" s="24"/>
      <c r="AH19" s="24"/>
      <c r="AI19" s="24"/>
      <c r="AJ19" s="24"/>
    </row>
    <row r="20" spans="1:36" ht="14.25" thickTop="1" thickBot="1">
      <c r="A20" s="24"/>
      <c r="B20" s="24"/>
      <c r="C20" s="24"/>
      <c r="D20" s="91"/>
      <c r="E20" s="257"/>
      <c r="F20" s="257"/>
      <c r="G20" s="257"/>
      <c r="H20" s="257"/>
      <c r="I20" s="257"/>
      <c r="J20" s="257"/>
      <c r="K20" s="257"/>
      <c r="L20" s="257"/>
      <c r="M20" s="257"/>
      <c r="N20" s="257"/>
      <c r="O20" s="257"/>
      <c r="P20" s="257"/>
      <c r="Q20" s="257"/>
      <c r="R20" s="257"/>
      <c r="S20" s="257"/>
      <c r="T20" s="257"/>
      <c r="U20" s="257"/>
      <c r="V20" s="257"/>
      <c r="W20" s="257"/>
      <c r="X20" s="257"/>
      <c r="Y20" s="272">
        <v>0.85</v>
      </c>
      <c r="Z20" s="24"/>
      <c r="AB20" s="24"/>
      <c r="AC20" s="24"/>
      <c r="AD20" s="24"/>
      <c r="AE20" s="24"/>
      <c r="AF20" s="24"/>
      <c r="AG20" s="24"/>
      <c r="AH20" s="24"/>
      <c r="AI20" s="24"/>
      <c r="AJ20" s="24"/>
    </row>
    <row r="21" spans="1:36" ht="15.75" thickTop="1">
      <c r="A21" s="252" t="s">
        <v>1193</v>
      </c>
      <c r="B21" s="252"/>
      <c r="C21" s="24"/>
      <c r="D21" s="91"/>
      <c r="E21" s="242">
        <f>E11</f>
        <v>2016</v>
      </c>
      <c r="F21" s="242">
        <f t="shared" ref="F21:X21" si="5">F11</f>
        <v>2017</v>
      </c>
      <c r="G21" s="242">
        <f t="shared" si="5"/>
        <v>2018</v>
      </c>
      <c r="H21" s="242">
        <f t="shared" si="5"/>
        <v>2019</v>
      </c>
      <c r="I21" s="242">
        <f t="shared" si="5"/>
        <v>2020</v>
      </c>
      <c r="J21" s="242">
        <f t="shared" si="5"/>
        <v>2021</v>
      </c>
      <c r="K21" s="242">
        <f t="shared" si="5"/>
        <v>2022</v>
      </c>
      <c r="L21" s="242">
        <f t="shared" si="5"/>
        <v>2023</v>
      </c>
      <c r="M21" s="242">
        <f t="shared" si="5"/>
        <v>2024</v>
      </c>
      <c r="N21" s="242">
        <f t="shared" si="5"/>
        <v>2025</v>
      </c>
      <c r="O21" s="242">
        <f t="shared" si="5"/>
        <v>2026</v>
      </c>
      <c r="P21" s="242">
        <f t="shared" si="5"/>
        <v>2027</v>
      </c>
      <c r="Q21" s="242">
        <f t="shared" si="5"/>
        <v>2028</v>
      </c>
      <c r="R21" s="242">
        <f t="shared" si="5"/>
        <v>2029</v>
      </c>
      <c r="S21" s="242">
        <f t="shared" si="5"/>
        <v>2030</v>
      </c>
      <c r="T21" s="242">
        <f t="shared" si="5"/>
        <v>2031</v>
      </c>
      <c r="U21" s="242">
        <f t="shared" si="5"/>
        <v>2032</v>
      </c>
      <c r="V21" s="242">
        <f t="shared" si="5"/>
        <v>2033</v>
      </c>
      <c r="W21" s="242">
        <f t="shared" si="5"/>
        <v>2034</v>
      </c>
      <c r="X21" s="242">
        <f t="shared" si="5"/>
        <v>2035</v>
      </c>
      <c r="Y21" s="247" t="s">
        <v>1085</v>
      </c>
      <c r="Z21" s="247" t="s">
        <v>1086</v>
      </c>
      <c r="AB21" s="24"/>
      <c r="AC21" s="24"/>
      <c r="AD21" s="24"/>
      <c r="AE21" s="24"/>
      <c r="AF21" s="24"/>
      <c r="AG21" s="24"/>
      <c r="AH21" s="24"/>
      <c r="AI21" s="24"/>
      <c r="AJ21" s="24"/>
    </row>
    <row r="22" spans="1:36">
      <c r="A22" s="24"/>
      <c r="B22" s="24"/>
      <c r="C22" s="24" t="s">
        <v>1194</v>
      </c>
      <c r="D22" s="91"/>
      <c r="E22" s="257">
        <f>E14</f>
        <v>64000</v>
      </c>
      <c r="F22" s="257">
        <f t="shared" ref="F22:X22" si="6">F14</f>
        <v>68480</v>
      </c>
      <c r="G22" s="257">
        <f t="shared" si="6"/>
        <v>73273.600000000006</v>
      </c>
      <c r="H22" s="257">
        <f t="shared" si="6"/>
        <v>78402.752000000008</v>
      </c>
      <c r="I22" s="257">
        <f t="shared" si="6"/>
        <v>83890.944640000016</v>
      </c>
      <c r="J22" s="257">
        <f t="shared" si="6"/>
        <v>89763.31076480003</v>
      </c>
      <c r="K22" s="257">
        <f t="shared" si="6"/>
        <v>96046.742518336032</v>
      </c>
      <c r="L22" s="257">
        <f t="shared" si="6"/>
        <v>102770.01449461957</v>
      </c>
      <c r="M22" s="257">
        <f t="shared" si="6"/>
        <v>109963.91550924294</v>
      </c>
      <c r="N22" s="257">
        <f t="shared" si="6"/>
        <v>117661.38959488996</v>
      </c>
      <c r="O22" s="257">
        <f t="shared" si="6"/>
        <v>117661.38959488996</v>
      </c>
      <c r="P22" s="257">
        <f t="shared" si="6"/>
        <v>117661.38959488996</v>
      </c>
      <c r="Q22" s="257">
        <f t="shared" si="6"/>
        <v>117661.38959488996</v>
      </c>
      <c r="R22" s="257">
        <f t="shared" si="6"/>
        <v>117661.38959488996</v>
      </c>
      <c r="S22" s="257">
        <f t="shared" si="6"/>
        <v>117661.38959488996</v>
      </c>
      <c r="T22" s="257">
        <f t="shared" si="6"/>
        <v>117661.38959488996</v>
      </c>
      <c r="U22" s="257">
        <f t="shared" si="6"/>
        <v>117661.38959488996</v>
      </c>
      <c r="V22" s="257">
        <f t="shared" si="6"/>
        <v>117661.38959488996</v>
      </c>
      <c r="W22" s="257">
        <f t="shared" si="6"/>
        <v>117661.38959488996</v>
      </c>
      <c r="X22" s="257">
        <f t="shared" si="6"/>
        <v>117661.38959488996</v>
      </c>
      <c r="Y22" s="277">
        <f>Z13*$Y$20</f>
        <v>600073.08693393879</v>
      </c>
      <c r="Z22" s="257">
        <f>SUM(E22:X22)</f>
        <v>2060866.5654707879</v>
      </c>
      <c r="AB22" s="24"/>
      <c r="AC22" s="24"/>
      <c r="AD22" s="24"/>
      <c r="AE22" s="24"/>
      <c r="AF22" s="24"/>
      <c r="AG22" s="24"/>
      <c r="AH22" s="24"/>
      <c r="AI22" s="24"/>
      <c r="AJ22" s="24"/>
    </row>
    <row r="23" spans="1:36">
      <c r="A23" s="24"/>
      <c r="B23" s="24"/>
      <c r="C23" s="24"/>
      <c r="D23" s="24"/>
      <c r="E23" s="257"/>
      <c r="F23" s="257"/>
      <c r="G23" s="257"/>
      <c r="H23" s="257"/>
      <c r="I23" s="257"/>
      <c r="J23" s="257"/>
      <c r="K23" s="257"/>
      <c r="L23" s="257"/>
      <c r="M23" s="257"/>
      <c r="N23" s="257"/>
      <c r="O23" s="257"/>
      <c r="P23" s="257"/>
      <c r="Q23" s="257"/>
      <c r="R23" s="257"/>
      <c r="S23" s="257"/>
      <c r="T23" s="257"/>
      <c r="U23" s="257"/>
      <c r="V23" s="257"/>
      <c r="W23" s="257"/>
      <c r="X23" s="257"/>
      <c r="Y23" s="24"/>
      <c r="Z23" s="24"/>
      <c r="AB23" s="24"/>
      <c r="AC23" s="24"/>
      <c r="AD23" s="24"/>
      <c r="AE23" s="24"/>
      <c r="AF23" s="24"/>
      <c r="AG23" s="24"/>
      <c r="AH23" s="24"/>
      <c r="AI23" s="24"/>
      <c r="AJ23" s="24"/>
    </row>
    <row r="24" spans="1:36">
      <c r="A24" s="24"/>
      <c r="B24" s="24"/>
      <c r="C24" s="24"/>
      <c r="D24" s="24"/>
      <c r="E24" s="257"/>
      <c r="F24" s="257"/>
      <c r="G24" s="257"/>
      <c r="H24" s="257"/>
      <c r="I24" s="257"/>
      <c r="J24" s="257"/>
      <c r="K24" s="257"/>
      <c r="L24" s="257"/>
      <c r="M24" s="257"/>
      <c r="N24" s="257"/>
      <c r="O24" s="257"/>
      <c r="P24" s="257"/>
      <c r="Q24" s="257"/>
      <c r="R24" s="257"/>
      <c r="S24" s="257"/>
      <c r="T24" s="257"/>
      <c r="U24" s="257"/>
      <c r="V24" s="257"/>
      <c r="W24" s="257"/>
      <c r="X24" s="257"/>
      <c r="Y24" s="24"/>
      <c r="Z24" s="24"/>
      <c r="AB24" s="24"/>
      <c r="AC24" s="24"/>
      <c r="AD24" s="24"/>
      <c r="AE24" s="24"/>
      <c r="AF24" s="24"/>
      <c r="AG24" s="24"/>
      <c r="AH24" s="24"/>
      <c r="AI24" s="24"/>
      <c r="AJ24" s="24"/>
    </row>
    <row r="25" spans="1:36">
      <c r="A25" s="337" t="s">
        <v>1383</v>
      </c>
      <c r="B25" s="337" t="s">
        <v>1387</v>
      </c>
      <c r="C25" s="24"/>
      <c r="D25" s="24"/>
      <c r="E25" s="257"/>
      <c r="F25" s="257"/>
      <c r="G25" s="257"/>
      <c r="H25" s="257"/>
      <c r="I25" s="257"/>
      <c r="J25" s="257"/>
      <c r="K25" s="257"/>
      <c r="L25" s="257"/>
      <c r="M25" s="257"/>
      <c r="N25" s="257"/>
      <c r="O25" s="257"/>
      <c r="P25" s="257"/>
      <c r="Q25" s="257"/>
      <c r="R25" s="257"/>
      <c r="S25" s="257"/>
      <c r="T25" s="257"/>
      <c r="U25" s="257"/>
      <c r="V25" s="257"/>
      <c r="W25" s="257"/>
      <c r="X25" s="257"/>
      <c r="Y25" s="24"/>
      <c r="Z25" s="257"/>
      <c r="AB25" s="24"/>
      <c r="AC25" s="24"/>
      <c r="AD25" s="24"/>
      <c r="AE25" s="24"/>
      <c r="AF25" s="24"/>
      <c r="AG25" s="24"/>
      <c r="AH25" s="24"/>
      <c r="AI25" s="24"/>
      <c r="AJ25" s="24"/>
    </row>
    <row r="26" spans="1:36" ht="15">
      <c r="A26" s="249" t="s">
        <v>1087</v>
      </c>
      <c r="B26" s="249"/>
      <c r="C26" s="24"/>
      <c r="D26" s="24" t="s">
        <v>1088</v>
      </c>
      <c r="E26" s="257"/>
      <c r="F26" s="257"/>
      <c r="G26" s="257"/>
      <c r="H26" s="257"/>
      <c r="I26" s="257"/>
      <c r="J26" s="257"/>
      <c r="K26" s="257"/>
      <c r="L26" s="257"/>
      <c r="M26" s="257"/>
      <c r="N26" s="257"/>
      <c r="O26" s="257"/>
      <c r="P26" s="257"/>
      <c r="Q26" s="257"/>
      <c r="R26" s="257"/>
      <c r="S26" s="257"/>
      <c r="T26" s="257"/>
      <c r="U26" s="257"/>
      <c r="V26" s="257"/>
      <c r="W26" s="257"/>
      <c r="X26" s="257"/>
      <c r="Y26" s="24"/>
      <c r="Z26" s="24"/>
      <c r="AB26" s="24"/>
      <c r="AC26" s="24"/>
      <c r="AD26" s="24"/>
      <c r="AE26" s="24"/>
      <c r="AF26" s="24"/>
      <c r="AG26" s="24"/>
      <c r="AH26" s="24"/>
      <c r="AI26" s="24"/>
      <c r="AJ26" s="24"/>
    </row>
    <row r="27" spans="1:36" ht="15">
      <c r="A27" s="250" t="s">
        <v>1385</v>
      </c>
      <c r="B27" s="250" t="s">
        <v>1386</v>
      </c>
      <c r="C27" s="250" t="s">
        <v>1198</v>
      </c>
      <c r="D27" s="250" t="str">
        <f>$C$8</f>
        <v>Water Cooler Controls-NR</v>
      </c>
      <c r="E27" s="251">
        <f>E11</f>
        <v>2016</v>
      </c>
      <c r="F27" s="251">
        <f t="shared" ref="F27:X27" si="7">F11</f>
        <v>2017</v>
      </c>
      <c r="G27" s="251">
        <f t="shared" si="7"/>
        <v>2018</v>
      </c>
      <c r="H27" s="251">
        <f t="shared" si="7"/>
        <v>2019</v>
      </c>
      <c r="I27" s="251">
        <f t="shared" si="7"/>
        <v>2020</v>
      </c>
      <c r="J27" s="251">
        <f t="shared" si="7"/>
        <v>2021</v>
      </c>
      <c r="K27" s="251">
        <f t="shared" si="7"/>
        <v>2022</v>
      </c>
      <c r="L27" s="251">
        <f t="shared" si="7"/>
        <v>2023</v>
      </c>
      <c r="M27" s="251">
        <f t="shared" si="7"/>
        <v>2024</v>
      </c>
      <c r="N27" s="251">
        <f t="shared" si="7"/>
        <v>2025</v>
      </c>
      <c r="O27" s="251">
        <f t="shared" si="7"/>
        <v>2026</v>
      </c>
      <c r="P27" s="251">
        <f t="shared" si="7"/>
        <v>2027</v>
      </c>
      <c r="Q27" s="251">
        <f t="shared" si="7"/>
        <v>2028</v>
      </c>
      <c r="R27" s="251">
        <f t="shared" si="7"/>
        <v>2029</v>
      </c>
      <c r="S27" s="251">
        <f t="shared" si="7"/>
        <v>2030</v>
      </c>
      <c r="T27" s="251">
        <f t="shared" si="7"/>
        <v>2031</v>
      </c>
      <c r="U27" s="251">
        <f t="shared" si="7"/>
        <v>2032</v>
      </c>
      <c r="V27" s="251">
        <f t="shared" si="7"/>
        <v>2033</v>
      </c>
      <c r="W27" s="251">
        <f t="shared" si="7"/>
        <v>2034</v>
      </c>
      <c r="X27" s="251">
        <f t="shared" si="7"/>
        <v>2035</v>
      </c>
      <c r="Y27" s="247" t="s">
        <v>1085</v>
      </c>
      <c r="Z27" s="247" t="s">
        <v>1086</v>
      </c>
      <c r="AB27" s="24"/>
      <c r="AC27" s="24"/>
      <c r="AD27" s="24"/>
      <c r="AE27" s="24"/>
      <c r="AF27" s="24"/>
      <c r="AG27" s="24"/>
      <c r="AH27" s="24"/>
      <c r="AI27" s="24"/>
      <c r="AJ27" s="24"/>
    </row>
    <row r="28" spans="1:36">
      <c r="A28" s="338">
        <f>VLOOKUP($D28,MMap!$B$12:$K$24,MATCH('SC-NR'!A$25,MMap!$B$12:$K$12,0),FALSE)</f>
        <v>1</v>
      </c>
      <c r="B28" s="338">
        <f>VLOOKUP($D28,MMap!$B$12:$K$24,MATCH('SC-NR'!B$25,MMap!$B$12:$K$12,0),FALSE)</f>
        <v>0.5</v>
      </c>
      <c r="C28" s="276">
        <v>1</v>
      </c>
      <c r="D28" s="345" t="s">
        <v>768</v>
      </c>
      <c r="E28" s="277">
        <f>E$22*$C28*$B28*$A28</f>
        <v>32000</v>
      </c>
      <c r="F28" s="277">
        <f t="shared" ref="F28:X30" si="8">F$22*$C28*$B28*$A28</f>
        <v>34240</v>
      </c>
      <c r="G28" s="277">
        <f t="shared" si="8"/>
        <v>36636.800000000003</v>
      </c>
      <c r="H28" s="277">
        <f t="shared" si="8"/>
        <v>39201.376000000004</v>
      </c>
      <c r="I28" s="277">
        <f t="shared" si="8"/>
        <v>41945.472320000008</v>
      </c>
      <c r="J28" s="277">
        <f t="shared" si="8"/>
        <v>44881.655382400015</v>
      </c>
      <c r="K28" s="277">
        <f t="shared" si="8"/>
        <v>48023.371259168016</v>
      </c>
      <c r="L28" s="277">
        <f t="shared" si="8"/>
        <v>51385.007247309783</v>
      </c>
      <c r="M28" s="277">
        <f t="shared" si="8"/>
        <v>54981.957754621471</v>
      </c>
      <c r="N28" s="277">
        <f t="shared" si="8"/>
        <v>58830.694797444979</v>
      </c>
      <c r="O28" s="277">
        <f t="shared" si="8"/>
        <v>58830.694797444979</v>
      </c>
      <c r="P28" s="277">
        <f t="shared" si="8"/>
        <v>58830.694797444979</v>
      </c>
      <c r="Q28" s="277">
        <f t="shared" si="8"/>
        <v>58830.694797444979</v>
      </c>
      <c r="R28" s="277">
        <f t="shared" si="8"/>
        <v>58830.694797444979</v>
      </c>
      <c r="S28" s="277">
        <f t="shared" si="8"/>
        <v>58830.694797444979</v>
      </c>
      <c r="T28" s="277">
        <f t="shared" si="8"/>
        <v>58830.694797444979</v>
      </c>
      <c r="U28" s="277">
        <f t="shared" si="8"/>
        <v>58830.694797444979</v>
      </c>
      <c r="V28" s="277">
        <f t="shared" si="8"/>
        <v>58830.694797444979</v>
      </c>
      <c r="W28" s="277">
        <f t="shared" si="8"/>
        <v>58830.694797444979</v>
      </c>
      <c r="X28" s="277">
        <f t="shared" si="8"/>
        <v>58830.694797444979</v>
      </c>
      <c r="Y28" s="274">
        <f>Z28*$Y$20</f>
        <v>255031.06194692399</v>
      </c>
      <c r="Z28" s="273">
        <f>$Y$22*B28*A28</f>
        <v>300036.54346696939</v>
      </c>
      <c r="AB28" s="24"/>
      <c r="AC28" s="24"/>
      <c r="AD28" s="24"/>
      <c r="AE28" s="24"/>
      <c r="AF28" s="24"/>
      <c r="AG28" s="24"/>
      <c r="AH28" s="24"/>
      <c r="AI28" s="24"/>
      <c r="AJ28" s="24"/>
    </row>
    <row r="29" spans="1:36">
      <c r="A29" s="338">
        <f>VLOOKUP($D29,MMap!$B$12:$K$24,MATCH('SC-NR'!A$25,MMap!$B$12:$K$12,0),FALSE)</f>
        <v>0.8</v>
      </c>
      <c r="B29" s="338">
        <f>VLOOKUP($D29,MMap!$B$12:$K$24,MATCH('SC-NR'!B$25,MMap!$B$12:$K$12,0),FALSE)</f>
        <v>1</v>
      </c>
      <c r="C29" s="276">
        <v>1</v>
      </c>
      <c r="D29" s="345" t="s">
        <v>1187</v>
      </c>
      <c r="E29" s="277">
        <f>E$22*$C29*$B29*$A29</f>
        <v>51200</v>
      </c>
      <c r="F29" s="277">
        <f t="shared" si="8"/>
        <v>54784</v>
      </c>
      <c r="G29" s="277">
        <f t="shared" si="8"/>
        <v>58618.880000000005</v>
      </c>
      <c r="H29" s="277">
        <f t="shared" si="8"/>
        <v>62722.201600000008</v>
      </c>
      <c r="I29" s="277">
        <f t="shared" si="8"/>
        <v>67112.755712000013</v>
      </c>
      <c r="J29" s="277">
        <f t="shared" si="8"/>
        <v>71810.648611840021</v>
      </c>
      <c r="K29" s="277">
        <f t="shared" si="8"/>
        <v>76837.394014668826</v>
      </c>
      <c r="L29" s="277">
        <f t="shared" si="8"/>
        <v>82216.011595695658</v>
      </c>
      <c r="M29" s="277">
        <f t="shared" si="8"/>
        <v>87971.132407394354</v>
      </c>
      <c r="N29" s="277">
        <f t="shared" si="8"/>
        <v>94129.111675911976</v>
      </c>
      <c r="O29" s="277">
        <f t="shared" si="8"/>
        <v>94129.111675911976</v>
      </c>
      <c r="P29" s="277">
        <f t="shared" si="8"/>
        <v>94129.111675911976</v>
      </c>
      <c r="Q29" s="277">
        <f t="shared" si="8"/>
        <v>94129.111675911976</v>
      </c>
      <c r="R29" s="277">
        <f t="shared" si="8"/>
        <v>94129.111675911976</v>
      </c>
      <c r="S29" s="277">
        <f t="shared" si="8"/>
        <v>94129.111675911976</v>
      </c>
      <c r="T29" s="277">
        <f t="shared" si="8"/>
        <v>94129.111675911976</v>
      </c>
      <c r="U29" s="277">
        <f t="shared" si="8"/>
        <v>94129.111675911976</v>
      </c>
      <c r="V29" s="277">
        <f t="shared" si="8"/>
        <v>94129.111675911976</v>
      </c>
      <c r="W29" s="277">
        <f t="shared" si="8"/>
        <v>94129.111675911976</v>
      </c>
      <c r="X29" s="277">
        <f t="shared" si="8"/>
        <v>94129.111675911976</v>
      </c>
      <c r="Y29" s="274">
        <f>Z29*$Y$20</f>
        <v>408049.69911507837</v>
      </c>
      <c r="Z29" s="273">
        <f t="shared" ref="Z29:Z30" si="9">$Y$22*B29*A29</f>
        <v>480058.46954715106</v>
      </c>
      <c r="AB29" s="24"/>
      <c r="AC29" s="24"/>
      <c r="AD29" s="24"/>
      <c r="AE29" s="24"/>
      <c r="AF29" s="24"/>
      <c r="AG29" s="24"/>
      <c r="AH29" s="24"/>
      <c r="AI29" s="24"/>
      <c r="AJ29" s="24"/>
    </row>
    <row r="30" spans="1:36">
      <c r="A30" s="338">
        <f>VLOOKUP($D30,MMap!$B$12:$K$24,MATCH('SC-NR'!A$25,MMap!$B$12:$K$12,0),FALSE)</f>
        <v>0.19999999999999996</v>
      </c>
      <c r="B30" s="338">
        <f>VLOOKUP($D30,MMap!$B$12:$K$24,MATCH('SC-NR'!B$25,MMap!$B$12:$K$12,0),FALSE)</f>
        <v>1</v>
      </c>
      <c r="C30" s="276">
        <v>1</v>
      </c>
      <c r="D30" s="345" t="s">
        <v>1382</v>
      </c>
      <c r="E30" s="277">
        <f>E$22*$C30*$B30*$A30</f>
        <v>12799.999999999996</v>
      </c>
      <c r="F30" s="277">
        <f t="shared" si="8"/>
        <v>13695.999999999996</v>
      </c>
      <c r="G30" s="277">
        <f t="shared" si="8"/>
        <v>14654.719999999998</v>
      </c>
      <c r="H30" s="277">
        <f t="shared" si="8"/>
        <v>15680.550399999998</v>
      </c>
      <c r="I30" s="277">
        <f t="shared" si="8"/>
        <v>16778.188928</v>
      </c>
      <c r="J30" s="277">
        <f t="shared" si="8"/>
        <v>17952.662152960002</v>
      </c>
      <c r="K30" s="277">
        <f t="shared" si="8"/>
        <v>19209.348503667203</v>
      </c>
      <c r="L30" s="277">
        <f t="shared" si="8"/>
        <v>20554.002898923907</v>
      </c>
      <c r="M30" s="277">
        <f t="shared" si="8"/>
        <v>21992.783101848585</v>
      </c>
      <c r="N30" s="277">
        <f t="shared" si="8"/>
        <v>23532.277918977987</v>
      </c>
      <c r="O30" s="277">
        <f t="shared" si="8"/>
        <v>23532.277918977987</v>
      </c>
      <c r="P30" s="277">
        <f t="shared" si="8"/>
        <v>23532.277918977987</v>
      </c>
      <c r="Q30" s="277">
        <f t="shared" si="8"/>
        <v>23532.277918977987</v>
      </c>
      <c r="R30" s="277">
        <f t="shared" si="8"/>
        <v>23532.277918977987</v>
      </c>
      <c r="S30" s="277">
        <f t="shared" si="8"/>
        <v>23532.277918977987</v>
      </c>
      <c r="T30" s="277">
        <f t="shared" si="8"/>
        <v>23532.277918977987</v>
      </c>
      <c r="U30" s="277">
        <f t="shared" si="8"/>
        <v>23532.277918977987</v>
      </c>
      <c r="V30" s="277">
        <f t="shared" si="8"/>
        <v>23532.277918977987</v>
      </c>
      <c r="W30" s="277">
        <f t="shared" si="8"/>
        <v>23532.277918977987</v>
      </c>
      <c r="X30" s="277">
        <f t="shared" si="8"/>
        <v>23532.277918977987</v>
      </c>
      <c r="Y30" s="274">
        <f>Z30*$Y$20</f>
        <v>102012.42477876958</v>
      </c>
      <c r="Z30" s="273">
        <f t="shared" si="9"/>
        <v>120014.61738678774</v>
      </c>
      <c r="AB30" s="24"/>
      <c r="AC30" s="24"/>
      <c r="AD30" s="24"/>
      <c r="AE30" s="24"/>
      <c r="AF30" s="24"/>
      <c r="AG30" s="24"/>
      <c r="AH30" s="24"/>
      <c r="AI30" s="24"/>
      <c r="AJ30" s="24"/>
    </row>
    <row r="31" spans="1:36">
      <c r="Y31" s="274"/>
      <c r="Z31" s="273"/>
      <c r="AB31" s="24"/>
      <c r="AC31" s="24"/>
      <c r="AD31" s="24"/>
      <c r="AE31" s="24"/>
      <c r="AF31" s="24"/>
      <c r="AG31" s="24"/>
      <c r="AH31" s="24"/>
      <c r="AI31" s="24"/>
      <c r="AJ31" s="24"/>
    </row>
    <row r="32" spans="1:36">
      <c r="A32" s="24"/>
      <c r="B32" s="24"/>
      <c r="C32" s="24"/>
      <c r="D32" s="91" t="s">
        <v>1195</v>
      </c>
      <c r="E32" s="257">
        <f>SUM(E28:E30)</f>
        <v>96000</v>
      </c>
      <c r="F32" s="257">
        <f t="shared" ref="F32:X32" si="10">SUM(F28:F30)</f>
        <v>102720</v>
      </c>
      <c r="G32" s="257">
        <f t="shared" si="10"/>
        <v>109910.40000000001</v>
      </c>
      <c r="H32" s="257">
        <f t="shared" si="10"/>
        <v>117604.12800000001</v>
      </c>
      <c r="I32" s="257">
        <f t="shared" si="10"/>
        <v>125836.41696000002</v>
      </c>
      <c r="J32" s="257">
        <f t="shared" si="10"/>
        <v>134644.96614720003</v>
      </c>
      <c r="K32" s="257">
        <f t="shared" si="10"/>
        <v>144070.11377750404</v>
      </c>
      <c r="L32" s="257">
        <f t="shared" si="10"/>
        <v>154155.02174192935</v>
      </c>
      <c r="M32" s="257">
        <f t="shared" si="10"/>
        <v>164945.8732638644</v>
      </c>
      <c r="N32" s="257">
        <f t="shared" si="10"/>
        <v>176492.08439233495</v>
      </c>
      <c r="O32" s="257">
        <f t="shared" si="10"/>
        <v>176492.08439233495</v>
      </c>
      <c r="P32" s="257">
        <f t="shared" si="10"/>
        <v>176492.08439233495</v>
      </c>
      <c r="Q32" s="257">
        <f t="shared" si="10"/>
        <v>176492.08439233495</v>
      </c>
      <c r="R32" s="257">
        <f t="shared" si="10"/>
        <v>176492.08439233495</v>
      </c>
      <c r="S32" s="257">
        <f t="shared" si="10"/>
        <v>176492.08439233495</v>
      </c>
      <c r="T32" s="257">
        <f t="shared" si="10"/>
        <v>176492.08439233495</v>
      </c>
      <c r="U32" s="257">
        <f t="shared" si="10"/>
        <v>176492.08439233495</v>
      </c>
      <c r="V32" s="257">
        <f t="shared" si="10"/>
        <v>176492.08439233495</v>
      </c>
      <c r="W32" s="257">
        <f t="shared" si="10"/>
        <v>176492.08439233495</v>
      </c>
      <c r="X32" s="257">
        <f t="shared" si="10"/>
        <v>176492.08439233495</v>
      </c>
      <c r="Y32" s="273">
        <f>SUM(Y28:Y31)</f>
        <v>765093.185840772</v>
      </c>
      <c r="Z32" s="273">
        <f>SUM(Z28:Z31)</f>
        <v>900109.6304009083</v>
      </c>
      <c r="AB32" s="24"/>
      <c r="AC32" s="24"/>
      <c r="AD32" s="24"/>
      <c r="AE32" s="24"/>
      <c r="AF32" s="24"/>
      <c r="AG32" s="24"/>
      <c r="AH32" s="24"/>
      <c r="AI32" s="24"/>
      <c r="AJ32" s="24"/>
    </row>
    <row r="33" spans="1:36">
      <c r="A33" s="24"/>
      <c r="B33" s="24"/>
      <c r="C33" s="24"/>
      <c r="D33" s="91"/>
      <c r="E33" s="257"/>
      <c r="F33" s="257"/>
      <c r="G33" s="257"/>
      <c r="H33" s="257"/>
      <c r="I33" s="257"/>
      <c r="J33" s="257"/>
      <c r="K33" s="257"/>
      <c r="L33" s="257"/>
      <c r="M33" s="257"/>
      <c r="N33" s="257"/>
      <c r="O33" s="257"/>
      <c r="P33" s="257"/>
      <c r="Q33" s="257"/>
      <c r="R33" s="257"/>
      <c r="S33" s="257"/>
      <c r="T33" s="257"/>
      <c r="U33" s="257"/>
      <c r="V33" s="257"/>
      <c r="W33" s="257"/>
      <c r="X33" s="257"/>
      <c r="Y33" s="24"/>
      <c r="Z33" s="257"/>
      <c r="AB33" s="24"/>
      <c r="AC33" s="24"/>
      <c r="AD33" s="24"/>
      <c r="AE33" s="24"/>
      <c r="AF33" s="24"/>
      <c r="AG33" s="24"/>
      <c r="AH33" s="24"/>
      <c r="AI33" s="24"/>
      <c r="AJ33" s="24"/>
    </row>
    <row r="34" spans="1:36" ht="15">
      <c r="A34" s="249" t="s">
        <v>1087</v>
      </c>
      <c r="B34" s="249"/>
      <c r="C34" s="24"/>
      <c r="D34" s="24" t="s">
        <v>1092</v>
      </c>
      <c r="E34" s="234"/>
      <c r="F34" s="234"/>
      <c r="G34" s="91"/>
      <c r="H34" s="91"/>
      <c r="I34" s="91"/>
      <c r="J34" s="91"/>
      <c r="K34" s="91"/>
      <c r="L34" s="91"/>
      <c r="M34" s="91"/>
      <c r="N34" s="91"/>
      <c r="O34" s="91"/>
      <c r="P34" s="91"/>
      <c r="Q34" s="91"/>
      <c r="R34" s="91"/>
      <c r="S34" s="91"/>
      <c r="T34" s="91"/>
      <c r="U34" s="91"/>
      <c r="V34" s="91"/>
      <c r="W34" s="91"/>
      <c r="X34" s="91"/>
      <c r="Y34" s="24"/>
      <c r="Z34" s="91"/>
      <c r="AB34" s="24"/>
      <c r="AC34" s="24"/>
      <c r="AD34" s="24"/>
      <c r="AE34" s="24"/>
      <c r="AF34" s="24"/>
      <c r="AG34" s="24"/>
      <c r="AH34" s="24"/>
      <c r="AI34" s="24"/>
      <c r="AJ34" s="24"/>
    </row>
    <row r="35" spans="1:36" ht="15">
      <c r="A35" s="250" t="s">
        <v>1089</v>
      </c>
      <c r="B35" s="250" t="s">
        <v>1090</v>
      </c>
      <c r="C35" s="250" t="s">
        <v>1091</v>
      </c>
      <c r="D35" s="250" t="str">
        <f>$C$8</f>
        <v>Water Cooler Controls-NR</v>
      </c>
      <c r="E35" s="251">
        <f>E11</f>
        <v>2016</v>
      </c>
      <c r="F35" s="251">
        <f t="shared" ref="F35:X35" si="11">F11</f>
        <v>2017</v>
      </c>
      <c r="G35" s="251">
        <f t="shared" si="11"/>
        <v>2018</v>
      </c>
      <c r="H35" s="251">
        <f t="shared" si="11"/>
        <v>2019</v>
      </c>
      <c r="I35" s="251">
        <f t="shared" si="11"/>
        <v>2020</v>
      </c>
      <c r="J35" s="251">
        <f t="shared" si="11"/>
        <v>2021</v>
      </c>
      <c r="K35" s="251">
        <f t="shared" si="11"/>
        <v>2022</v>
      </c>
      <c r="L35" s="251">
        <f t="shared" si="11"/>
        <v>2023</v>
      </c>
      <c r="M35" s="251">
        <f t="shared" si="11"/>
        <v>2024</v>
      </c>
      <c r="N35" s="251">
        <f t="shared" si="11"/>
        <v>2025</v>
      </c>
      <c r="O35" s="251">
        <f t="shared" si="11"/>
        <v>2026</v>
      </c>
      <c r="P35" s="251">
        <f t="shared" si="11"/>
        <v>2027</v>
      </c>
      <c r="Q35" s="251">
        <f t="shared" si="11"/>
        <v>2028</v>
      </c>
      <c r="R35" s="251">
        <f t="shared" si="11"/>
        <v>2029</v>
      </c>
      <c r="S35" s="251">
        <f t="shared" si="11"/>
        <v>2030</v>
      </c>
      <c r="T35" s="251">
        <f t="shared" si="11"/>
        <v>2031</v>
      </c>
      <c r="U35" s="251">
        <f t="shared" si="11"/>
        <v>2032</v>
      </c>
      <c r="V35" s="251">
        <f t="shared" si="11"/>
        <v>2033</v>
      </c>
      <c r="W35" s="251">
        <f t="shared" si="11"/>
        <v>2034</v>
      </c>
      <c r="X35" s="251">
        <f t="shared" si="11"/>
        <v>2035</v>
      </c>
      <c r="Y35" s="247" t="s">
        <v>1085</v>
      </c>
      <c r="Z35" s="247" t="s">
        <v>1086</v>
      </c>
      <c r="AB35" s="24"/>
      <c r="AC35" s="24"/>
      <c r="AD35" s="24"/>
      <c r="AE35" s="24"/>
      <c r="AF35" s="24"/>
      <c r="AG35" s="24"/>
      <c r="AH35" s="24"/>
      <c r="AI35" s="24"/>
      <c r="AJ35" s="24"/>
    </row>
    <row r="36" spans="1:36">
      <c r="A36" s="275"/>
      <c r="B36" s="276"/>
      <c r="C36" s="276"/>
      <c r="D36" s="345" t="s">
        <v>768</v>
      </c>
      <c r="E36" s="277">
        <f>E$18*$C36*$B36*$A36</f>
        <v>0</v>
      </c>
      <c r="F36" s="277">
        <f t="shared" ref="F36:X38" si="12">F$18*$C36*$B36*$A36</f>
        <v>0</v>
      </c>
      <c r="G36" s="277">
        <f t="shared" si="12"/>
        <v>0</v>
      </c>
      <c r="H36" s="277">
        <f t="shared" si="12"/>
        <v>0</v>
      </c>
      <c r="I36" s="277">
        <f t="shared" si="12"/>
        <v>0</v>
      </c>
      <c r="J36" s="277">
        <f t="shared" si="12"/>
        <v>0</v>
      </c>
      <c r="K36" s="277">
        <f t="shared" si="12"/>
        <v>0</v>
      </c>
      <c r="L36" s="277">
        <f t="shared" si="12"/>
        <v>0</v>
      </c>
      <c r="M36" s="277">
        <f t="shared" si="12"/>
        <v>0</v>
      </c>
      <c r="N36" s="277">
        <f t="shared" si="12"/>
        <v>0</v>
      </c>
      <c r="O36" s="277">
        <f t="shared" si="12"/>
        <v>0</v>
      </c>
      <c r="P36" s="277">
        <f t="shared" si="12"/>
        <v>0</v>
      </c>
      <c r="Q36" s="277">
        <f t="shared" si="12"/>
        <v>0</v>
      </c>
      <c r="R36" s="277">
        <f t="shared" si="12"/>
        <v>0</v>
      </c>
      <c r="S36" s="277">
        <f t="shared" si="12"/>
        <v>0</v>
      </c>
      <c r="T36" s="277">
        <f t="shared" si="12"/>
        <v>0</v>
      </c>
      <c r="U36" s="277">
        <f t="shared" si="12"/>
        <v>0</v>
      </c>
      <c r="V36" s="277">
        <f t="shared" si="12"/>
        <v>0</v>
      </c>
      <c r="W36" s="277">
        <f t="shared" si="12"/>
        <v>0</v>
      </c>
      <c r="X36" s="277">
        <f t="shared" si="12"/>
        <v>0</v>
      </c>
      <c r="Y36" s="273">
        <f>Z36*$Y$20</f>
        <v>0</v>
      </c>
      <c r="Z36" s="273">
        <f>$Z$18*B36</f>
        <v>0</v>
      </c>
      <c r="AB36" s="24"/>
      <c r="AC36" s="24"/>
      <c r="AD36" s="24"/>
      <c r="AE36" s="24"/>
      <c r="AF36" s="24"/>
      <c r="AG36" s="24"/>
      <c r="AH36" s="24"/>
      <c r="AI36" s="24"/>
      <c r="AJ36" s="24"/>
    </row>
    <row r="37" spans="1:36">
      <c r="A37" s="275"/>
      <c r="B37" s="276"/>
      <c r="C37" s="276"/>
      <c r="D37" s="345" t="s">
        <v>1187</v>
      </c>
      <c r="E37" s="277">
        <f t="shared" ref="E37:T38" si="13">E$18*$C37*$B37*$A37</f>
        <v>0</v>
      </c>
      <c r="F37" s="277">
        <f t="shared" si="13"/>
        <v>0</v>
      </c>
      <c r="G37" s="277">
        <f t="shared" si="13"/>
        <v>0</v>
      </c>
      <c r="H37" s="277">
        <f t="shared" si="13"/>
        <v>0</v>
      </c>
      <c r="I37" s="277">
        <f t="shared" si="13"/>
        <v>0</v>
      </c>
      <c r="J37" s="277">
        <f t="shared" si="13"/>
        <v>0</v>
      </c>
      <c r="K37" s="277">
        <f t="shared" si="13"/>
        <v>0</v>
      </c>
      <c r="L37" s="277">
        <f t="shared" si="13"/>
        <v>0</v>
      </c>
      <c r="M37" s="277">
        <f t="shared" si="13"/>
        <v>0</v>
      </c>
      <c r="N37" s="277">
        <f t="shared" si="13"/>
        <v>0</v>
      </c>
      <c r="O37" s="277">
        <f t="shared" si="13"/>
        <v>0</v>
      </c>
      <c r="P37" s="277">
        <f t="shared" si="13"/>
        <v>0</v>
      </c>
      <c r="Q37" s="277">
        <f t="shared" si="13"/>
        <v>0</v>
      </c>
      <c r="R37" s="277">
        <f t="shared" si="13"/>
        <v>0</v>
      </c>
      <c r="S37" s="277">
        <f t="shared" si="13"/>
        <v>0</v>
      </c>
      <c r="T37" s="277">
        <f t="shared" si="13"/>
        <v>0</v>
      </c>
      <c r="U37" s="277">
        <f t="shared" si="12"/>
        <v>0</v>
      </c>
      <c r="V37" s="277">
        <f t="shared" si="12"/>
        <v>0</v>
      </c>
      <c r="W37" s="277">
        <f t="shared" si="12"/>
        <v>0</v>
      </c>
      <c r="X37" s="277">
        <f t="shared" si="12"/>
        <v>0</v>
      </c>
      <c r="Y37" s="273">
        <f>Z37*$Y$20</f>
        <v>0</v>
      </c>
      <c r="Z37" s="273">
        <f t="shared" ref="Z37:Z40" si="14">$Z$18*B37</f>
        <v>0</v>
      </c>
      <c r="AB37" s="24"/>
      <c r="AC37" s="24"/>
      <c r="AD37" s="24"/>
      <c r="AE37" s="24"/>
      <c r="AF37" s="24"/>
      <c r="AG37" s="24"/>
      <c r="AH37" s="24"/>
      <c r="AI37" s="24"/>
      <c r="AJ37" s="24"/>
    </row>
    <row r="38" spans="1:36">
      <c r="A38" s="275"/>
      <c r="B38" s="276"/>
      <c r="C38" s="276"/>
      <c r="D38" s="345" t="s">
        <v>1382</v>
      </c>
      <c r="E38" s="277">
        <f t="shared" si="13"/>
        <v>0</v>
      </c>
      <c r="F38" s="277">
        <f t="shared" si="12"/>
        <v>0</v>
      </c>
      <c r="G38" s="277">
        <f t="shared" si="12"/>
        <v>0</v>
      </c>
      <c r="H38" s="277">
        <f t="shared" si="12"/>
        <v>0</v>
      </c>
      <c r="I38" s="277">
        <f t="shared" si="12"/>
        <v>0</v>
      </c>
      <c r="J38" s="277">
        <f t="shared" si="12"/>
        <v>0</v>
      </c>
      <c r="K38" s="277">
        <f t="shared" si="12"/>
        <v>0</v>
      </c>
      <c r="L38" s="277">
        <f t="shared" si="12"/>
        <v>0</v>
      </c>
      <c r="M38" s="277">
        <f t="shared" si="12"/>
        <v>0</v>
      </c>
      <c r="N38" s="277">
        <f t="shared" si="12"/>
        <v>0</v>
      </c>
      <c r="O38" s="277">
        <f t="shared" si="12"/>
        <v>0</v>
      </c>
      <c r="P38" s="277">
        <f t="shared" si="12"/>
        <v>0</v>
      </c>
      <c r="Q38" s="277">
        <f t="shared" si="12"/>
        <v>0</v>
      </c>
      <c r="R38" s="277">
        <f t="shared" si="12"/>
        <v>0</v>
      </c>
      <c r="S38" s="277">
        <f t="shared" si="12"/>
        <v>0</v>
      </c>
      <c r="T38" s="277">
        <f t="shared" si="12"/>
        <v>0</v>
      </c>
      <c r="U38" s="277">
        <f t="shared" si="12"/>
        <v>0</v>
      </c>
      <c r="V38" s="277">
        <f t="shared" si="12"/>
        <v>0</v>
      </c>
      <c r="W38" s="277">
        <f t="shared" si="12"/>
        <v>0</v>
      </c>
      <c r="X38" s="277">
        <f t="shared" si="12"/>
        <v>0</v>
      </c>
      <c r="Y38" s="273">
        <f>Z38*$Y$20</f>
        <v>0</v>
      </c>
      <c r="Z38" s="273">
        <f t="shared" si="14"/>
        <v>0</v>
      </c>
      <c r="AB38" s="24"/>
      <c r="AC38" s="24"/>
      <c r="AD38" s="24"/>
      <c r="AE38" s="24"/>
      <c r="AF38" s="24"/>
      <c r="AG38" s="24"/>
      <c r="AH38" s="24"/>
      <c r="AI38" s="24"/>
      <c r="AJ38" s="24"/>
    </row>
    <row r="39" spans="1:36">
      <c r="A39" s="24"/>
      <c r="B39" s="24"/>
      <c r="C39" s="24"/>
      <c r="D39" s="24"/>
      <c r="E39" s="248"/>
      <c r="F39" s="248"/>
      <c r="G39" s="248"/>
      <c r="H39" s="248"/>
      <c r="I39" s="248"/>
      <c r="J39" s="248"/>
      <c r="K39" s="248"/>
      <c r="L39" s="248"/>
      <c r="M39" s="248"/>
      <c r="N39" s="248"/>
      <c r="O39" s="248"/>
      <c r="P39" s="248"/>
      <c r="Q39" s="248"/>
      <c r="R39" s="248"/>
      <c r="S39" s="248"/>
      <c r="T39" s="248"/>
      <c r="U39" s="248"/>
      <c r="V39" s="248"/>
      <c r="W39" s="248"/>
      <c r="X39" s="248"/>
      <c r="Y39" s="278"/>
      <c r="Z39" s="273">
        <f t="shared" si="14"/>
        <v>0</v>
      </c>
      <c r="AB39" s="24"/>
      <c r="AC39" s="24"/>
      <c r="AD39" s="24"/>
      <c r="AE39" s="24"/>
      <c r="AF39" s="24"/>
      <c r="AG39" s="24"/>
      <c r="AH39" s="24"/>
      <c r="AI39" s="24"/>
      <c r="AJ39" s="24"/>
    </row>
    <row r="40" spans="1:36">
      <c r="A40" s="24"/>
      <c r="B40" s="24"/>
      <c r="C40" s="24"/>
      <c r="D40" s="279" t="s">
        <v>1195</v>
      </c>
      <c r="E40" s="277">
        <f t="shared" ref="E40:Y40" si="15">SUM(E36:E38)</f>
        <v>0</v>
      </c>
      <c r="F40" s="277">
        <f t="shared" si="15"/>
        <v>0</v>
      </c>
      <c r="G40" s="277">
        <f t="shared" si="15"/>
        <v>0</v>
      </c>
      <c r="H40" s="277">
        <f t="shared" si="15"/>
        <v>0</v>
      </c>
      <c r="I40" s="277">
        <f t="shared" si="15"/>
        <v>0</v>
      </c>
      <c r="J40" s="277">
        <f t="shared" si="15"/>
        <v>0</v>
      </c>
      <c r="K40" s="277">
        <f t="shared" si="15"/>
        <v>0</v>
      </c>
      <c r="L40" s="277">
        <f t="shared" si="15"/>
        <v>0</v>
      </c>
      <c r="M40" s="277">
        <f t="shared" si="15"/>
        <v>0</v>
      </c>
      <c r="N40" s="277">
        <f t="shared" si="15"/>
        <v>0</v>
      </c>
      <c r="O40" s="277">
        <f t="shared" si="15"/>
        <v>0</v>
      </c>
      <c r="P40" s="277">
        <f t="shared" si="15"/>
        <v>0</v>
      </c>
      <c r="Q40" s="277">
        <f t="shared" si="15"/>
        <v>0</v>
      </c>
      <c r="R40" s="277">
        <f t="shared" si="15"/>
        <v>0</v>
      </c>
      <c r="S40" s="277">
        <f t="shared" si="15"/>
        <v>0</v>
      </c>
      <c r="T40" s="277">
        <f t="shared" si="15"/>
        <v>0</v>
      </c>
      <c r="U40" s="277">
        <f t="shared" si="15"/>
        <v>0</v>
      </c>
      <c r="V40" s="277">
        <f t="shared" si="15"/>
        <v>0</v>
      </c>
      <c r="W40" s="277">
        <f t="shared" si="15"/>
        <v>0</v>
      </c>
      <c r="X40" s="277">
        <f t="shared" si="15"/>
        <v>0</v>
      </c>
      <c r="Y40" s="273">
        <f t="shared" si="15"/>
        <v>0</v>
      </c>
      <c r="Z40" s="273">
        <f t="shared" si="14"/>
        <v>0</v>
      </c>
      <c r="AB40" s="24"/>
      <c r="AC40" s="24"/>
      <c r="AD40" s="24"/>
      <c r="AE40" s="24"/>
      <c r="AF40" s="24"/>
      <c r="AG40" s="24"/>
      <c r="AH40" s="24"/>
      <c r="AI40" s="24"/>
      <c r="AJ40" s="24"/>
    </row>
    <row r="41" spans="1:36">
      <c r="A41" s="24"/>
      <c r="B41" s="24"/>
      <c r="C41" s="24"/>
      <c r="D41" s="279"/>
      <c r="E41" s="277"/>
      <c r="F41" s="277"/>
      <c r="G41" s="277"/>
      <c r="H41" s="277"/>
      <c r="I41" s="277"/>
      <c r="J41" s="277"/>
      <c r="K41" s="277"/>
      <c r="L41" s="277"/>
      <c r="M41" s="277"/>
      <c r="N41" s="277"/>
      <c r="O41" s="277"/>
      <c r="P41" s="277"/>
      <c r="Q41" s="277"/>
      <c r="R41" s="277"/>
      <c r="S41" s="277"/>
      <c r="T41" s="277"/>
      <c r="U41" s="277"/>
      <c r="V41" s="277"/>
      <c r="W41" s="277"/>
      <c r="X41" s="277"/>
      <c r="Y41" s="24"/>
      <c r="Z41" s="257"/>
      <c r="AB41" s="24"/>
      <c r="AC41" s="24"/>
      <c r="AD41" s="24"/>
      <c r="AE41" s="24"/>
      <c r="AF41" s="24"/>
      <c r="AG41" s="24"/>
      <c r="AH41" s="24"/>
      <c r="AI41" s="24"/>
      <c r="AJ41" s="24"/>
    </row>
    <row r="42" spans="1:36" ht="15">
      <c r="A42" s="24"/>
      <c r="B42" s="24"/>
      <c r="C42" s="346" t="str">
        <f>VLOOKUP($D$43,[1]!ACHIEV,MATCH(E$11,$E$11:$Z$11,0)+1,FALSE)</f>
        <v>LO5Med</v>
      </c>
      <c r="D42" s="250" t="s">
        <v>1196</v>
      </c>
      <c r="E42" s="24"/>
      <c r="F42" s="24"/>
      <c r="G42" s="24"/>
      <c r="H42" s="24"/>
      <c r="I42" s="24"/>
      <c r="J42" s="24"/>
      <c r="K42" s="24"/>
      <c r="L42" s="24"/>
      <c r="M42" s="24"/>
      <c r="N42" s="24"/>
      <c r="O42" s="24"/>
      <c r="P42" s="24"/>
      <c r="Q42" s="24"/>
      <c r="R42" s="24"/>
      <c r="S42" s="24"/>
      <c r="T42" s="24"/>
      <c r="U42" s="24"/>
      <c r="V42" s="24"/>
      <c r="W42" s="24"/>
      <c r="X42" s="24"/>
      <c r="Y42" s="24"/>
      <c r="Z42" s="257"/>
      <c r="AB42" s="24"/>
      <c r="AC42" s="24"/>
      <c r="AD42" s="24"/>
      <c r="AE42" s="24"/>
      <c r="AF42" s="24"/>
      <c r="AG42" s="24"/>
      <c r="AH42" s="24"/>
      <c r="AI42" s="24"/>
      <c r="AJ42" s="24"/>
    </row>
    <row r="43" spans="1:36" ht="15">
      <c r="A43" s="252" t="s">
        <v>1093</v>
      </c>
      <c r="B43" s="24"/>
      <c r="C43" s="24"/>
      <c r="D43" s="250" t="str">
        <f>$C$8</f>
        <v>Water Cooler Controls-NR</v>
      </c>
      <c r="E43" s="253">
        <f>VLOOKUP($D$43,[1]!ACHIEV,MATCH(E$11,$E$11:$Z$11,0)+2,FALSE)</f>
        <v>4.2999999999999997E-2</v>
      </c>
      <c r="F43" s="253">
        <f>VLOOKUP($D$43,[1]!ACHIEV,MATCH(F$11,$E$11:$Z$11,0)+2,FALSE)</f>
        <v>9.5797142280278316E-2</v>
      </c>
      <c r="G43" s="253">
        <f>VLOOKUP($D$43,[1]!ACHIEV,MATCH(G$11,$E$11:$Z$11,0)+2,FALSE)</f>
        <v>0.16040539374775648</v>
      </c>
      <c r="H43" s="253">
        <f>VLOOKUP($D$43,[1]!ACHIEV,MATCH(H$11,$E$11:$Z$11,0)+2,FALSE)</f>
        <v>0.23540539374775649</v>
      </c>
      <c r="I43" s="253">
        <f>VLOOKUP($D$43,[1]!ACHIEV,MATCH(I$11,$E$11:$Z$11,0)+2,FALSE)</f>
        <v>0.32095239121809005</v>
      </c>
      <c r="J43" s="253">
        <f>VLOOKUP($D$43,[1]!ACHIEV,MATCH(J$11,$E$11:$Z$11,0)+2,FALSE)</f>
        <v>0.42096711425629652</v>
      </c>
      <c r="K43" s="253">
        <f>VLOOKUP($D$43,[1]!ACHIEV,MATCH(K$11,$E$11:$Z$11,0)+2,FALSE)</f>
        <v>0.53068481860864725</v>
      </c>
      <c r="L43" s="253">
        <f>VLOOKUP($D$43,[1]!ACHIEV,MATCH(L$11,$E$11:$Z$11,0)+2,FALSE)</f>
        <v>0.642769203728351</v>
      </c>
      <c r="M43" s="253">
        <f>VLOOKUP($D$43,[1]!ACHIEV,MATCH(M$11,$E$11:$Z$11,0)+2,FALSE)</f>
        <v>0.74839528535557953</v>
      </c>
      <c r="N43" s="253">
        <f>VLOOKUP($D$43,[1]!ACHIEV,MATCH(N$11,$E$11:$Z$11,0)+2,FALSE)</f>
        <v>0.83918984935345187</v>
      </c>
      <c r="O43" s="253">
        <f>VLOOKUP($D$43,[1]!ACHIEV,MATCH(O$11,$E$11:$Z$11,0)+2,FALSE)</f>
        <v>0.90945051634530116</v>
      </c>
      <c r="P43" s="253">
        <f>VLOOKUP($D$43,[1]!ACHIEV,MATCH(P$11,$E$11:$Z$11,0)+2,FALSE)</f>
        <v>0.9576688767502457</v>
      </c>
      <c r="Q43" s="253">
        <f>VLOOKUP($D$43,[1]!ACHIEV,MATCH(Q$11,$E$11:$Z$11,0)+2,FALSE)</f>
        <v>0.9865231113648858</v>
      </c>
      <c r="R43" s="253">
        <f>VLOOKUP($D$43,[1]!ACHIEV,MATCH(R$11,$E$11:$Z$11,0)+2,FALSE)</f>
        <v>1.0012970762896924</v>
      </c>
      <c r="S43" s="253">
        <f>VLOOKUP($D$43,[1]!ACHIEV,MATCH(S$11,$E$11:$Z$11,0)+2,FALSE)</f>
        <v>1.0076356106578106</v>
      </c>
      <c r="T43" s="253">
        <f>VLOOKUP($D$43,[1]!ACHIEV,MATCH(T$11,$E$11:$Z$11,0)+2,FALSE)</f>
        <v>1.0098624683774413</v>
      </c>
      <c r="U43" s="253">
        <f>VLOOKUP($D$43,[1]!ACHIEV,MATCH(U$11,$E$11:$Z$11,0)+2,FALSE)</f>
        <v>1.0104871783970797</v>
      </c>
      <c r="V43" s="253">
        <f>VLOOKUP($D$43,[1]!ACHIEV,MATCH(V$11,$E$11:$Z$11,0)+2,FALSE)</f>
        <v>1.010623336815976</v>
      </c>
      <c r="W43" s="253">
        <f>VLOOKUP($D$43,[1]!ACHIEV,MATCH(W$11,$E$11:$Z$11,0)+2,FALSE)</f>
        <v>1.0106457174525985</v>
      </c>
      <c r="X43" s="253">
        <f>VLOOKUP($D$43,[1]!ACHIEV,MATCH(X$11,$E$11:$Z$11,0)+2,FALSE)</f>
        <v>1.0106484038909742</v>
      </c>
      <c r="Y43" s="24"/>
      <c r="Z43" s="257"/>
      <c r="AB43" s="24"/>
      <c r="AC43" s="24"/>
      <c r="AD43" s="24"/>
      <c r="AE43" s="24"/>
      <c r="AF43" s="24"/>
      <c r="AG43" s="24"/>
      <c r="AH43" s="24"/>
      <c r="AI43" s="24"/>
      <c r="AJ43" s="24"/>
    </row>
    <row r="44" spans="1:36">
      <c r="A44" s="242" t="s">
        <v>1094</v>
      </c>
      <c r="B44" s="24"/>
      <c r="C44" s="24"/>
      <c r="D44" s="345" t="s">
        <v>768</v>
      </c>
      <c r="E44" s="277">
        <f>SUM(E28,E36)*E$43*$Y$20</f>
        <v>1169.5999999999999</v>
      </c>
      <c r="F44" s="277">
        <f t="shared" ref="F44:X46" si="16">SUM(F28,F36)*F$43*$Y$20</f>
        <v>2788.0800289252197</v>
      </c>
      <c r="G44" s="277">
        <f t="shared" si="16"/>
        <v>4995.2292802091342</v>
      </c>
      <c r="H44" s="277">
        <f t="shared" si="16"/>
        <v>7843.9830498237743</v>
      </c>
      <c r="I44" s="277">
        <f t="shared" si="16"/>
        <v>11443.124695594777</v>
      </c>
      <c r="J44" s="277">
        <f t="shared" si="16"/>
        <v>16059.645806968336</v>
      </c>
      <c r="K44" s="277">
        <f t="shared" si="16"/>
        <v>21662.482955800206</v>
      </c>
      <c r="L44" s="277">
        <f t="shared" si="16"/>
        <v>28074.395163139525</v>
      </c>
      <c r="M44" s="277">
        <f t="shared" si="16"/>
        <v>34976.002268701603</v>
      </c>
      <c r="N44" s="277">
        <f t="shared" si="16"/>
        <v>41964.60361876274</v>
      </c>
      <c r="O44" s="277">
        <f t="shared" si="16"/>
        <v>45478.064896415788</v>
      </c>
      <c r="P44" s="277">
        <f t="shared" si="16"/>
        <v>47889.276594339804</v>
      </c>
      <c r="Q44" s="277">
        <f t="shared" si="16"/>
        <v>49332.164064033408</v>
      </c>
      <c r="R44" s="277">
        <f t="shared" si="16"/>
        <v>50070.952292256945</v>
      </c>
      <c r="S44" s="277">
        <f t="shared" si="16"/>
        <v>50387.917615999744</v>
      </c>
      <c r="T44" s="277">
        <f t="shared" si="16"/>
        <v>50499.27406483153</v>
      </c>
      <c r="U44" s="277">
        <f t="shared" si="16"/>
        <v>50530.513370658446</v>
      </c>
      <c r="V44" s="277">
        <f t="shared" si="16"/>
        <v>50537.322120886703</v>
      </c>
      <c r="W44" s="277">
        <f t="shared" si="16"/>
        <v>50538.441289028837</v>
      </c>
      <c r="X44" s="277">
        <f t="shared" si="16"/>
        <v>50538.57562730959</v>
      </c>
      <c r="Y44" s="24"/>
      <c r="Z44" s="257"/>
      <c r="AB44" s="24"/>
      <c r="AC44" s="24"/>
      <c r="AD44" s="24"/>
      <c r="AE44" s="24"/>
      <c r="AF44" s="24"/>
      <c r="AG44" s="24"/>
      <c r="AH44" s="24"/>
      <c r="AI44" s="24"/>
      <c r="AJ44" s="24"/>
    </row>
    <row r="45" spans="1:36">
      <c r="A45" s="24"/>
      <c r="B45" s="24"/>
      <c r="C45" s="24"/>
      <c r="D45" s="345" t="s">
        <v>1187</v>
      </c>
      <c r="E45" s="277">
        <f t="shared" ref="E45:T46" si="17">SUM(E29,E37)*E$43*$Y$20</f>
        <v>1871.36</v>
      </c>
      <c r="F45" s="277">
        <f t="shared" si="17"/>
        <v>4460.9280462803517</v>
      </c>
      <c r="G45" s="277">
        <f t="shared" si="17"/>
        <v>7992.3668483346146</v>
      </c>
      <c r="H45" s="277">
        <f t="shared" si="17"/>
        <v>12550.372879718039</v>
      </c>
      <c r="I45" s="277">
        <f t="shared" si="17"/>
        <v>18308.999512951643</v>
      </c>
      <c r="J45" s="277">
        <f t="shared" si="17"/>
        <v>25695.433291149333</v>
      </c>
      <c r="K45" s="277">
        <f t="shared" si="17"/>
        <v>34659.972729280336</v>
      </c>
      <c r="L45" s="277">
        <f t="shared" si="17"/>
        <v>44919.03226102324</v>
      </c>
      <c r="M45" s="277">
        <f t="shared" si="17"/>
        <v>55961.60362992256</v>
      </c>
      <c r="N45" s="277">
        <f t="shared" si="17"/>
        <v>67143.365790020398</v>
      </c>
      <c r="O45" s="277">
        <f t="shared" si="17"/>
        <v>72764.903834265264</v>
      </c>
      <c r="P45" s="277">
        <f t="shared" si="17"/>
        <v>76622.842550943693</v>
      </c>
      <c r="Q45" s="277">
        <f t="shared" si="17"/>
        <v>78931.462502453462</v>
      </c>
      <c r="R45" s="277">
        <f t="shared" si="17"/>
        <v>80113.523667611109</v>
      </c>
      <c r="S45" s="277">
        <f t="shared" si="17"/>
        <v>80620.668185599585</v>
      </c>
      <c r="T45" s="277">
        <f t="shared" si="17"/>
        <v>80798.838503730454</v>
      </c>
      <c r="U45" s="277">
        <f t="shared" si="16"/>
        <v>80848.821393053513</v>
      </c>
      <c r="V45" s="277">
        <f t="shared" si="16"/>
        <v>80859.715393418737</v>
      </c>
      <c r="W45" s="277">
        <f t="shared" si="16"/>
        <v>80861.506062446148</v>
      </c>
      <c r="X45" s="277">
        <f t="shared" si="16"/>
        <v>80861.721003695347</v>
      </c>
      <c r="Y45" s="24"/>
      <c r="Z45" s="257"/>
      <c r="AB45" s="24"/>
      <c r="AC45" s="24"/>
      <c r="AD45" s="24"/>
      <c r="AE45" s="24"/>
      <c r="AF45" s="24"/>
      <c r="AG45" s="24"/>
      <c r="AH45" s="24"/>
      <c r="AI45" s="24"/>
      <c r="AJ45" s="24"/>
    </row>
    <row r="46" spans="1:36">
      <c r="A46" s="24"/>
      <c r="B46" s="24"/>
      <c r="C46" s="24"/>
      <c r="D46" s="345" t="s">
        <v>1382</v>
      </c>
      <c r="E46" s="277">
        <f t="shared" si="17"/>
        <v>467.83999999999975</v>
      </c>
      <c r="F46" s="277">
        <f t="shared" si="16"/>
        <v>1115.2320115700877</v>
      </c>
      <c r="G46" s="277">
        <f t="shared" si="16"/>
        <v>1998.0917120836532</v>
      </c>
      <c r="H46" s="277">
        <f t="shared" si="16"/>
        <v>3137.5932199295089</v>
      </c>
      <c r="I46" s="277">
        <f t="shared" si="16"/>
        <v>4577.2498782379098</v>
      </c>
      <c r="J46" s="277">
        <f t="shared" si="16"/>
        <v>6423.8583227873323</v>
      </c>
      <c r="K46" s="277">
        <f t="shared" si="16"/>
        <v>8664.9931823200805</v>
      </c>
      <c r="L46" s="277">
        <f t="shared" si="16"/>
        <v>11229.758065255808</v>
      </c>
      <c r="M46" s="277">
        <f t="shared" si="16"/>
        <v>13990.400907480636</v>
      </c>
      <c r="N46" s="277">
        <f t="shared" si="16"/>
        <v>16785.841447505092</v>
      </c>
      <c r="O46" s="277">
        <f t="shared" si="16"/>
        <v>18191.225958566309</v>
      </c>
      <c r="P46" s="277">
        <f t="shared" si="16"/>
        <v>19155.710637735916</v>
      </c>
      <c r="Q46" s="277">
        <f t="shared" si="16"/>
        <v>19732.865625613358</v>
      </c>
      <c r="R46" s="277">
        <f t="shared" si="16"/>
        <v>20028.380916902774</v>
      </c>
      <c r="S46" s="277">
        <f t="shared" si="16"/>
        <v>20155.167046399893</v>
      </c>
      <c r="T46" s="277">
        <f t="shared" si="16"/>
        <v>20199.709625932606</v>
      </c>
      <c r="U46" s="277">
        <f t="shared" si="16"/>
        <v>20212.205348263371</v>
      </c>
      <c r="V46" s="277">
        <f t="shared" si="16"/>
        <v>20214.928848354677</v>
      </c>
      <c r="W46" s="277">
        <f t="shared" si="16"/>
        <v>20215.37651561153</v>
      </c>
      <c r="X46" s="277">
        <f t="shared" si="16"/>
        <v>20215.43025092383</v>
      </c>
      <c r="Y46" s="24"/>
      <c r="Z46" s="257"/>
      <c r="AB46" s="24"/>
      <c r="AC46" s="24"/>
      <c r="AD46" s="24"/>
      <c r="AE46" s="24"/>
      <c r="AF46" s="24"/>
      <c r="AG46" s="24"/>
      <c r="AH46" s="24"/>
      <c r="AI46" s="24"/>
      <c r="AJ46" s="24"/>
    </row>
    <row r="47" spans="1:36">
      <c r="A47" s="24"/>
      <c r="B47" s="24"/>
      <c r="C47" s="24"/>
      <c r="D47" s="279"/>
      <c r="E47" s="277"/>
      <c r="F47" s="277"/>
      <c r="G47" s="277"/>
      <c r="H47" s="277"/>
      <c r="I47" s="277"/>
      <c r="J47" s="277"/>
      <c r="K47" s="277"/>
      <c r="L47" s="277"/>
      <c r="M47" s="277"/>
      <c r="N47" s="277"/>
      <c r="O47" s="277"/>
      <c r="P47" s="277"/>
      <c r="Q47" s="277"/>
      <c r="R47" s="277"/>
      <c r="S47" s="277"/>
      <c r="T47" s="277"/>
      <c r="U47" s="277"/>
      <c r="V47" s="277"/>
      <c r="W47" s="277"/>
      <c r="X47" s="277"/>
      <c r="Y47" s="24"/>
      <c r="Z47" s="257"/>
      <c r="AB47" s="24"/>
      <c r="AC47" s="24"/>
      <c r="AD47" s="24"/>
      <c r="AE47" s="24"/>
      <c r="AF47" s="24"/>
      <c r="AG47" s="24"/>
      <c r="AH47" s="24"/>
      <c r="AI47" s="24"/>
      <c r="AJ47" s="24"/>
    </row>
    <row r="48" spans="1:36">
      <c r="A48" s="24"/>
      <c r="B48" s="24"/>
      <c r="C48" s="24"/>
      <c r="D48" s="279" t="s">
        <v>1197</v>
      </c>
      <c r="E48" s="277">
        <f t="shared" ref="E48:X48" si="18">SUM(E44:E46)</f>
        <v>3508.7999999999997</v>
      </c>
      <c r="F48" s="277">
        <f t="shared" si="18"/>
        <v>8364.2400867756587</v>
      </c>
      <c r="G48" s="277">
        <f t="shared" si="18"/>
        <v>14985.687840627401</v>
      </c>
      <c r="H48" s="277">
        <f t="shared" si="18"/>
        <v>23531.949149471322</v>
      </c>
      <c r="I48" s="277">
        <f t="shared" si="18"/>
        <v>34329.37408678433</v>
      </c>
      <c r="J48" s="277">
        <f t="shared" si="18"/>
        <v>48178.937420905</v>
      </c>
      <c r="K48" s="277">
        <f t="shared" si="18"/>
        <v>64987.448867400621</v>
      </c>
      <c r="L48" s="277">
        <f t="shared" si="18"/>
        <v>84223.185489418582</v>
      </c>
      <c r="M48" s="277">
        <f t="shared" si="18"/>
        <v>104928.00680610481</v>
      </c>
      <c r="N48" s="277">
        <f t="shared" si="18"/>
        <v>125893.81085628823</v>
      </c>
      <c r="O48" s="277">
        <f t="shared" si="18"/>
        <v>136434.19468924735</v>
      </c>
      <c r="P48" s="277">
        <f t="shared" si="18"/>
        <v>143667.82978301944</v>
      </c>
      <c r="Q48" s="277">
        <f t="shared" si="18"/>
        <v>147996.49219210024</v>
      </c>
      <c r="R48" s="277">
        <f t="shared" si="18"/>
        <v>150212.85687677082</v>
      </c>
      <c r="S48" s="277">
        <f t="shared" si="18"/>
        <v>151163.75284799922</v>
      </c>
      <c r="T48" s="277">
        <f t="shared" si="18"/>
        <v>151497.8221944946</v>
      </c>
      <c r="U48" s="277">
        <f t="shared" si="18"/>
        <v>151591.54011197534</v>
      </c>
      <c r="V48" s="277">
        <f t="shared" si="18"/>
        <v>151611.96636266011</v>
      </c>
      <c r="W48" s="277">
        <f t="shared" si="18"/>
        <v>151615.32386708652</v>
      </c>
      <c r="X48" s="277">
        <f t="shared" si="18"/>
        <v>151615.72688192877</v>
      </c>
      <c r="Y48" s="24"/>
      <c r="Z48" s="257"/>
      <c r="AB48" s="24"/>
      <c r="AC48" s="24"/>
      <c r="AD48" s="24"/>
      <c r="AE48" s="24"/>
      <c r="AF48" s="24"/>
      <c r="AG48" s="24"/>
      <c r="AH48" s="24"/>
      <c r="AI48" s="24"/>
      <c r="AJ48" s="24"/>
    </row>
    <row r="49" spans="1:36">
      <c r="A49" s="24"/>
      <c r="B49" s="24"/>
      <c r="C49" s="24"/>
      <c r="D49" s="279"/>
      <c r="E49" s="277"/>
      <c r="F49" s="277"/>
      <c r="G49" s="277"/>
      <c r="H49" s="277"/>
      <c r="I49" s="277"/>
      <c r="J49" s="277"/>
      <c r="K49" s="277"/>
      <c r="L49" s="277"/>
      <c r="M49" s="277"/>
      <c r="N49" s="277"/>
      <c r="O49" s="277"/>
      <c r="P49" s="277"/>
      <c r="Q49" s="277"/>
      <c r="R49" s="277"/>
      <c r="S49" s="277"/>
      <c r="T49" s="277"/>
      <c r="U49" s="277"/>
      <c r="V49" s="277"/>
      <c r="W49" s="277"/>
      <c r="X49" s="277"/>
      <c r="Y49" s="24"/>
      <c r="Z49" s="257"/>
      <c r="AB49" s="24"/>
      <c r="AC49" s="24"/>
      <c r="AD49" s="24"/>
      <c r="AE49" s="24"/>
      <c r="AF49" s="24"/>
      <c r="AG49" s="24"/>
      <c r="AH49" s="24"/>
      <c r="AI49" s="24"/>
      <c r="AJ49" s="24"/>
    </row>
    <row r="50" spans="1:36">
      <c r="A50" s="24"/>
      <c r="B50" s="24"/>
      <c r="C50" s="24"/>
      <c r="D50" s="279"/>
      <c r="E50" s="277"/>
      <c r="F50" s="277"/>
      <c r="G50" s="277"/>
      <c r="H50" s="277"/>
      <c r="I50" s="277"/>
      <c r="J50" s="277"/>
      <c r="K50" s="277"/>
      <c r="L50" s="277"/>
      <c r="M50" s="277"/>
      <c r="N50" s="277"/>
      <c r="O50" s="277"/>
      <c r="P50" s="277"/>
      <c r="Q50" s="277"/>
      <c r="R50" s="277"/>
      <c r="S50" s="277"/>
      <c r="T50" s="277"/>
      <c r="U50" s="277"/>
      <c r="V50" s="277"/>
      <c r="W50" s="277"/>
      <c r="X50" s="277"/>
      <c r="Y50" s="24"/>
      <c r="Z50" s="257"/>
      <c r="AB50" s="24"/>
      <c r="AC50" s="24"/>
      <c r="AD50" s="24"/>
      <c r="AE50" s="24"/>
      <c r="AF50" s="24"/>
      <c r="AG50" s="24"/>
      <c r="AH50" s="24"/>
      <c r="AI50" s="24"/>
      <c r="AJ50" s="24"/>
    </row>
    <row r="51" spans="1:36" ht="15">
      <c r="A51" s="252" t="s">
        <v>1095</v>
      </c>
      <c r="B51" s="24"/>
      <c r="C51" s="24"/>
      <c r="D51" s="250" t="str">
        <f>$C$8</f>
        <v>Water Cooler Controls-NR</v>
      </c>
      <c r="E51" s="250">
        <v>1</v>
      </c>
      <c r="F51" s="250">
        <v>2</v>
      </c>
      <c r="G51" s="250">
        <v>3</v>
      </c>
      <c r="H51" s="250">
        <v>4</v>
      </c>
      <c r="I51" s="250">
        <v>5</v>
      </c>
      <c r="J51" s="250">
        <v>6</v>
      </c>
      <c r="K51" s="250">
        <v>7</v>
      </c>
      <c r="L51" s="250">
        <v>8</v>
      </c>
      <c r="M51" s="250">
        <v>9</v>
      </c>
      <c r="N51" s="250">
        <v>10</v>
      </c>
      <c r="O51" s="250">
        <v>11</v>
      </c>
      <c r="P51" s="250">
        <v>12</v>
      </c>
      <c r="Q51" s="250">
        <v>13</v>
      </c>
      <c r="R51" s="250">
        <v>14</v>
      </c>
      <c r="S51" s="250">
        <v>15</v>
      </c>
      <c r="T51" s="250">
        <v>16</v>
      </c>
      <c r="U51" s="250">
        <v>17</v>
      </c>
      <c r="V51" s="250">
        <v>18</v>
      </c>
      <c r="W51" s="250">
        <v>19</v>
      </c>
      <c r="X51" s="250">
        <v>20</v>
      </c>
      <c r="Y51" s="24"/>
      <c r="Z51" s="257"/>
      <c r="AB51" s="24"/>
      <c r="AC51" s="24"/>
      <c r="AD51" s="24"/>
      <c r="AE51" s="24"/>
      <c r="AF51" s="24"/>
      <c r="AG51" s="24"/>
      <c r="AH51" s="24"/>
      <c r="AI51" s="24"/>
      <c r="AJ51" s="24"/>
    </row>
    <row r="52" spans="1:36">
      <c r="A52" s="242" t="s">
        <v>1094</v>
      </c>
      <c r="B52" s="24"/>
      <c r="C52" s="24"/>
      <c r="D52" s="46" t="str">
        <f>D29</f>
        <v>Timer on ES 2.0 Hot &amp; Cold Water Cooler</v>
      </c>
      <c r="E52" s="277">
        <f>E44</f>
        <v>1169.5999999999999</v>
      </c>
      <c r="F52" s="277">
        <f t="shared" ref="F52:X52" si="19">E52+F44</f>
        <v>3957.6800289252196</v>
      </c>
      <c r="G52" s="277">
        <f t="shared" si="19"/>
        <v>8952.909309134353</v>
      </c>
      <c r="H52" s="277">
        <f t="shared" si="19"/>
        <v>16796.892358958128</v>
      </c>
      <c r="I52" s="277">
        <f t="shared" si="19"/>
        <v>28240.017054552904</v>
      </c>
      <c r="J52" s="277">
        <f t="shared" si="19"/>
        <v>44299.662861521239</v>
      </c>
      <c r="K52" s="277">
        <f t="shared" si="19"/>
        <v>65962.145817321449</v>
      </c>
      <c r="L52" s="277">
        <f t="shared" si="19"/>
        <v>94036.540980460966</v>
      </c>
      <c r="M52" s="277">
        <f t="shared" si="19"/>
        <v>129012.54324916257</v>
      </c>
      <c r="N52" s="277">
        <f t="shared" si="19"/>
        <v>170977.1468679253</v>
      </c>
      <c r="O52" s="277">
        <f t="shared" si="19"/>
        <v>216455.2117643411</v>
      </c>
      <c r="P52" s="277">
        <f t="shared" si="19"/>
        <v>264344.48835868092</v>
      </c>
      <c r="Q52" s="277">
        <f t="shared" si="19"/>
        <v>313676.65242271434</v>
      </c>
      <c r="R52" s="277">
        <f t="shared" si="19"/>
        <v>363747.60471497127</v>
      </c>
      <c r="S52" s="277">
        <f t="shared" si="19"/>
        <v>414135.52233097103</v>
      </c>
      <c r="T52" s="277">
        <f t="shared" si="19"/>
        <v>464634.79639580258</v>
      </c>
      <c r="U52" s="277">
        <f t="shared" si="19"/>
        <v>515165.30976646102</v>
      </c>
      <c r="V52" s="277">
        <f t="shared" si="19"/>
        <v>565702.63188734767</v>
      </c>
      <c r="W52" s="277">
        <f t="shared" si="19"/>
        <v>616241.07317637652</v>
      </c>
      <c r="X52" s="277">
        <f t="shared" si="19"/>
        <v>666779.64880368614</v>
      </c>
      <c r="Y52" s="24"/>
      <c r="Z52" s="257"/>
      <c r="AB52" s="24"/>
      <c r="AC52" s="24"/>
      <c r="AD52" s="24"/>
      <c r="AE52" s="24"/>
      <c r="AF52" s="24"/>
      <c r="AG52" s="24"/>
      <c r="AH52" s="24"/>
      <c r="AI52" s="24"/>
      <c r="AJ52" s="24"/>
    </row>
    <row r="53" spans="1:36">
      <c r="A53" s="24"/>
      <c r="B53" s="24"/>
      <c r="C53" s="24"/>
      <c r="D53" s="46" t="str">
        <f>D28</f>
        <v>Market Average to ES 2.0 Upgrade</v>
      </c>
      <c r="E53" s="277">
        <f>E45</f>
        <v>1871.36</v>
      </c>
      <c r="F53" s="277">
        <f t="shared" ref="F53:X53" si="20">E53+F45</f>
        <v>6332.2880462803514</v>
      </c>
      <c r="G53" s="277">
        <f t="shared" si="20"/>
        <v>14324.654894614967</v>
      </c>
      <c r="H53" s="277">
        <f t="shared" si="20"/>
        <v>26875.027774333008</v>
      </c>
      <c r="I53" s="277">
        <f t="shared" si="20"/>
        <v>45184.027287284654</v>
      </c>
      <c r="J53" s="277">
        <f t="shared" si="20"/>
        <v>70879.460578433995</v>
      </c>
      <c r="K53" s="277">
        <f t="shared" si="20"/>
        <v>105539.43330771432</v>
      </c>
      <c r="L53" s="277">
        <f t="shared" si="20"/>
        <v>150458.46556873756</v>
      </c>
      <c r="M53" s="277">
        <f t="shared" si="20"/>
        <v>206420.06919866012</v>
      </c>
      <c r="N53" s="277">
        <f t="shared" si="20"/>
        <v>273563.43498868053</v>
      </c>
      <c r="O53" s="277">
        <f t="shared" si="20"/>
        <v>346328.33882294578</v>
      </c>
      <c r="P53" s="277">
        <f t="shared" si="20"/>
        <v>422951.18137388944</v>
      </c>
      <c r="Q53" s="277">
        <f t="shared" si="20"/>
        <v>501882.64387634292</v>
      </c>
      <c r="R53" s="277">
        <f t="shared" si="20"/>
        <v>581996.16754395398</v>
      </c>
      <c r="S53" s="277">
        <f t="shared" si="20"/>
        <v>662616.8357295536</v>
      </c>
      <c r="T53" s="277">
        <f t="shared" si="20"/>
        <v>743415.67423328408</v>
      </c>
      <c r="U53" s="277">
        <f t="shared" si="20"/>
        <v>824264.49562633759</v>
      </c>
      <c r="V53" s="277">
        <f t="shared" si="20"/>
        <v>905124.21101975627</v>
      </c>
      <c r="W53" s="277">
        <f t="shared" si="20"/>
        <v>985985.71708220243</v>
      </c>
      <c r="X53" s="277">
        <f t="shared" si="20"/>
        <v>1066847.4380858978</v>
      </c>
      <c r="Y53" s="24"/>
      <c r="Z53" s="257"/>
      <c r="AB53" s="24"/>
      <c r="AC53" s="24"/>
      <c r="AD53" s="24"/>
      <c r="AE53" s="24"/>
      <c r="AF53" s="24"/>
      <c r="AG53" s="24"/>
      <c r="AH53" s="24"/>
      <c r="AI53" s="24"/>
      <c r="AJ53" s="24"/>
    </row>
    <row r="54" spans="1:36">
      <c r="A54" s="24"/>
      <c r="B54" s="24"/>
      <c r="C54" s="24"/>
      <c r="D54" s="46" t="str">
        <f>D30</f>
        <v>Timer on ES 2.0 Cold Only Water Cooler</v>
      </c>
      <c r="E54" s="277">
        <f>E46</f>
        <v>467.83999999999975</v>
      </c>
      <c r="F54" s="277">
        <f t="shared" ref="F54:X54" si="21">E54+F46</f>
        <v>1583.0720115700874</v>
      </c>
      <c r="G54" s="277">
        <f t="shared" si="21"/>
        <v>3581.1637236537408</v>
      </c>
      <c r="H54" s="277">
        <f t="shared" si="21"/>
        <v>6718.7569435832502</v>
      </c>
      <c r="I54" s="277">
        <f t="shared" si="21"/>
        <v>11296.00682182116</v>
      </c>
      <c r="J54" s="277">
        <f t="shared" si="21"/>
        <v>17719.865144608491</v>
      </c>
      <c r="K54" s="277">
        <f t="shared" si="21"/>
        <v>26384.858326928574</v>
      </c>
      <c r="L54" s="277">
        <f t="shared" si="21"/>
        <v>37614.616392184384</v>
      </c>
      <c r="M54" s="277">
        <f t="shared" si="21"/>
        <v>51605.017299665022</v>
      </c>
      <c r="N54" s="277">
        <f t="shared" si="21"/>
        <v>68390.858747170118</v>
      </c>
      <c r="O54" s="277">
        <f t="shared" si="21"/>
        <v>86582.08470573643</v>
      </c>
      <c r="P54" s="277">
        <f t="shared" si="21"/>
        <v>105737.79534347235</v>
      </c>
      <c r="Q54" s="277">
        <f t="shared" si="21"/>
        <v>125470.6609690857</v>
      </c>
      <c r="R54" s="277">
        <f t="shared" si="21"/>
        <v>145499.04188598847</v>
      </c>
      <c r="S54" s="277">
        <f t="shared" si="21"/>
        <v>165654.20893238837</v>
      </c>
      <c r="T54" s="277">
        <f t="shared" si="21"/>
        <v>185853.91855832096</v>
      </c>
      <c r="U54" s="277">
        <f t="shared" si="21"/>
        <v>206066.12390658434</v>
      </c>
      <c r="V54" s="277">
        <f t="shared" si="21"/>
        <v>226281.05275493901</v>
      </c>
      <c r="W54" s="277">
        <f t="shared" si="21"/>
        <v>246496.42927055055</v>
      </c>
      <c r="X54" s="277">
        <f t="shared" si="21"/>
        <v>266711.8595214744</v>
      </c>
      <c r="Y54" s="24"/>
      <c r="Z54" s="257"/>
      <c r="AB54" s="24"/>
      <c r="AC54" s="24"/>
      <c r="AD54" s="24"/>
      <c r="AE54" s="24"/>
      <c r="AF54" s="24"/>
      <c r="AG54" s="24"/>
      <c r="AH54" s="24"/>
      <c r="AI54" s="24"/>
      <c r="AJ54" s="24"/>
    </row>
    <row r="55" spans="1:36">
      <c r="A55" s="24"/>
      <c r="B55" s="24"/>
      <c r="C55" s="24"/>
      <c r="D55" s="279"/>
      <c r="E55" s="24"/>
      <c r="F55" s="24"/>
      <c r="G55" s="24"/>
      <c r="H55" s="24"/>
      <c r="I55" s="24"/>
      <c r="J55" s="24"/>
      <c r="K55" s="24"/>
      <c r="L55" s="24"/>
      <c r="M55" s="24"/>
      <c r="N55" s="24"/>
      <c r="O55" s="24"/>
      <c r="P55" s="24"/>
      <c r="Q55" s="24"/>
      <c r="R55" s="24"/>
      <c r="S55" s="24"/>
      <c r="T55" s="24"/>
      <c r="U55" s="24"/>
      <c r="V55" s="24"/>
      <c r="W55" s="24"/>
      <c r="X55" s="24"/>
      <c r="Y55" s="24"/>
      <c r="Z55" s="257"/>
      <c r="AB55" s="24"/>
      <c r="AC55" s="24"/>
      <c r="AD55" s="24"/>
      <c r="AE55" s="24"/>
      <c r="AF55" s="24"/>
      <c r="AG55" s="24"/>
      <c r="AH55" s="24"/>
      <c r="AI55" s="24"/>
      <c r="AJ55" s="24"/>
    </row>
    <row r="56" spans="1:36">
      <c r="A56" s="24"/>
      <c r="B56" s="24"/>
      <c r="C56" s="24"/>
      <c r="D56" s="279" t="s">
        <v>1197</v>
      </c>
      <c r="E56" s="277">
        <f t="shared" ref="E56:X56" si="22">SUM(E52:E54)</f>
        <v>3508.7999999999997</v>
      </c>
      <c r="F56" s="277">
        <f t="shared" si="22"/>
        <v>11873.04008677566</v>
      </c>
      <c r="G56" s="277">
        <f t="shared" si="22"/>
        <v>26858.727927403059</v>
      </c>
      <c r="H56" s="277">
        <f t="shared" si="22"/>
        <v>50390.677076874381</v>
      </c>
      <c r="I56" s="277">
        <f t="shared" si="22"/>
        <v>84720.051163658703</v>
      </c>
      <c r="J56" s="277">
        <f t="shared" si="22"/>
        <v>132898.98858456372</v>
      </c>
      <c r="K56" s="277">
        <f t="shared" si="22"/>
        <v>197886.43745196436</v>
      </c>
      <c r="L56" s="277">
        <f t="shared" si="22"/>
        <v>282109.62294138293</v>
      </c>
      <c r="M56" s="277">
        <f t="shared" si="22"/>
        <v>387037.62974748772</v>
      </c>
      <c r="N56" s="277">
        <f t="shared" si="22"/>
        <v>512931.44060377596</v>
      </c>
      <c r="O56" s="277">
        <f t="shared" si="22"/>
        <v>649365.63529302343</v>
      </c>
      <c r="P56" s="277">
        <f t="shared" si="22"/>
        <v>793033.4650760428</v>
      </c>
      <c r="Q56" s="277">
        <f t="shared" si="22"/>
        <v>941029.95726814307</v>
      </c>
      <c r="R56" s="277">
        <f t="shared" si="22"/>
        <v>1091242.8141449138</v>
      </c>
      <c r="S56" s="277">
        <f t="shared" si="22"/>
        <v>1242406.5669929129</v>
      </c>
      <c r="T56" s="277">
        <f t="shared" si="22"/>
        <v>1393904.3891874077</v>
      </c>
      <c r="U56" s="277">
        <f t="shared" si="22"/>
        <v>1545495.929299383</v>
      </c>
      <c r="V56" s="277">
        <f t="shared" si="22"/>
        <v>1697107.895662043</v>
      </c>
      <c r="W56" s="277">
        <f t="shared" si="22"/>
        <v>1848723.2195291296</v>
      </c>
      <c r="X56" s="277">
        <f t="shared" si="22"/>
        <v>2000338.9464110585</v>
      </c>
      <c r="Y56" s="24"/>
      <c r="Z56" s="257"/>
      <c r="AB56" s="24"/>
      <c r="AC56" s="24"/>
      <c r="AD56" s="24"/>
      <c r="AE56" s="24"/>
      <c r="AF56" s="24"/>
      <c r="AG56" s="24"/>
      <c r="AH56" s="24"/>
      <c r="AI56" s="24"/>
      <c r="AJ56" s="24"/>
    </row>
    <row r="57" spans="1:36">
      <c r="A57" s="24"/>
      <c r="B57" s="24"/>
      <c r="C57" s="24"/>
      <c r="D57" s="279"/>
      <c r="E57" s="277"/>
      <c r="F57" s="277"/>
      <c r="G57" s="277"/>
      <c r="H57" s="277"/>
      <c r="I57" s="277"/>
      <c r="J57" s="277"/>
      <c r="K57" s="277"/>
      <c r="L57" s="277"/>
      <c r="M57" s="277"/>
      <c r="N57" s="277"/>
      <c r="O57" s="277"/>
      <c r="P57" s="277"/>
      <c r="Q57" s="277"/>
      <c r="R57" s="277"/>
      <c r="S57" s="277"/>
      <c r="T57" s="277"/>
      <c r="U57" s="277"/>
      <c r="V57" s="277"/>
      <c r="W57" s="277"/>
      <c r="X57" s="277"/>
      <c r="Y57" s="24"/>
      <c r="Z57" s="257"/>
      <c r="AB57" s="24"/>
      <c r="AC57" s="24"/>
      <c r="AD57" s="24"/>
      <c r="AE57" s="24"/>
      <c r="AF57" s="24"/>
      <c r="AG57" s="24"/>
      <c r="AH57" s="24"/>
      <c r="AI57" s="24"/>
      <c r="AJ57" s="24"/>
    </row>
    <row r="58" spans="1:36">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B58" s="24"/>
      <c r="AC58" s="91"/>
      <c r="AD58" s="24"/>
      <c r="AE58" s="24"/>
      <c r="AF58" s="24"/>
      <c r="AG58" s="24"/>
      <c r="AH58" s="24"/>
      <c r="AI58" s="24"/>
      <c r="AJ58" s="24"/>
    </row>
    <row r="59" spans="1:36" ht="15">
      <c r="A59" s="252" t="s">
        <v>1096</v>
      </c>
      <c r="B59" s="24"/>
      <c r="C59" s="254"/>
      <c r="D59" s="280" t="s">
        <v>1081</v>
      </c>
      <c r="E59" s="24" t="s">
        <v>1097</v>
      </c>
      <c r="F59" s="24"/>
      <c r="G59" s="24"/>
      <c r="H59" s="24"/>
      <c r="I59" s="24"/>
      <c r="J59" s="24"/>
      <c r="K59" s="24"/>
      <c r="L59" s="24"/>
      <c r="M59" s="24"/>
      <c r="N59" s="24"/>
      <c r="O59" s="24"/>
      <c r="P59" s="24"/>
      <c r="Q59" s="24"/>
      <c r="R59" s="24"/>
      <c r="S59" s="24"/>
      <c r="T59" s="24"/>
      <c r="U59" s="24"/>
      <c r="V59" s="24"/>
      <c r="W59" s="24"/>
      <c r="X59" s="24"/>
      <c r="Y59" s="24"/>
      <c r="Z59" s="24"/>
      <c r="AB59" s="24"/>
      <c r="AC59" s="24"/>
      <c r="AD59" s="24"/>
      <c r="AE59" s="24"/>
      <c r="AF59" s="46"/>
      <c r="AG59" s="24"/>
      <c r="AH59" s="24"/>
      <c r="AI59" s="24"/>
      <c r="AJ59" s="24"/>
    </row>
    <row r="60" spans="1:36" ht="15">
      <c r="A60" s="250" t="s">
        <v>1098</v>
      </c>
      <c r="B60" s="250" t="s">
        <v>781</v>
      </c>
      <c r="C60" s="250"/>
      <c r="D60" s="250">
        <v>1</v>
      </c>
      <c r="E60" s="255">
        <f t="shared" ref="E60:X60" si="23">E11</f>
        <v>2016</v>
      </c>
      <c r="F60" s="255">
        <f t="shared" si="23"/>
        <v>2017</v>
      </c>
      <c r="G60" s="255">
        <f t="shared" si="23"/>
        <v>2018</v>
      </c>
      <c r="H60" s="255">
        <f t="shared" si="23"/>
        <v>2019</v>
      </c>
      <c r="I60" s="255">
        <f t="shared" si="23"/>
        <v>2020</v>
      </c>
      <c r="J60" s="255">
        <f t="shared" si="23"/>
        <v>2021</v>
      </c>
      <c r="K60" s="255">
        <f t="shared" si="23"/>
        <v>2022</v>
      </c>
      <c r="L60" s="255">
        <f t="shared" si="23"/>
        <v>2023</v>
      </c>
      <c r="M60" s="255">
        <f t="shared" si="23"/>
        <v>2024</v>
      </c>
      <c r="N60" s="255">
        <f t="shared" si="23"/>
        <v>2025</v>
      </c>
      <c r="O60" s="255">
        <f t="shared" si="23"/>
        <v>2026</v>
      </c>
      <c r="P60" s="255">
        <f t="shared" si="23"/>
        <v>2027</v>
      </c>
      <c r="Q60" s="255">
        <f t="shared" si="23"/>
        <v>2028</v>
      </c>
      <c r="R60" s="255">
        <f t="shared" si="23"/>
        <v>2029</v>
      </c>
      <c r="S60" s="255">
        <f t="shared" si="23"/>
        <v>2030</v>
      </c>
      <c r="T60" s="255">
        <f t="shared" si="23"/>
        <v>2031</v>
      </c>
      <c r="U60" s="255">
        <f t="shared" si="23"/>
        <v>2032</v>
      </c>
      <c r="V60" s="255">
        <f t="shared" si="23"/>
        <v>2033</v>
      </c>
      <c r="W60" s="255">
        <f t="shared" si="23"/>
        <v>2034</v>
      </c>
      <c r="X60" s="255">
        <f t="shared" si="23"/>
        <v>2035</v>
      </c>
      <c r="Y60" s="24"/>
      <c r="Z60" s="234"/>
      <c r="AB60" s="24"/>
      <c r="AC60" s="24"/>
      <c r="AD60" s="24"/>
      <c r="AE60" s="24"/>
      <c r="AF60" s="24"/>
      <c r="AG60" s="24"/>
      <c r="AH60" s="24"/>
      <c r="AI60" s="24"/>
      <c r="AJ60" s="24"/>
    </row>
    <row r="61" spans="1:36" ht="15">
      <c r="A61" s="250" t="s">
        <v>773</v>
      </c>
      <c r="B61" s="250" t="s">
        <v>1099</v>
      </c>
      <c r="C61" s="250" t="s">
        <v>1100</v>
      </c>
      <c r="D61" s="250" t="s">
        <v>1101</v>
      </c>
      <c r="E61" s="256" t="str">
        <f>CONCATENATE("aMW_",E$11)</f>
        <v>aMW_2016</v>
      </c>
      <c r="F61" s="256" t="str">
        <f t="shared" ref="F61:X61" si="24">CONCATENATE("aMW_",F$11)</f>
        <v>aMW_2017</v>
      </c>
      <c r="G61" s="256" t="str">
        <f t="shared" si="24"/>
        <v>aMW_2018</v>
      </c>
      <c r="H61" s="256" t="str">
        <f t="shared" si="24"/>
        <v>aMW_2019</v>
      </c>
      <c r="I61" s="256" t="str">
        <f t="shared" si="24"/>
        <v>aMW_2020</v>
      </c>
      <c r="J61" s="256" t="str">
        <f t="shared" si="24"/>
        <v>aMW_2021</v>
      </c>
      <c r="K61" s="256" t="str">
        <f t="shared" si="24"/>
        <v>aMW_2022</v>
      </c>
      <c r="L61" s="256" t="str">
        <f t="shared" si="24"/>
        <v>aMW_2023</v>
      </c>
      <c r="M61" s="256" t="str">
        <f t="shared" si="24"/>
        <v>aMW_2024</v>
      </c>
      <c r="N61" s="256" t="str">
        <f t="shared" si="24"/>
        <v>aMW_2025</v>
      </c>
      <c r="O61" s="256" t="str">
        <f t="shared" si="24"/>
        <v>aMW_2026</v>
      </c>
      <c r="P61" s="256" t="str">
        <f t="shared" si="24"/>
        <v>aMW_2027</v>
      </c>
      <c r="Q61" s="256" t="str">
        <f t="shared" si="24"/>
        <v>aMW_2028</v>
      </c>
      <c r="R61" s="256" t="str">
        <f t="shared" si="24"/>
        <v>aMW_2029</v>
      </c>
      <c r="S61" s="256" t="str">
        <f t="shared" si="24"/>
        <v>aMW_2030</v>
      </c>
      <c r="T61" s="256" t="str">
        <f t="shared" si="24"/>
        <v>aMW_2031</v>
      </c>
      <c r="U61" s="256" t="str">
        <f t="shared" si="24"/>
        <v>aMW_2032</v>
      </c>
      <c r="V61" s="256" t="str">
        <f t="shared" si="24"/>
        <v>aMW_2033</v>
      </c>
      <c r="W61" s="256" t="str">
        <f t="shared" si="24"/>
        <v>aMW_2034</v>
      </c>
      <c r="X61" s="256" t="str">
        <f t="shared" si="24"/>
        <v>aMW_2035</v>
      </c>
      <c r="Y61" s="247" t="s">
        <v>1085</v>
      </c>
      <c r="Z61" s="247" t="s">
        <v>1392</v>
      </c>
      <c r="AB61" s="24"/>
      <c r="AC61" s="24"/>
      <c r="AD61" s="24"/>
      <c r="AE61" s="24"/>
      <c r="AF61" s="46"/>
      <c r="AG61" s="24"/>
      <c r="AH61" s="24"/>
      <c r="AI61" s="24"/>
      <c r="AJ61" s="24"/>
    </row>
    <row r="62" spans="1:36">
      <c r="A62" s="281">
        <f>VLOOKUP(C62,MeasOut,3,FALSE)</f>
        <v>111.06931305508533</v>
      </c>
      <c r="B62" s="281">
        <f>VLOOKUP(C62,MeasOut,11,FALSE)</f>
        <v>65.473488327480865</v>
      </c>
      <c r="C62" s="345" t="s">
        <v>768</v>
      </c>
      <c r="D62" s="24" t="str">
        <f>$C$8</f>
        <v>Water Cooler Controls-NR</v>
      </c>
      <c r="E62" s="265">
        <f t="shared" ref="E62:X62" si="25">E44*$D$60*$A62/8760/1000</f>
        <v>1.482952837319952E-2</v>
      </c>
      <c r="F62" s="265">
        <f t="shared" si="25"/>
        <v>3.5350471867046415E-2</v>
      </c>
      <c r="G62" s="265">
        <f t="shared" si="25"/>
        <v>6.3335237980077272E-2</v>
      </c>
      <c r="H62" s="265">
        <f t="shared" si="25"/>
        <v>9.9455001022792214E-2</v>
      </c>
      <c r="I62" s="265">
        <f t="shared" si="25"/>
        <v>0.14508904099810441</v>
      </c>
      <c r="J62" s="265">
        <f t="shared" si="25"/>
        <v>0.2036225830694012</v>
      </c>
      <c r="K62" s="265">
        <f t="shared" si="25"/>
        <v>0.27466176951692045</v>
      </c>
      <c r="L62" s="265">
        <f t="shared" si="25"/>
        <v>0.35595933621083531</v>
      </c>
      <c r="M62" s="265">
        <f t="shared" si="25"/>
        <v>0.44346581568467958</v>
      </c>
      <c r="N62" s="265">
        <f t="shared" si="25"/>
        <v>0.53207530782704637</v>
      </c>
      <c r="O62" s="265">
        <f t="shared" si="25"/>
        <v>0.57662299396341232</v>
      </c>
      <c r="P62" s="265">
        <f t="shared" si="25"/>
        <v>0.60719509749295641</v>
      </c>
      <c r="Q62" s="265">
        <f t="shared" si="25"/>
        <v>0.62548967741015493</v>
      </c>
      <c r="R62" s="265">
        <f t="shared" si="25"/>
        <v>0.63485688072088242</v>
      </c>
      <c r="S62" s="265">
        <f t="shared" si="25"/>
        <v>0.63887573012389542</v>
      </c>
      <c r="T62" s="265">
        <f t="shared" si="25"/>
        <v>0.64028763472161232</v>
      </c>
      <c r="U62" s="265">
        <f t="shared" si="25"/>
        <v>0.64068372242007288</v>
      </c>
      <c r="V62" s="265">
        <f t="shared" si="25"/>
        <v>0.64077005155370492</v>
      </c>
      <c r="W62" s="265">
        <f t="shared" si="25"/>
        <v>0.64078424164922299</v>
      </c>
      <c r="X62" s="265">
        <f t="shared" si="25"/>
        <v>0.64078594494380747</v>
      </c>
      <c r="Y62" s="273">
        <f>(VLOOKUP($C62,$D$28:$Z$30,$X$51+2,FALSE)+VLOOKUP($C62,$D$36:$Z$38,$X$51+2,FALSE))*$A62*$D$60/8760/1000</f>
        <v>3.2335758970495161</v>
      </c>
      <c r="Z62" s="349">
        <f>SUM(E62:X62)</f>
        <v>8.4541960675498249</v>
      </c>
      <c r="AB62" s="277"/>
      <c r="AC62" s="277"/>
      <c r="AD62" s="91"/>
      <c r="AE62" s="46"/>
      <c r="AF62" s="24">
        <v>121</v>
      </c>
      <c r="AG62" s="282">
        <f>B29</f>
        <v>1</v>
      </c>
      <c r="AH62" s="24"/>
      <c r="AI62" s="24"/>
      <c r="AJ62" s="24"/>
    </row>
    <row r="63" spans="1:36">
      <c r="A63" s="281">
        <f>VLOOKUP(C63,MeasOut,3,FALSE)</f>
        <v>204.15174358244232</v>
      </c>
      <c r="B63" s="281">
        <f>VLOOKUP(C63,MeasOut,11,FALSE)</f>
        <v>15.61262104946398</v>
      </c>
      <c r="C63" s="345" t="s">
        <v>1187</v>
      </c>
      <c r="D63" s="24" t="str">
        <f t="shared" ref="D63:D64" si="26">$C$8</f>
        <v>Water Cooler Controls-NR</v>
      </c>
      <c r="E63" s="265">
        <f t="shared" ref="E63:X63" si="27">E45*$D$60*$A63/8760/1000</f>
        <v>4.3612032747767038E-2</v>
      </c>
      <c r="F63" s="265">
        <f t="shared" si="27"/>
        <v>0.10396189938857896</v>
      </c>
      <c r="G63" s="265">
        <f t="shared" si="27"/>
        <v>0.18626205792671471</v>
      </c>
      <c r="H63" s="265">
        <f t="shared" si="27"/>
        <v>0.29248635913290355</v>
      </c>
      <c r="I63" s="265">
        <f t="shared" si="27"/>
        <v>0.42669111573278146</v>
      </c>
      <c r="J63" s="265">
        <f t="shared" si="27"/>
        <v>0.59883190736238245</v>
      </c>
      <c r="K63" s="265">
        <f t="shared" si="27"/>
        <v>0.80775044123316009</v>
      </c>
      <c r="L63" s="265">
        <f t="shared" si="27"/>
        <v>1.0468377575483871</v>
      </c>
      <c r="M63" s="265">
        <f t="shared" si="27"/>
        <v>1.3041848121824458</v>
      </c>
      <c r="N63" s="265">
        <f t="shared" si="27"/>
        <v>1.5647757073089468</v>
      </c>
      <c r="O63" s="265">
        <f t="shared" si="27"/>
        <v>1.6957856152253421</v>
      </c>
      <c r="P63" s="265">
        <f t="shared" si="27"/>
        <v>1.785694852171017</v>
      </c>
      <c r="Q63" s="265">
        <f t="shared" si="27"/>
        <v>1.8394972252726074</v>
      </c>
      <c r="R63" s="265">
        <f t="shared" si="27"/>
        <v>1.8670451531137064</v>
      </c>
      <c r="S63" s="265">
        <f t="shared" si="27"/>
        <v>1.8788641528392342</v>
      </c>
      <c r="T63" s="265">
        <f t="shared" si="27"/>
        <v>1.8830164109557932</v>
      </c>
      <c r="U63" s="265">
        <f t="shared" si="27"/>
        <v>1.884181261869559</v>
      </c>
      <c r="V63" s="265">
        <f t="shared" si="27"/>
        <v>1.8844351464779094</v>
      </c>
      <c r="W63" s="265">
        <f t="shared" si="27"/>
        <v>1.8844768780080605</v>
      </c>
      <c r="X63" s="265">
        <f t="shared" si="27"/>
        <v>1.8844818872124891</v>
      </c>
      <c r="Y63" s="273">
        <f t="shared" ref="Y63:Y64" si="28">(VLOOKUP($C63,$D$28:$Z$30,$X$51+2,FALSE)+VLOOKUP($C63,$D$36:$Z$38,$X$51+2,FALSE))*$A63*$D$60/8760/1000</f>
        <v>9.5095956098897521</v>
      </c>
      <c r="Z63" s="349">
        <f t="shared" ref="Z63:Z66" si="29">SUM(E63:X63)</f>
        <v>24.862872673709788</v>
      </c>
      <c r="AB63" s="277"/>
      <c r="AC63" s="277"/>
      <c r="AD63" s="91"/>
      <c r="AE63" s="46"/>
      <c r="AF63" s="24">
        <v>230</v>
      </c>
      <c r="AG63" s="282">
        <f>B30</f>
        <v>1</v>
      </c>
      <c r="AH63" s="24"/>
      <c r="AI63" s="24"/>
      <c r="AJ63" s="24"/>
    </row>
    <row r="64" spans="1:36">
      <c r="A64" s="281">
        <f>VLOOKUP(C64,MeasOut,3,FALSE)</f>
        <v>37.545148245046867</v>
      </c>
      <c r="B64" s="281">
        <f>VLOOKUP(C64,MeasOut,11,FALSE)</f>
        <v>142.55575516560936</v>
      </c>
      <c r="C64" s="345" t="s">
        <v>1382</v>
      </c>
      <c r="D64" s="24" t="str">
        <f t="shared" si="26"/>
        <v>Water Cooler Controls-NR</v>
      </c>
      <c r="E64" s="265">
        <f t="shared" ref="E64:X64" si="30">E46*$D$60*$A64/8760/1000</f>
        <v>2.0051509309318171E-3</v>
      </c>
      <c r="F64" s="265">
        <f t="shared" si="30"/>
        <v>4.7798574431530553E-3</v>
      </c>
      <c r="G64" s="265">
        <f t="shared" si="30"/>
        <v>8.5637727782397546E-3</v>
      </c>
      <c r="H64" s="265">
        <f t="shared" si="30"/>
        <v>1.3447648695765679E-2</v>
      </c>
      <c r="I64" s="265">
        <f t="shared" si="30"/>
        <v>1.961798233254167E-2</v>
      </c>
      <c r="J64" s="265">
        <f t="shared" si="30"/>
        <v>2.7532501487925628E-2</v>
      </c>
      <c r="K64" s="265">
        <f t="shared" si="30"/>
        <v>3.7137951321064823E-2</v>
      </c>
      <c r="L64" s="265">
        <f t="shared" si="30"/>
        <v>4.8130471611420089E-2</v>
      </c>
      <c r="M64" s="265">
        <f t="shared" si="30"/>
        <v>5.9962520100342316E-2</v>
      </c>
      <c r="N64" s="265">
        <f t="shared" si="30"/>
        <v>7.194371068087109E-2</v>
      </c>
      <c r="O64" s="265">
        <f t="shared" si="30"/>
        <v>7.7967154723004195E-2</v>
      </c>
      <c r="P64" s="265">
        <f t="shared" si="30"/>
        <v>8.2100912743495E-2</v>
      </c>
      <c r="Q64" s="265">
        <f t="shared" si="30"/>
        <v>8.4574585070004912E-2</v>
      </c>
      <c r="R64" s="265">
        <f t="shared" si="30"/>
        <v>8.5841156464998E-2</v>
      </c>
      <c r="S64" s="265">
        <f t="shared" si="30"/>
        <v>8.6384558751229149E-2</v>
      </c>
      <c r="T64" s="265">
        <f t="shared" si="30"/>
        <v>8.6575467170381254E-2</v>
      </c>
      <c r="U64" s="265">
        <f t="shared" si="30"/>
        <v>8.6629023534232574E-2</v>
      </c>
      <c r="V64" s="265">
        <f t="shared" si="30"/>
        <v>8.6640696389788913E-2</v>
      </c>
      <c r="W64" s="265">
        <f t="shared" si="30"/>
        <v>8.6642615080830349E-2</v>
      </c>
      <c r="X64" s="265">
        <f t="shared" si="30"/>
        <v>8.6642845389079931E-2</v>
      </c>
      <c r="Y64" s="273">
        <f t="shared" si="28"/>
        <v>0.43722278666159775</v>
      </c>
      <c r="Z64" s="349">
        <f t="shared" si="29"/>
        <v>1.1431205826993001</v>
      </c>
      <c r="AB64" s="277"/>
      <c r="AC64" s="277"/>
      <c r="AD64" s="91"/>
      <c r="AE64" s="46"/>
      <c r="AF64" s="24">
        <v>290</v>
      </c>
      <c r="AG64" s="282">
        <f>B28</f>
        <v>0.5</v>
      </c>
      <c r="AH64" s="24"/>
      <c r="AI64" s="24"/>
      <c r="AJ64" s="24"/>
    </row>
    <row r="65" spans="1:36">
      <c r="A65" s="24"/>
      <c r="B65" s="24"/>
      <c r="C65" s="24"/>
      <c r="D65" s="24"/>
      <c r="E65" s="265"/>
      <c r="F65" s="265"/>
      <c r="G65" s="265"/>
      <c r="H65" s="265"/>
      <c r="I65" s="265"/>
      <c r="J65" s="265"/>
      <c r="K65" s="265"/>
      <c r="L65" s="265"/>
      <c r="M65" s="265"/>
      <c r="N65" s="265"/>
      <c r="O65" s="265"/>
      <c r="P65" s="265"/>
      <c r="Q65" s="265"/>
      <c r="R65" s="265"/>
      <c r="S65" s="265"/>
      <c r="T65" s="265"/>
      <c r="U65" s="265"/>
      <c r="V65" s="265"/>
      <c r="W65" s="265"/>
      <c r="X65" s="265"/>
      <c r="Y65" s="278"/>
      <c r="Z65" s="349"/>
      <c r="AB65" s="24"/>
      <c r="AC65" s="24"/>
      <c r="AD65" s="24"/>
      <c r="AE65" s="24"/>
      <c r="AF65" s="24"/>
      <c r="AG65" s="24"/>
      <c r="AH65" s="24"/>
      <c r="AI65" s="24"/>
      <c r="AJ65" s="24"/>
    </row>
    <row r="66" spans="1:36">
      <c r="A66" s="24"/>
      <c r="B66" s="258">
        <f>SUMPRODUCT(B62:B64,A62:A64)/SUM(A62:A64)</f>
        <v>44.822083076620459</v>
      </c>
      <c r="C66" s="24"/>
      <c r="D66" s="24" t="s">
        <v>1102</v>
      </c>
      <c r="E66" s="45">
        <f t="shared" ref="E66:Y66" si="31">SUM(E62:E64)</f>
        <v>6.0446712051898374E-2</v>
      </c>
      <c r="F66" s="45">
        <f t="shared" si="31"/>
        <v>0.14409222869877844</v>
      </c>
      <c r="G66" s="45">
        <f t="shared" si="31"/>
        <v>0.25816106868503175</v>
      </c>
      <c r="H66" s="45">
        <f t="shared" si="31"/>
        <v>0.40538900885146145</v>
      </c>
      <c r="I66" s="45">
        <f t="shared" si="31"/>
        <v>0.59139813906342753</v>
      </c>
      <c r="J66" s="45">
        <f t="shared" si="31"/>
        <v>0.82998699191970926</v>
      </c>
      <c r="K66" s="45">
        <f t="shared" si="31"/>
        <v>1.1195501620711454</v>
      </c>
      <c r="L66" s="45">
        <f t="shared" si="31"/>
        <v>1.4509275653706426</v>
      </c>
      <c r="M66" s="45">
        <f t="shared" si="31"/>
        <v>1.8076131479674677</v>
      </c>
      <c r="N66" s="45">
        <f t="shared" si="31"/>
        <v>2.1687947258168641</v>
      </c>
      <c r="O66" s="45">
        <f t="shared" si="31"/>
        <v>2.3503757639117588</v>
      </c>
      <c r="P66" s="45">
        <f t="shared" si="31"/>
        <v>2.4749908624074686</v>
      </c>
      <c r="Q66" s="45">
        <f t="shared" si="31"/>
        <v>2.5495614877527673</v>
      </c>
      <c r="R66" s="45">
        <f t="shared" si="31"/>
        <v>2.5877431902995869</v>
      </c>
      <c r="S66" s="45">
        <f t="shared" si="31"/>
        <v>2.604124441714359</v>
      </c>
      <c r="T66" s="45">
        <f t="shared" si="31"/>
        <v>2.6098795128477867</v>
      </c>
      <c r="U66" s="45">
        <f t="shared" si="31"/>
        <v>2.6114940078238646</v>
      </c>
      <c r="V66" s="45">
        <f t="shared" si="31"/>
        <v>2.6118458944214034</v>
      </c>
      <c r="W66" s="45">
        <f t="shared" si="31"/>
        <v>2.6119037347381138</v>
      </c>
      <c r="X66" s="45">
        <f t="shared" si="31"/>
        <v>2.6119106775453766</v>
      </c>
      <c r="Y66" s="273">
        <f t="shared" si="31"/>
        <v>13.180394293600866</v>
      </c>
      <c r="Z66" s="349">
        <f t="shared" si="29"/>
        <v>34.460189323958915</v>
      </c>
      <c r="AB66" s="277"/>
      <c r="AC66" s="24"/>
      <c r="AD66" s="24"/>
      <c r="AE66" s="24"/>
      <c r="AF66" s="24"/>
      <c r="AG66" s="24"/>
      <c r="AH66" s="24"/>
      <c r="AI66" s="24"/>
      <c r="AJ66" s="24"/>
    </row>
    <row r="67" spans="1:36">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B67" s="24"/>
      <c r="AC67" s="24"/>
      <c r="AD67" s="24"/>
      <c r="AE67" s="24"/>
      <c r="AF67" s="24"/>
      <c r="AG67" s="24"/>
      <c r="AH67" s="24"/>
      <c r="AI67" s="24"/>
      <c r="AJ67" s="24"/>
    </row>
    <row r="68" spans="1:36">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B68" s="24"/>
      <c r="AC68" s="24"/>
      <c r="AD68" s="24"/>
      <c r="AE68" s="24"/>
      <c r="AF68" s="24"/>
      <c r="AG68" s="24"/>
      <c r="AH68" s="24"/>
      <c r="AI68" s="24"/>
      <c r="AJ68" s="24"/>
    </row>
    <row r="69" spans="1:36" ht="15">
      <c r="A69" s="259" t="s">
        <v>1103</v>
      </c>
      <c r="B69" s="259"/>
      <c r="C69" s="24"/>
      <c r="D69" s="24"/>
      <c r="E69" s="24"/>
      <c r="F69" s="24"/>
      <c r="G69" s="24"/>
      <c r="H69" s="24"/>
      <c r="I69" s="24"/>
      <c r="J69" s="24"/>
      <c r="K69" s="24"/>
      <c r="L69" s="24"/>
      <c r="M69" s="24"/>
      <c r="N69" s="24"/>
      <c r="O69" s="24"/>
      <c r="P69" s="24"/>
      <c r="Q69" s="24"/>
      <c r="R69" s="24"/>
      <c r="S69" s="24"/>
      <c r="T69" s="24"/>
      <c r="U69" s="24"/>
      <c r="V69" s="24"/>
      <c r="W69" s="24"/>
      <c r="X69" s="24"/>
      <c r="Y69" s="24"/>
      <c r="Z69" s="24"/>
      <c r="AB69" s="24"/>
      <c r="AC69" s="24"/>
      <c r="AD69" s="24"/>
      <c r="AE69" s="24"/>
      <c r="AF69" s="24"/>
      <c r="AG69" s="24"/>
      <c r="AH69" s="24"/>
      <c r="AI69" s="24"/>
      <c r="AJ69" s="24"/>
    </row>
    <row r="70" spans="1:36" ht="15">
      <c r="A70" s="24"/>
      <c r="B70" s="24"/>
      <c r="C70" s="24"/>
      <c r="D70" s="24"/>
      <c r="E70" s="255">
        <f>E11</f>
        <v>2016</v>
      </c>
      <c r="F70" s="255">
        <f t="shared" ref="F70:X70" si="32">F11</f>
        <v>2017</v>
      </c>
      <c r="G70" s="255">
        <f t="shared" si="32"/>
        <v>2018</v>
      </c>
      <c r="H70" s="255">
        <f t="shared" si="32"/>
        <v>2019</v>
      </c>
      <c r="I70" s="255">
        <f t="shared" si="32"/>
        <v>2020</v>
      </c>
      <c r="J70" s="255">
        <f t="shared" si="32"/>
        <v>2021</v>
      </c>
      <c r="K70" s="255">
        <f t="shared" si="32"/>
        <v>2022</v>
      </c>
      <c r="L70" s="255">
        <f t="shared" si="32"/>
        <v>2023</v>
      </c>
      <c r="M70" s="255">
        <f t="shared" si="32"/>
        <v>2024</v>
      </c>
      <c r="N70" s="255">
        <f t="shared" si="32"/>
        <v>2025</v>
      </c>
      <c r="O70" s="255">
        <f t="shared" si="32"/>
        <v>2026</v>
      </c>
      <c r="P70" s="255">
        <f t="shared" si="32"/>
        <v>2027</v>
      </c>
      <c r="Q70" s="255">
        <f t="shared" si="32"/>
        <v>2028</v>
      </c>
      <c r="R70" s="255">
        <f t="shared" si="32"/>
        <v>2029</v>
      </c>
      <c r="S70" s="255">
        <f t="shared" si="32"/>
        <v>2030</v>
      </c>
      <c r="T70" s="255">
        <f t="shared" si="32"/>
        <v>2031</v>
      </c>
      <c r="U70" s="255">
        <f t="shared" si="32"/>
        <v>2032</v>
      </c>
      <c r="V70" s="255">
        <f t="shared" si="32"/>
        <v>2033</v>
      </c>
      <c r="W70" s="255">
        <f t="shared" si="32"/>
        <v>2034</v>
      </c>
      <c r="X70" s="255">
        <f t="shared" si="32"/>
        <v>2035</v>
      </c>
      <c r="Y70" s="24"/>
      <c r="Z70" s="242"/>
      <c r="AB70" s="24"/>
      <c r="AC70" s="24"/>
      <c r="AD70" s="24"/>
      <c r="AE70" s="24"/>
      <c r="AF70" s="24"/>
      <c r="AG70" s="24"/>
      <c r="AH70" s="24"/>
      <c r="AI70" s="24"/>
      <c r="AJ70" s="24"/>
    </row>
    <row r="71" spans="1:36" ht="15">
      <c r="A71" s="24"/>
      <c r="B71" s="24"/>
      <c r="C71" s="260" t="s">
        <v>1099</v>
      </c>
      <c r="D71" s="260" t="s">
        <v>1099</v>
      </c>
      <c r="E71" s="256" t="str">
        <f>CONCATENATE("aMW_",E$11)</f>
        <v>aMW_2016</v>
      </c>
      <c r="F71" s="256" t="str">
        <f t="shared" ref="F71:X71" si="33">CONCATENATE("aMW_",F$11)</f>
        <v>aMW_2017</v>
      </c>
      <c r="G71" s="256" t="str">
        <f t="shared" si="33"/>
        <v>aMW_2018</v>
      </c>
      <c r="H71" s="256" t="str">
        <f t="shared" si="33"/>
        <v>aMW_2019</v>
      </c>
      <c r="I71" s="256" t="str">
        <f t="shared" si="33"/>
        <v>aMW_2020</v>
      </c>
      <c r="J71" s="256" t="str">
        <f t="shared" si="33"/>
        <v>aMW_2021</v>
      </c>
      <c r="K71" s="256" t="str">
        <f t="shared" si="33"/>
        <v>aMW_2022</v>
      </c>
      <c r="L71" s="256" t="str">
        <f t="shared" si="33"/>
        <v>aMW_2023</v>
      </c>
      <c r="M71" s="256" t="str">
        <f t="shared" si="33"/>
        <v>aMW_2024</v>
      </c>
      <c r="N71" s="256" t="str">
        <f t="shared" si="33"/>
        <v>aMW_2025</v>
      </c>
      <c r="O71" s="256" t="str">
        <f t="shared" si="33"/>
        <v>aMW_2026</v>
      </c>
      <c r="P71" s="256" t="str">
        <f t="shared" si="33"/>
        <v>aMW_2027</v>
      </c>
      <c r="Q71" s="256" t="str">
        <f t="shared" si="33"/>
        <v>aMW_2028</v>
      </c>
      <c r="R71" s="256" t="str">
        <f t="shared" si="33"/>
        <v>aMW_2029</v>
      </c>
      <c r="S71" s="256" t="str">
        <f t="shared" si="33"/>
        <v>aMW_2030</v>
      </c>
      <c r="T71" s="256" t="str">
        <f t="shared" si="33"/>
        <v>aMW_2031</v>
      </c>
      <c r="U71" s="256" t="str">
        <f t="shared" si="33"/>
        <v>aMW_2032</v>
      </c>
      <c r="V71" s="256" t="str">
        <f t="shared" si="33"/>
        <v>aMW_2033</v>
      </c>
      <c r="W71" s="256" t="str">
        <f t="shared" si="33"/>
        <v>aMW_2034</v>
      </c>
      <c r="X71" s="256" t="str">
        <f t="shared" si="33"/>
        <v>aMW_2035</v>
      </c>
      <c r="Y71" s="247" t="s">
        <v>1085</v>
      </c>
      <c r="Z71" s="263"/>
      <c r="AB71" s="24"/>
      <c r="AC71" s="24"/>
      <c r="AD71" s="24"/>
      <c r="AE71" s="24"/>
      <c r="AF71" s="24"/>
      <c r="AG71" s="24"/>
      <c r="AH71" s="24"/>
      <c r="AI71" s="24"/>
      <c r="AJ71" s="24"/>
    </row>
    <row r="72" spans="1:36">
      <c r="A72" s="24"/>
      <c r="B72" s="24" t="s">
        <v>977</v>
      </c>
      <c r="C72" s="261" t="s">
        <v>1104</v>
      </c>
      <c r="D72" s="261" t="s">
        <v>1105</v>
      </c>
      <c r="E72" s="262">
        <f>DSUM($B$61:$Z$64,E$61,$C$71:$D72)</f>
        <v>0</v>
      </c>
      <c r="F72" s="262">
        <f>DSUM($B$61:$Z$64,F$61,$C$71:$D72)</f>
        <v>0</v>
      </c>
      <c r="G72" s="262">
        <f>DSUM($B$61:$Z$64,G$61,$C$71:$D72)</f>
        <v>0</v>
      </c>
      <c r="H72" s="262">
        <f>DSUM($B$61:$Z$64,H$61,$C$71:$D72)</f>
        <v>0</v>
      </c>
      <c r="I72" s="262">
        <f>DSUM($B$61:$Z$64,I$61,$C$71:$D72)</f>
        <v>0</v>
      </c>
      <c r="J72" s="262">
        <f>DSUM($B$61:$Z$64,J$61,$C$71:$D72)</f>
        <v>0</v>
      </c>
      <c r="K72" s="262">
        <f>DSUM($B$61:$Z$64,K$61,$C$71:$D72)</f>
        <v>0</v>
      </c>
      <c r="L72" s="262">
        <f>DSUM($B$61:$Z$64,L$61,$C$71:$D72)</f>
        <v>0</v>
      </c>
      <c r="M72" s="262">
        <f>DSUM($B$61:$Z$64,M$61,$C$71:$D72)</f>
        <v>0</v>
      </c>
      <c r="N72" s="262">
        <f>DSUM($B$61:$Z$64,N$61,$C$71:$D72)</f>
        <v>0</v>
      </c>
      <c r="O72" s="262">
        <f>DSUM($B$61:$Z$64,O$61,$C$71:$D72)</f>
        <v>0</v>
      </c>
      <c r="P72" s="262">
        <f>DSUM($B$61:$Z$64,P$61,$C$71:$D72)</f>
        <v>0</v>
      </c>
      <c r="Q72" s="262">
        <f>DSUM($B$61:$Z$64,Q$61,$C$71:$D72)</f>
        <v>0</v>
      </c>
      <c r="R72" s="262">
        <f>DSUM($B$61:$Z$64,R$61,$C$71:$D72)</f>
        <v>0</v>
      </c>
      <c r="S72" s="262">
        <f>DSUM($B$61:$Z$64,S$61,$C$71:$D72)</f>
        <v>0</v>
      </c>
      <c r="T72" s="262">
        <f>DSUM($B$61:$Z$64,T$61,$C$71:$D72)</f>
        <v>0</v>
      </c>
      <c r="U72" s="262">
        <f>DSUM($B$61:$Z$64,U$61,$C$71:$D72)</f>
        <v>0</v>
      </c>
      <c r="V72" s="262">
        <f>DSUM($B$61:$Z$64,V$61,$C$71:$D72)</f>
        <v>0</v>
      </c>
      <c r="W72" s="262">
        <f>DSUM($B$61:$Z$64,W$61,$C$71:$D72)</f>
        <v>0</v>
      </c>
      <c r="X72" s="262">
        <f>DSUM($B$61:$Z$64,X$61,$C$71:$D72)</f>
        <v>0</v>
      </c>
      <c r="Y72" s="91">
        <f>DSUM($B$61:$Z$64,Y$61,$C$71:$D72)</f>
        <v>0</v>
      </c>
      <c r="Z72" s="262"/>
      <c r="AB72" s="24"/>
      <c r="AC72" s="24"/>
      <c r="AD72" s="24"/>
      <c r="AE72" s="24"/>
      <c r="AF72" s="24"/>
      <c r="AG72" s="24"/>
      <c r="AH72" s="24"/>
      <c r="AI72" s="24"/>
      <c r="AJ72" s="24"/>
    </row>
    <row r="73" spans="1:36">
      <c r="A73" s="24"/>
      <c r="B73" s="24" t="s">
        <v>978</v>
      </c>
      <c r="C73" s="261" t="s">
        <v>1106</v>
      </c>
      <c r="D73" s="261" t="s">
        <v>1107</v>
      </c>
      <c r="E73" s="262">
        <f>DSUM($B$61:$Z$64,E$61,$C$71:$D73)</f>
        <v>0</v>
      </c>
      <c r="F73" s="262">
        <f>DSUM($B$61:$Z$64,F$61,$C$71:$D73)</f>
        <v>0</v>
      </c>
      <c r="G73" s="262">
        <f>DSUM($B$61:$Z$64,G$61,$C$71:$D73)</f>
        <v>0</v>
      </c>
      <c r="H73" s="262">
        <f>DSUM($B$61:$Z$64,H$61,$C$71:$D73)</f>
        <v>0</v>
      </c>
      <c r="I73" s="262">
        <f>DSUM($B$61:$Z$64,I$61,$C$71:$D73)</f>
        <v>0</v>
      </c>
      <c r="J73" s="262">
        <f>DSUM($B$61:$Z$64,J$61,$C$71:$D73)</f>
        <v>0</v>
      </c>
      <c r="K73" s="262">
        <f>DSUM($B$61:$Z$64,K$61,$C$71:$D73)</f>
        <v>0</v>
      </c>
      <c r="L73" s="262">
        <f>DSUM($B$61:$Z$64,L$61,$C$71:$D73)</f>
        <v>0</v>
      </c>
      <c r="M73" s="262">
        <f>DSUM($B$61:$Z$64,M$61,$C$71:$D73)</f>
        <v>0</v>
      </c>
      <c r="N73" s="262">
        <f>DSUM($B$61:$Z$64,N$61,$C$71:$D73)</f>
        <v>0</v>
      </c>
      <c r="O73" s="262">
        <f>DSUM($B$61:$Z$64,O$61,$C$71:$D73)</f>
        <v>0</v>
      </c>
      <c r="P73" s="262">
        <f>DSUM($B$61:$Z$64,P$61,$C$71:$D73)</f>
        <v>0</v>
      </c>
      <c r="Q73" s="262">
        <f>DSUM($B$61:$Z$64,Q$61,$C$71:$D73)</f>
        <v>0</v>
      </c>
      <c r="R73" s="262">
        <f>DSUM($B$61:$Z$64,R$61,$C$71:$D73)</f>
        <v>0</v>
      </c>
      <c r="S73" s="262">
        <f>DSUM($B$61:$Z$64,S$61,$C$71:$D73)</f>
        <v>0</v>
      </c>
      <c r="T73" s="262">
        <f>DSUM($B$61:$Z$64,T$61,$C$71:$D73)</f>
        <v>0</v>
      </c>
      <c r="U73" s="262">
        <f>DSUM($B$61:$Z$64,U$61,$C$71:$D73)</f>
        <v>0</v>
      </c>
      <c r="V73" s="262">
        <f>DSUM($B$61:$Z$64,V$61,$C$71:$D73)</f>
        <v>0</v>
      </c>
      <c r="W73" s="262">
        <f>DSUM($B$61:$Z$64,W$61,$C$71:$D73)</f>
        <v>0</v>
      </c>
      <c r="X73" s="262">
        <f>DSUM($B$61:$Z$64,X$61,$C$71:$D73)</f>
        <v>0</v>
      </c>
      <c r="Y73" s="91">
        <f>DSUM($B$61:$Z$64,Y$61,$C$71:$D73)</f>
        <v>0</v>
      </c>
      <c r="Z73" s="262"/>
      <c r="AB73" s="24"/>
      <c r="AC73" s="24"/>
      <c r="AD73" s="24"/>
      <c r="AE73" s="24"/>
      <c r="AF73" s="24"/>
      <c r="AG73" s="24"/>
      <c r="AH73" s="24"/>
      <c r="AI73" s="24"/>
      <c r="AJ73" s="24"/>
    </row>
    <row r="74" spans="1:36">
      <c r="A74" s="24"/>
      <c r="B74" s="24" t="s">
        <v>979</v>
      </c>
      <c r="C74" s="261" t="s">
        <v>1108</v>
      </c>
      <c r="D74" s="261" t="s">
        <v>1109</v>
      </c>
      <c r="E74" s="262">
        <f>DSUM($B$61:$Z$64,E$61,$C$71:$D74)</f>
        <v>4.3612032747767038E-2</v>
      </c>
      <c r="F74" s="262">
        <f>DSUM($B$61:$Z$64,F$61,$C$71:$D74)</f>
        <v>0.10396189938857896</v>
      </c>
      <c r="G74" s="262">
        <f>DSUM($B$61:$Z$64,G$61,$C$71:$D74)</f>
        <v>0.18626205792671471</v>
      </c>
      <c r="H74" s="262">
        <f>DSUM($B$61:$Z$64,H$61,$C$71:$D74)</f>
        <v>0.29248635913290355</v>
      </c>
      <c r="I74" s="262">
        <f>DSUM($B$61:$Z$64,I$61,$C$71:$D74)</f>
        <v>0.42669111573278146</v>
      </c>
      <c r="J74" s="262">
        <f>DSUM($B$61:$Z$64,J$61,$C$71:$D74)</f>
        <v>0.59883190736238245</v>
      </c>
      <c r="K74" s="262">
        <f>DSUM($B$61:$Z$64,K$61,$C$71:$D74)</f>
        <v>0.80775044123316009</v>
      </c>
      <c r="L74" s="262">
        <f>DSUM($B$61:$Z$64,L$61,$C$71:$D74)</f>
        <v>1.0468377575483871</v>
      </c>
      <c r="M74" s="262">
        <f>DSUM($B$61:$Z$64,M$61,$C$71:$D74)</f>
        <v>1.3041848121824458</v>
      </c>
      <c r="N74" s="262">
        <f>DSUM($B$61:$Z$64,N$61,$C$71:$D74)</f>
        <v>1.5647757073089468</v>
      </c>
      <c r="O74" s="262">
        <f>DSUM($B$61:$Z$64,O$61,$C$71:$D74)</f>
        <v>1.6957856152253421</v>
      </c>
      <c r="P74" s="262">
        <f>DSUM($B$61:$Z$64,P$61,$C$71:$D74)</f>
        <v>1.785694852171017</v>
      </c>
      <c r="Q74" s="262">
        <f>DSUM($B$61:$Z$64,Q$61,$C$71:$D74)</f>
        <v>1.8394972252726074</v>
      </c>
      <c r="R74" s="262">
        <f>DSUM($B$61:$Z$64,R$61,$C$71:$D74)</f>
        <v>1.8670451531137064</v>
      </c>
      <c r="S74" s="262">
        <f>DSUM($B$61:$Z$64,S$61,$C$71:$D74)</f>
        <v>1.8788641528392342</v>
      </c>
      <c r="T74" s="262">
        <f>DSUM($B$61:$Z$64,T$61,$C$71:$D74)</f>
        <v>1.8830164109557932</v>
      </c>
      <c r="U74" s="262">
        <f>DSUM($B$61:$Z$64,U$61,$C$71:$D74)</f>
        <v>1.884181261869559</v>
      </c>
      <c r="V74" s="262">
        <f>DSUM($B$61:$Z$64,V$61,$C$71:$D74)</f>
        <v>1.8844351464779094</v>
      </c>
      <c r="W74" s="262">
        <f>DSUM($B$61:$Z$64,W$61,$C$71:$D74)</f>
        <v>1.8844768780080605</v>
      </c>
      <c r="X74" s="262">
        <f>DSUM($B$61:$Z$64,X$61,$C$71:$D74)</f>
        <v>1.8844818872124891</v>
      </c>
      <c r="Y74" s="91">
        <f>DSUM($B$61:$Z$64,Y$61,$C$71:$D74)</f>
        <v>9.5095956098897521</v>
      </c>
      <c r="Z74" s="262"/>
      <c r="AB74" s="24"/>
      <c r="AC74" s="24"/>
      <c r="AD74" s="24"/>
      <c r="AE74" s="24"/>
      <c r="AF74" s="24"/>
      <c r="AG74" s="24"/>
      <c r="AH74" s="24"/>
      <c r="AI74" s="24"/>
      <c r="AJ74" s="24"/>
    </row>
    <row r="75" spans="1:36">
      <c r="A75" s="24"/>
      <c r="B75" s="24" t="s">
        <v>980</v>
      </c>
      <c r="C75" s="261" t="s">
        <v>1110</v>
      </c>
      <c r="D75" s="261" t="s">
        <v>1111</v>
      </c>
      <c r="E75" s="262">
        <f>DSUM($B$61:$Z$64,E$61,$C$71:$D75)</f>
        <v>4.3612032747767038E-2</v>
      </c>
      <c r="F75" s="262">
        <f>DSUM($B$61:$Z$64,F$61,$C$71:$D75)</f>
        <v>0.10396189938857896</v>
      </c>
      <c r="G75" s="262">
        <f>DSUM($B$61:$Z$64,G$61,$C$71:$D75)</f>
        <v>0.18626205792671471</v>
      </c>
      <c r="H75" s="262">
        <f>DSUM($B$61:$Z$64,H$61,$C$71:$D75)</f>
        <v>0.29248635913290355</v>
      </c>
      <c r="I75" s="262">
        <f>DSUM($B$61:$Z$64,I$61,$C$71:$D75)</f>
        <v>0.42669111573278146</v>
      </c>
      <c r="J75" s="262">
        <f>DSUM($B$61:$Z$64,J$61,$C$71:$D75)</f>
        <v>0.59883190736238245</v>
      </c>
      <c r="K75" s="262">
        <f>DSUM($B$61:$Z$64,K$61,$C$71:$D75)</f>
        <v>0.80775044123316009</v>
      </c>
      <c r="L75" s="262">
        <f>DSUM($B$61:$Z$64,L$61,$C$71:$D75)</f>
        <v>1.0468377575483871</v>
      </c>
      <c r="M75" s="262">
        <f>DSUM($B$61:$Z$64,M$61,$C$71:$D75)</f>
        <v>1.3041848121824458</v>
      </c>
      <c r="N75" s="262">
        <f>DSUM($B$61:$Z$64,N$61,$C$71:$D75)</f>
        <v>1.5647757073089468</v>
      </c>
      <c r="O75" s="262">
        <f>DSUM($B$61:$Z$64,O$61,$C$71:$D75)</f>
        <v>1.6957856152253421</v>
      </c>
      <c r="P75" s="262">
        <f>DSUM($B$61:$Z$64,P$61,$C$71:$D75)</f>
        <v>1.785694852171017</v>
      </c>
      <c r="Q75" s="262">
        <f>DSUM($B$61:$Z$64,Q$61,$C$71:$D75)</f>
        <v>1.8394972252726074</v>
      </c>
      <c r="R75" s="262">
        <f>DSUM($B$61:$Z$64,R$61,$C$71:$D75)</f>
        <v>1.8670451531137064</v>
      </c>
      <c r="S75" s="262">
        <f>DSUM($B$61:$Z$64,S$61,$C$71:$D75)</f>
        <v>1.8788641528392342</v>
      </c>
      <c r="T75" s="262">
        <f>DSUM($B$61:$Z$64,T$61,$C$71:$D75)</f>
        <v>1.8830164109557932</v>
      </c>
      <c r="U75" s="262">
        <f>DSUM($B$61:$Z$64,U$61,$C$71:$D75)</f>
        <v>1.884181261869559</v>
      </c>
      <c r="V75" s="262">
        <f>DSUM($B$61:$Z$64,V$61,$C$71:$D75)</f>
        <v>1.8844351464779094</v>
      </c>
      <c r="W75" s="262">
        <f>DSUM($B$61:$Z$64,W$61,$C$71:$D75)</f>
        <v>1.8844768780080605</v>
      </c>
      <c r="X75" s="262">
        <f>DSUM($B$61:$Z$64,X$61,$C$71:$D75)</f>
        <v>1.8844818872124891</v>
      </c>
      <c r="Y75" s="91">
        <f>DSUM($B$61:$Z$64,Y$61,$C$71:$D75)</f>
        <v>9.5095956098897521</v>
      </c>
      <c r="Z75" s="262"/>
      <c r="AB75" s="24"/>
      <c r="AC75" s="24"/>
      <c r="AD75" s="24"/>
      <c r="AE75" s="24"/>
      <c r="AF75" s="24"/>
      <c r="AG75" s="24"/>
      <c r="AH75" s="24"/>
      <c r="AI75" s="24"/>
      <c r="AJ75" s="24"/>
    </row>
    <row r="76" spans="1:36">
      <c r="A76" s="24"/>
      <c r="B76" s="24" t="s">
        <v>981</v>
      </c>
      <c r="C76" s="261" t="s">
        <v>1112</v>
      </c>
      <c r="D76" s="261" t="s">
        <v>1113</v>
      </c>
      <c r="E76" s="262">
        <f>DSUM($B$61:$Z$64,E$61,$C$71:$D76)</f>
        <v>4.3612032747767038E-2</v>
      </c>
      <c r="F76" s="262">
        <f>DSUM($B$61:$Z$64,F$61,$C$71:$D76)</f>
        <v>0.10396189938857896</v>
      </c>
      <c r="G76" s="262">
        <f>DSUM($B$61:$Z$64,G$61,$C$71:$D76)</f>
        <v>0.18626205792671471</v>
      </c>
      <c r="H76" s="262">
        <f>DSUM($B$61:$Z$64,H$61,$C$71:$D76)</f>
        <v>0.29248635913290355</v>
      </c>
      <c r="I76" s="262">
        <f>DSUM($B$61:$Z$64,I$61,$C$71:$D76)</f>
        <v>0.42669111573278146</v>
      </c>
      <c r="J76" s="262">
        <f>DSUM($B$61:$Z$64,J$61,$C$71:$D76)</f>
        <v>0.59883190736238245</v>
      </c>
      <c r="K76" s="262">
        <f>DSUM($B$61:$Z$64,K$61,$C$71:$D76)</f>
        <v>0.80775044123316009</v>
      </c>
      <c r="L76" s="262">
        <f>DSUM($B$61:$Z$64,L$61,$C$71:$D76)</f>
        <v>1.0468377575483871</v>
      </c>
      <c r="M76" s="262">
        <f>DSUM($B$61:$Z$64,M$61,$C$71:$D76)</f>
        <v>1.3041848121824458</v>
      </c>
      <c r="N76" s="262">
        <f>DSUM($B$61:$Z$64,N$61,$C$71:$D76)</f>
        <v>1.5647757073089468</v>
      </c>
      <c r="O76" s="262">
        <f>DSUM($B$61:$Z$64,O$61,$C$71:$D76)</f>
        <v>1.6957856152253421</v>
      </c>
      <c r="P76" s="262">
        <f>DSUM($B$61:$Z$64,P$61,$C$71:$D76)</f>
        <v>1.785694852171017</v>
      </c>
      <c r="Q76" s="262">
        <f>DSUM($B$61:$Z$64,Q$61,$C$71:$D76)</f>
        <v>1.8394972252726074</v>
      </c>
      <c r="R76" s="262">
        <f>DSUM($B$61:$Z$64,R$61,$C$71:$D76)</f>
        <v>1.8670451531137064</v>
      </c>
      <c r="S76" s="262">
        <f>DSUM($B$61:$Z$64,S$61,$C$71:$D76)</f>
        <v>1.8788641528392342</v>
      </c>
      <c r="T76" s="262">
        <f>DSUM($B$61:$Z$64,T$61,$C$71:$D76)</f>
        <v>1.8830164109557932</v>
      </c>
      <c r="U76" s="262">
        <f>DSUM($B$61:$Z$64,U$61,$C$71:$D76)</f>
        <v>1.884181261869559</v>
      </c>
      <c r="V76" s="262">
        <f>DSUM($B$61:$Z$64,V$61,$C$71:$D76)</f>
        <v>1.8844351464779094</v>
      </c>
      <c r="W76" s="262">
        <f>DSUM($B$61:$Z$64,W$61,$C$71:$D76)</f>
        <v>1.8844768780080605</v>
      </c>
      <c r="X76" s="262">
        <f>DSUM($B$61:$Z$64,X$61,$C$71:$D76)</f>
        <v>1.8844818872124891</v>
      </c>
      <c r="Y76" s="91">
        <f>DSUM($B$61:$Z$64,Y$61,$C$71:$D76)</f>
        <v>9.5095956098897521</v>
      </c>
      <c r="Z76" s="262"/>
      <c r="AB76" s="24"/>
      <c r="AC76" s="24"/>
      <c r="AD76" s="24"/>
      <c r="AE76" s="24"/>
      <c r="AF76" s="24"/>
      <c r="AG76" s="24"/>
      <c r="AH76" s="24"/>
      <c r="AI76" s="24"/>
      <c r="AJ76" s="24"/>
    </row>
    <row r="77" spans="1:36">
      <c r="A77" s="24"/>
      <c r="B77" s="24" t="s">
        <v>982</v>
      </c>
      <c r="C77" s="261" t="s">
        <v>1114</v>
      </c>
      <c r="D77" s="261" t="s">
        <v>1115</v>
      </c>
      <c r="E77" s="262">
        <f>DSUM($B$61:$Z$64,E$61,$C$71:$D77)</f>
        <v>4.3612032747767038E-2</v>
      </c>
      <c r="F77" s="262">
        <f>DSUM($B$61:$Z$64,F$61,$C$71:$D77)</f>
        <v>0.10396189938857896</v>
      </c>
      <c r="G77" s="262">
        <f>DSUM($B$61:$Z$64,G$61,$C$71:$D77)</f>
        <v>0.18626205792671471</v>
      </c>
      <c r="H77" s="262">
        <f>DSUM($B$61:$Z$64,H$61,$C$71:$D77)</f>
        <v>0.29248635913290355</v>
      </c>
      <c r="I77" s="262">
        <f>DSUM($B$61:$Z$64,I$61,$C$71:$D77)</f>
        <v>0.42669111573278146</v>
      </c>
      <c r="J77" s="262">
        <f>DSUM($B$61:$Z$64,J$61,$C$71:$D77)</f>
        <v>0.59883190736238245</v>
      </c>
      <c r="K77" s="262">
        <f>DSUM($B$61:$Z$64,K$61,$C$71:$D77)</f>
        <v>0.80775044123316009</v>
      </c>
      <c r="L77" s="262">
        <f>DSUM($B$61:$Z$64,L$61,$C$71:$D77)</f>
        <v>1.0468377575483871</v>
      </c>
      <c r="M77" s="262">
        <f>DSUM($B$61:$Z$64,M$61,$C$71:$D77)</f>
        <v>1.3041848121824458</v>
      </c>
      <c r="N77" s="262">
        <f>DSUM($B$61:$Z$64,N$61,$C$71:$D77)</f>
        <v>1.5647757073089468</v>
      </c>
      <c r="O77" s="262">
        <f>DSUM($B$61:$Z$64,O$61,$C$71:$D77)</f>
        <v>1.6957856152253421</v>
      </c>
      <c r="P77" s="262">
        <f>DSUM($B$61:$Z$64,P$61,$C$71:$D77)</f>
        <v>1.785694852171017</v>
      </c>
      <c r="Q77" s="262">
        <f>DSUM($B$61:$Z$64,Q$61,$C$71:$D77)</f>
        <v>1.8394972252726074</v>
      </c>
      <c r="R77" s="262">
        <f>DSUM($B$61:$Z$64,R$61,$C$71:$D77)</f>
        <v>1.8670451531137064</v>
      </c>
      <c r="S77" s="262">
        <f>DSUM($B$61:$Z$64,S$61,$C$71:$D77)</f>
        <v>1.8788641528392342</v>
      </c>
      <c r="T77" s="262">
        <f>DSUM($B$61:$Z$64,T$61,$C$71:$D77)</f>
        <v>1.8830164109557932</v>
      </c>
      <c r="U77" s="262">
        <f>DSUM($B$61:$Z$64,U$61,$C$71:$D77)</f>
        <v>1.884181261869559</v>
      </c>
      <c r="V77" s="262">
        <f>DSUM($B$61:$Z$64,V$61,$C$71:$D77)</f>
        <v>1.8844351464779094</v>
      </c>
      <c r="W77" s="262">
        <f>DSUM($B$61:$Z$64,W$61,$C$71:$D77)</f>
        <v>1.8844768780080605</v>
      </c>
      <c r="X77" s="262">
        <f>DSUM($B$61:$Z$64,X$61,$C$71:$D77)</f>
        <v>1.8844818872124891</v>
      </c>
      <c r="Y77" s="91">
        <f>DSUM($B$61:$Z$64,Y$61,$C$71:$D77)</f>
        <v>9.5095956098897521</v>
      </c>
      <c r="Z77" s="262"/>
      <c r="AB77" s="24"/>
      <c r="AC77" s="24"/>
      <c r="AD77" s="24"/>
      <c r="AE77" s="24"/>
      <c r="AF77" s="24"/>
      <c r="AG77" s="24"/>
      <c r="AH77" s="24"/>
      <c r="AI77" s="24"/>
      <c r="AJ77" s="24"/>
    </row>
    <row r="78" spans="1:36">
      <c r="A78" s="24"/>
      <c r="B78" s="24" t="s">
        <v>983</v>
      </c>
      <c r="C78" s="261" t="s">
        <v>1116</v>
      </c>
      <c r="D78" s="261" t="s">
        <v>1117</v>
      </c>
      <c r="E78" s="262">
        <f>DSUM($B$61:$Z$64,E$61,$C$71:$D78)</f>
        <v>4.3612032747767038E-2</v>
      </c>
      <c r="F78" s="262">
        <f>DSUM($B$61:$Z$64,F$61,$C$71:$D78)</f>
        <v>0.10396189938857896</v>
      </c>
      <c r="G78" s="262">
        <f>DSUM($B$61:$Z$64,G$61,$C$71:$D78)</f>
        <v>0.18626205792671471</v>
      </c>
      <c r="H78" s="262">
        <f>DSUM($B$61:$Z$64,H$61,$C$71:$D78)</f>
        <v>0.29248635913290355</v>
      </c>
      <c r="I78" s="262">
        <f>DSUM($B$61:$Z$64,I$61,$C$71:$D78)</f>
        <v>0.42669111573278146</v>
      </c>
      <c r="J78" s="262">
        <f>DSUM($B$61:$Z$64,J$61,$C$71:$D78)</f>
        <v>0.59883190736238245</v>
      </c>
      <c r="K78" s="262">
        <f>DSUM($B$61:$Z$64,K$61,$C$71:$D78)</f>
        <v>0.80775044123316009</v>
      </c>
      <c r="L78" s="262">
        <f>DSUM($B$61:$Z$64,L$61,$C$71:$D78)</f>
        <v>1.0468377575483871</v>
      </c>
      <c r="M78" s="262">
        <f>DSUM($B$61:$Z$64,M$61,$C$71:$D78)</f>
        <v>1.3041848121824458</v>
      </c>
      <c r="N78" s="262">
        <f>DSUM($B$61:$Z$64,N$61,$C$71:$D78)</f>
        <v>1.5647757073089468</v>
      </c>
      <c r="O78" s="262">
        <f>DSUM($B$61:$Z$64,O$61,$C$71:$D78)</f>
        <v>1.6957856152253421</v>
      </c>
      <c r="P78" s="262">
        <f>DSUM($B$61:$Z$64,P$61,$C$71:$D78)</f>
        <v>1.785694852171017</v>
      </c>
      <c r="Q78" s="262">
        <f>DSUM($B$61:$Z$64,Q$61,$C$71:$D78)</f>
        <v>1.8394972252726074</v>
      </c>
      <c r="R78" s="262">
        <f>DSUM($B$61:$Z$64,R$61,$C$71:$D78)</f>
        <v>1.8670451531137064</v>
      </c>
      <c r="S78" s="262">
        <f>DSUM($B$61:$Z$64,S$61,$C$71:$D78)</f>
        <v>1.8788641528392342</v>
      </c>
      <c r="T78" s="262">
        <f>DSUM($B$61:$Z$64,T$61,$C$71:$D78)</f>
        <v>1.8830164109557932</v>
      </c>
      <c r="U78" s="262">
        <f>DSUM($B$61:$Z$64,U$61,$C$71:$D78)</f>
        <v>1.884181261869559</v>
      </c>
      <c r="V78" s="262">
        <f>DSUM($B$61:$Z$64,V$61,$C$71:$D78)</f>
        <v>1.8844351464779094</v>
      </c>
      <c r="W78" s="262">
        <f>DSUM($B$61:$Z$64,W$61,$C$71:$D78)</f>
        <v>1.8844768780080605</v>
      </c>
      <c r="X78" s="262">
        <f>DSUM($B$61:$Z$64,X$61,$C$71:$D78)</f>
        <v>1.8844818872124891</v>
      </c>
      <c r="Y78" s="91">
        <f>DSUM($B$61:$Z$64,Y$61,$C$71:$D78)</f>
        <v>9.5095956098897521</v>
      </c>
      <c r="Z78" s="262"/>
      <c r="AB78" s="24"/>
      <c r="AC78" s="24"/>
      <c r="AD78" s="24"/>
      <c r="AE78" s="24"/>
      <c r="AF78" s="24"/>
      <c r="AG78" s="24"/>
      <c r="AH78" s="24"/>
      <c r="AI78" s="24"/>
      <c r="AJ78" s="24"/>
    </row>
    <row r="79" spans="1:36">
      <c r="A79" s="24"/>
      <c r="B79" s="24" t="s">
        <v>984</v>
      </c>
      <c r="C79" s="261" t="s">
        <v>1118</v>
      </c>
      <c r="D79" s="261" t="s">
        <v>1119</v>
      </c>
      <c r="E79" s="262">
        <f>DSUM($B$61:$Z$64,E$61,$C$71:$D79)</f>
        <v>5.8441561120966559E-2</v>
      </c>
      <c r="F79" s="262">
        <f>DSUM($B$61:$Z$64,F$61,$C$71:$D79)</f>
        <v>0.13931237125562537</v>
      </c>
      <c r="G79" s="262">
        <f>DSUM($B$61:$Z$64,G$61,$C$71:$D79)</f>
        <v>0.24959729590679197</v>
      </c>
      <c r="H79" s="262">
        <f>DSUM($B$61:$Z$64,H$61,$C$71:$D79)</f>
        <v>0.39194136015569575</v>
      </c>
      <c r="I79" s="262">
        <f>DSUM($B$61:$Z$64,I$61,$C$71:$D79)</f>
        <v>0.57178015673088589</v>
      </c>
      <c r="J79" s="262">
        <f>DSUM($B$61:$Z$64,J$61,$C$71:$D79)</f>
        <v>0.80245449043178363</v>
      </c>
      <c r="K79" s="262">
        <f>DSUM($B$61:$Z$64,K$61,$C$71:$D79)</f>
        <v>1.0824122107500807</v>
      </c>
      <c r="L79" s="262">
        <f>DSUM($B$61:$Z$64,L$61,$C$71:$D79)</f>
        <v>1.4027970937592225</v>
      </c>
      <c r="M79" s="262">
        <f>DSUM($B$61:$Z$64,M$61,$C$71:$D79)</f>
        <v>1.7476506278671253</v>
      </c>
      <c r="N79" s="262">
        <f>DSUM($B$61:$Z$64,N$61,$C$71:$D79)</f>
        <v>2.0968510151359929</v>
      </c>
      <c r="O79" s="262">
        <f>DSUM($B$61:$Z$64,O$61,$C$71:$D79)</f>
        <v>2.2724086091887545</v>
      </c>
      <c r="P79" s="262">
        <f>DSUM($B$61:$Z$64,P$61,$C$71:$D79)</f>
        <v>2.3928899496639735</v>
      </c>
      <c r="Q79" s="262">
        <f>DSUM($B$61:$Z$64,Q$61,$C$71:$D79)</f>
        <v>2.4649869026827624</v>
      </c>
      <c r="R79" s="262">
        <f>DSUM($B$61:$Z$64,R$61,$C$71:$D79)</f>
        <v>2.5019020338345888</v>
      </c>
      <c r="S79" s="262">
        <f>DSUM($B$61:$Z$64,S$61,$C$71:$D79)</f>
        <v>2.5177398829631299</v>
      </c>
      <c r="T79" s="262">
        <f>DSUM($B$61:$Z$64,T$61,$C$71:$D79)</f>
        <v>2.5233040456774054</v>
      </c>
      <c r="U79" s="262">
        <f>DSUM($B$61:$Z$64,U$61,$C$71:$D79)</f>
        <v>2.524864984289632</v>
      </c>
      <c r="V79" s="262">
        <f>DSUM($B$61:$Z$64,V$61,$C$71:$D79)</f>
        <v>2.5252051980316144</v>
      </c>
      <c r="W79" s="262">
        <f>DSUM($B$61:$Z$64,W$61,$C$71:$D79)</f>
        <v>2.5252611196572836</v>
      </c>
      <c r="X79" s="262">
        <f>DSUM($B$61:$Z$64,X$61,$C$71:$D79)</f>
        <v>2.5252678321562967</v>
      </c>
      <c r="Y79" s="91">
        <f>DSUM($B$61:$Z$64,Y$61,$C$71:$D79)</f>
        <v>12.743171506939268</v>
      </c>
      <c r="Z79" s="262"/>
      <c r="AB79" s="24"/>
      <c r="AC79" s="24"/>
      <c r="AD79" s="24"/>
      <c r="AE79" s="24"/>
      <c r="AF79" s="24"/>
      <c r="AG79" s="24"/>
      <c r="AH79" s="24"/>
      <c r="AI79" s="24"/>
      <c r="AJ79" s="24"/>
    </row>
    <row r="80" spans="1:36">
      <c r="A80" s="24"/>
      <c r="B80" s="24" t="s">
        <v>985</v>
      </c>
      <c r="C80" s="261" t="s">
        <v>1120</v>
      </c>
      <c r="D80" s="261" t="s">
        <v>1121</v>
      </c>
      <c r="E80" s="262">
        <f>DSUM($B$61:$Z$64,E$61,$C$71:$D80)</f>
        <v>5.8441561120966559E-2</v>
      </c>
      <c r="F80" s="262">
        <f>DSUM($B$61:$Z$64,F$61,$C$71:$D80)</f>
        <v>0.13931237125562537</v>
      </c>
      <c r="G80" s="262">
        <f>DSUM($B$61:$Z$64,G$61,$C$71:$D80)</f>
        <v>0.24959729590679197</v>
      </c>
      <c r="H80" s="262">
        <f>DSUM($B$61:$Z$64,H$61,$C$71:$D80)</f>
        <v>0.39194136015569575</v>
      </c>
      <c r="I80" s="262">
        <f>DSUM($B$61:$Z$64,I$61,$C$71:$D80)</f>
        <v>0.57178015673088589</v>
      </c>
      <c r="J80" s="262">
        <f>DSUM($B$61:$Z$64,J$61,$C$71:$D80)</f>
        <v>0.80245449043178363</v>
      </c>
      <c r="K80" s="262">
        <f>DSUM($B$61:$Z$64,K$61,$C$71:$D80)</f>
        <v>1.0824122107500807</v>
      </c>
      <c r="L80" s="262">
        <f>DSUM($B$61:$Z$64,L$61,$C$71:$D80)</f>
        <v>1.4027970937592225</v>
      </c>
      <c r="M80" s="262">
        <f>DSUM($B$61:$Z$64,M$61,$C$71:$D80)</f>
        <v>1.7476506278671253</v>
      </c>
      <c r="N80" s="262">
        <f>DSUM($B$61:$Z$64,N$61,$C$71:$D80)</f>
        <v>2.0968510151359929</v>
      </c>
      <c r="O80" s="262">
        <f>DSUM($B$61:$Z$64,O$61,$C$71:$D80)</f>
        <v>2.2724086091887545</v>
      </c>
      <c r="P80" s="262">
        <f>DSUM($B$61:$Z$64,P$61,$C$71:$D80)</f>
        <v>2.3928899496639735</v>
      </c>
      <c r="Q80" s="262">
        <f>DSUM($B$61:$Z$64,Q$61,$C$71:$D80)</f>
        <v>2.4649869026827624</v>
      </c>
      <c r="R80" s="262">
        <f>DSUM($B$61:$Z$64,R$61,$C$71:$D80)</f>
        <v>2.5019020338345888</v>
      </c>
      <c r="S80" s="262">
        <f>DSUM($B$61:$Z$64,S$61,$C$71:$D80)</f>
        <v>2.5177398829631299</v>
      </c>
      <c r="T80" s="262">
        <f>DSUM($B$61:$Z$64,T$61,$C$71:$D80)</f>
        <v>2.5233040456774054</v>
      </c>
      <c r="U80" s="262">
        <f>DSUM($B$61:$Z$64,U$61,$C$71:$D80)</f>
        <v>2.524864984289632</v>
      </c>
      <c r="V80" s="262">
        <f>DSUM($B$61:$Z$64,V$61,$C$71:$D80)</f>
        <v>2.5252051980316144</v>
      </c>
      <c r="W80" s="262">
        <f>DSUM($B$61:$Z$64,W$61,$C$71:$D80)</f>
        <v>2.5252611196572836</v>
      </c>
      <c r="X80" s="262">
        <f>DSUM($B$61:$Z$64,X$61,$C$71:$D80)</f>
        <v>2.5252678321562967</v>
      </c>
      <c r="Y80" s="91">
        <f>DSUM($B$61:$Z$64,Y$61,$C$71:$D80)</f>
        <v>12.743171506939268</v>
      </c>
      <c r="Z80" s="262"/>
      <c r="AB80" s="24"/>
      <c r="AC80" s="24"/>
      <c r="AD80" s="24"/>
      <c r="AE80" s="24"/>
      <c r="AF80" s="24"/>
      <c r="AG80" s="24"/>
      <c r="AH80" s="24"/>
      <c r="AI80" s="24"/>
      <c r="AJ80" s="24"/>
    </row>
    <row r="81" spans="1:36">
      <c r="A81" s="24"/>
      <c r="B81" s="24" t="s">
        <v>986</v>
      </c>
      <c r="C81" s="261" t="s">
        <v>1122</v>
      </c>
      <c r="D81" s="261" t="s">
        <v>1123</v>
      </c>
      <c r="E81" s="262">
        <f>DSUM($B$61:$Z$64,E$61,$C$71:$D81)</f>
        <v>5.8441561120966559E-2</v>
      </c>
      <c r="F81" s="262">
        <f>DSUM($B$61:$Z$64,F$61,$C$71:$D81)</f>
        <v>0.13931237125562537</v>
      </c>
      <c r="G81" s="262">
        <f>DSUM($B$61:$Z$64,G$61,$C$71:$D81)</f>
        <v>0.24959729590679197</v>
      </c>
      <c r="H81" s="262">
        <f>DSUM($B$61:$Z$64,H$61,$C$71:$D81)</f>
        <v>0.39194136015569575</v>
      </c>
      <c r="I81" s="262">
        <f>DSUM($B$61:$Z$64,I$61,$C$71:$D81)</f>
        <v>0.57178015673088589</v>
      </c>
      <c r="J81" s="262">
        <f>DSUM($B$61:$Z$64,J$61,$C$71:$D81)</f>
        <v>0.80245449043178363</v>
      </c>
      <c r="K81" s="262">
        <f>DSUM($B$61:$Z$64,K$61,$C$71:$D81)</f>
        <v>1.0824122107500807</v>
      </c>
      <c r="L81" s="262">
        <f>DSUM($B$61:$Z$64,L$61,$C$71:$D81)</f>
        <v>1.4027970937592225</v>
      </c>
      <c r="M81" s="262">
        <f>DSUM($B$61:$Z$64,M$61,$C$71:$D81)</f>
        <v>1.7476506278671253</v>
      </c>
      <c r="N81" s="262">
        <f>DSUM($B$61:$Z$64,N$61,$C$71:$D81)</f>
        <v>2.0968510151359929</v>
      </c>
      <c r="O81" s="262">
        <f>DSUM($B$61:$Z$64,O$61,$C$71:$D81)</f>
        <v>2.2724086091887545</v>
      </c>
      <c r="P81" s="262">
        <f>DSUM($B$61:$Z$64,P$61,$C$71:$D81)</f>
        <v>2.3928899496639735</v>
      </c>
      <c r="Q81" s="262">
        <f>DSUM($B$61:$Z$64,Q$61,$C$71:$D81)</f>
        <v>2.4649869026827624</v>
      </c>
      <c r="R81" s="262">
        <f>DSUM($B$61:$Z$64,R$61,$C$71:$D81)</f>
        <v>2.5019020338345888</v>
      </c>
      <c r="S81" s="262">
        <f>DSUM($B$61:$Z$64,S$61,$C$71:$D81)</f>
        <v>2.5177398829631299</v>
      </c>
      <c r="T81" s="262">
        <f>DSUM($B$61:$Z$64,T$61,$C$71:$D81)</f>
        <v>2.5233040456774054</v>
      </c>
      <c r="U81" s="262">
        <f>DSUM($B$61:$Z$64,U$61,$C$71:$D81)</f>
        <v>2.524864984289632</v>
      </c>
      <c r="V81" s="262">
        <f>DSUM($B$61:$Z$64,V$61,$C$71:$D81)</f>
        <v>2.5252051980316144</v>
      </c>
      <c r="W81" s="262">
        <f>DSUM($B$61:$Z$64,W$61,$C$71:$D81)</f>
        <v>2.5252611196572836</v>
      </c>
      <c r="X81" s="262">
        <f>DSUM($B$61:$Z$64,X$61,$C$71:$D81)</f>
        <v>2.5252678321562967</v>
      </c>
      <c r="Y81" s="91">
        <f>DSUM($B$61:$Z$64,Y$61,$C$71:$D81)</f>
        <v>12.743171506939268</v>
      </c>
      <c r="Z81" s="262"/>
      <c r="AB81" s="24"/>
      <c r="AC81" s="24"/>
      <c r="AD81" s="24"/>
      <c r="AE81" s="24"/>
      <c r="AF81" s="24"/>
      <c r="AG81" s="24"/>
      <c r="AH81" s="24"/>
      <c r="AI81" s="24"/>
      <c r="AJ81" s="24"/>
    </row>
    <row r="82" spans="1:36">
      <c r="A82" s="24"/>
      <c r="B82" s="24" t="s">
        <v>987</v>
      </c>
      <c r="C82" s="261" t="s">
        <v>1124</v>
      </c>
      <c r="D82" s="261" t="s">
        <v>1125</v>
      </c>
      <c r="E82" s="262">
        <f>DSUM($B$61:$Z$64,E$61,$C$71:$D82)</f>
        <v>5.8441561120966559E-2</v>
      </c>
      <c r="F82" s="262">
        <f>DSUM($B$61:$Z$64,F$61,$C$71:$D82)</f>
        <v>0.13931237125562537</v>
      </c>
      <c r="G82" s="262">
        <f>DSUM($B$61:$Z$64,G$61,$C$71:$D82)</f>
        <v>0.24959729590679197</v>
      </c>
      <c r="H82" s="262">
        <f>DSUM($B$61:$Z$64,H$61,$C$71:$D82)</f>
        <v>0.39194136015569575</v>
      </c>
      <c r="I82" s="262">
        <f>DSUM($B$61:$Z$64,I$61,$C$71:$D82)</f>
        <v>0.57178015673088589</v>
      </c>
      <c r="J82" s="262">
        <f>DSUM($B$61:$Z$64,J$61,$C$71:$D82)</f>
        <v>0.80245449043178363</v>
      </c>
      <c r="K82" s="262">
        <f>DSUM($B$61:$Z$64,K$61,$C$71:$D82)</f>
        <v>1.0824122107500807</v>
      </c>
      <c r="L82" s="262">
        <f>DSUM($B$61:$Z$64,L$61,$C$71:$D82)</f>
        <v>1.4027970937592225</v>
      </c>
      <c r="M82" s="262">
        <f>DSUM($B$61:$Z$64,M$61,$C$71:$D82)</f>
        <v>1.7476506278671253</v>
      </c>
      <c r="N82" s="262">
        <f>DSUM($B$61:$Z$64,N$61,$C$71:$D82)</f>
        <v>2.0968510151359929</v>
      </c>
      <c r="O82" s="262">
        <f>DSUM($B$61:$Z$64,O$61,$C$71:$D82)</f>
        <v>2.2724086091887545</v>
      </c>
      <c r="P82" s="262">
        <f>DSUM($B$61:$Z$64,P$61,$C$71:$D82)</f>
        <v>2.3928899496639735</v>
      </c>
      <c r="Q82" s="262">
        <f>DSUM($B$61:$Z$64,Q$61,$C$71:$D82)</f>
        <v>2.4649869026827624</v>
      </c>
      <c r="R82" s="262">
        <f>DSUM($B$61:$Z$64,R$61,$C$71:$D82)</f>
        <v>2.5019020338345888</v>
      </c>
      <c r="S82" s="262">
        <f>DSUM($B$61:$Z$64,S$61,$C$71:$D82)</f>
        <v>2.5177398829631299</v>
      </c>
      <c r="T82" s="262">
        <f>DSUM($B$61:$Z$64,T$61,$C$71:$D82)</f>
        <v>2.5233040456774054</v>
      </c>
      <c r="U82" s="262">
        <f>DSUM($B$61:$Z$64,U$61,$C$71:$D82)</f>
        <v>2.524864984289632</v>
      </c>
      <c r="V82" s="262">
        <f>DSUM($B$61:$Z$64,V$61,$C$71:$D82)</f>
        <v>2.5252051980316144</v>
      </c>
      <c r="W82" s="262">
        <f>DSUM($B$61:$Z$64,W$61,$C$71:$D82)</f>
        <v>2.5252611196572836</v>
      </c>
      <c r="X82" s="262">
        <f>DSUM($B$61:$Z$64,X$61,$C$71:$D82)</f>
        <v>2.5252678321562967</v>
      </c>
      <c r="Y82" s="91">
        <f>DSUM($B$61:$Z$64,Y$61,$C$71:$D82)</f>
        <v>12.743171506939268</v>
      </c>
      <c r="Z82" s="262"/>
      <c r="AB82" s="24"/>
      <c r="AC82" s="24"/>
      <c r="AD82" s="24"/>
      <c r="AE82" s="24"/>
      <c r="AF82" s="24"/>
      <c r="AG82" s="24"/>
      <c r="AH82" s="24"/>
      <c r="AI82" s="24"/>
      <c r="AJ82" s="24"/>
    </row>
    <row r="83" spans="1:36">
      <c r="A83" s="24"/>
      <c r="B83" s="24" t="s">
        <v>988</v>
      </c>
      <c r="C83" s="261" t="s">
        <v>1126</v>
      </c>
      <c r="D83" s="261" t="s">
        <v>1127</v>
      </c>
      <c r="E83" s="262">
        <f>DSUM($B$61:$Z$64,E$61,$C$71:$D83)</f>
        <v>5.8441561120966559E-2</v>
      </c>
      <c r="F83" s="262">
        <f>DSUM($B$61:$Z$64,F$61,$C$71:$D83)</f>
        <v>0.13931237125562537</v>
      </c>
      <c r="G83" s="262">
        <f>DSUM($B$61:$Z$64,G$61,$C$71:$D83)</f>
        <v>0.24959729590679197</v>
      </c>
      <c r="H83" s="262">
        <f>DSUM($B$61:$Z$64,H$61,$C$71:$D83)</f>
        <v>0.39194136015569575</v>
      </c>
      <c r="I83" s="262">
        <f>DSUM($B$61:$Z$64,I$61,$C$71:$D83)</f>
        <v>0.57178015673088589</v>
      </c>
      <c r="J83" s="262">
        <f>DSUM($B$61:$Z$64,J$61,$C$71:$D83)</f>
        <v>0.80245449043178363</v>
      </c>
      <c r="K83" s="262">
        <f>DSUM($B$61:$Z$64,K$61,$C$71:$D83)</f>
        <v>1.0824122107500807</v>
      </c>
      <c r="L83" s="262">
        <f>DSUM($B$61:$Z$64,L$61,$C$71:$D83)</f>
        <v>1.4027970937592225</v>
      </c>
      <c r="M83" s="262">
        <f>DSUM($B$61:$Z$64,M$61,$C$71:$D83)</f>
        <v>1.7476506278671253</v>
      </c>
      <c r="N83" s="262">
        <f>DSUM($B$61:$Z$64,N$61,$C$71:$D83)</f>
        <v>2.0968510151359929</v>
      </c>
      <c r="O83" s="262">
        <f>DSUM($B$61:$Z$64,O$61,$C$71:$D83)</f>
        <v>2.2724086091887545</v>
      </c>
      <c r="P83" s="262">
        <f>DSUM($B$61:$Z$64,P$61,$C$71:$D83)</f>
        <v>2.3928899496639735</v>
      </c>
      <c r="Q83" s="262">
        <f>DSUM($B$61:$Z$64,Q$61,$C$71:$D83)</f>
        <v>2.4649869026827624</v>
      </c>
      <c r="R83" s="262">
        <f>DSUM($B$61:$Z$64,R$61,$C$71:$D83)</f>
        <v>2.5019020338345888</v>
      </c>
      <c r="S83" s="262">
        <f>DSUM($B$61:$Z$64,S$61,$C$71:$D83)</f>
        <v>2.5177398829631299</v>
      </c>
      <c r="T83" s="262">
        <f>DSUM($B$61:$Z$64,T$61,$C$71:$D83)</f>
        <v>2.5233040456774054</v>
      </c>
      <c r="U83" s="262">
        <f>DSUM($B$61:$Z$64,U$61,$C$71:$D83)</f>
        <v>2.524864984289632</v>
      </c>
      <c r="V83" s="262">
        <f>DSUM($B$61:$Z$64,V$61,$C$71:$D83)</f>
        <v>2.5252051980316144</v>
      </c>
      <c r="W83" s="262">
        <f>DSUM($B$61:$Z$64,W$61,$C$71:$D83)</f>
        <v>2.5252611196572836</v>
      </c>
      <c r="X83" s="262">
        <f>DSUM($B$61:$Z$64,X$61,$C$71:$D83)</f>
        <v>2.5252678321562967</v>
      </c>
      <c r="Y83" s="91">
        <f>DSUM($B$61:$Z$64,Y$61,$C$71:$D83)</f>
        <v>12.743171506939268</v>
      </c>
      <c r="Z83" s="262"/>
      <c r="AB83" s="24"/>
      <c r="AC83" s="24"/>
      <c r="AD83" s="24"/>
      <c r="AE83" s="24"/>
      <c r="AF83" s="24"/>
      <c r="AG83" s="24"/>
      <c r="AH83" s="24"/>
      <c r="AI83" s="24"/>
      <c r="AJ83" s="24"/>
    </row>
    <row r="84" spans="1:36">
      <c r="A84" s="24"/>
      <c r="B84" s="24" t="s">
        <v>989</v>
      </c>
      <c r="C84" s="261" t="s">
        <v>1128</v>
      </c>
      <c r="D84" s="261" t="s">
        <v>1129</v>
      </c>
      <c r="E84" s="262">
        <f>DSUM($B$61:$Z$64,E$61,$C$71:$D84)</f>
        <v>5.8441561120966559E-2</v>
      </c>
      <c r="F84" s="262">
        <f>DSUM($B$61:$Z$64,F$61,$C$71:$D84)</f>
        <v>0.13931237125562537</v>
      </c>
      <c r="G84" s="262">
        <f>DSUM($B$61:$Z$64,G$61,$C$71:$D84)</f>
        <v>0.24959729590679197</v>
      </c>
      <c r="H84" s="262">
        <f>DSUM($B$61:$Z$64,H$61,$C$71:$D84)</f>
        <v>0.39194136015569575</v>
      </c>
      <c r="I84" s="262">
        <f>DSUM($B$61:$Z$64,I$61,$C$71:$D84)</f>
        <v>0.57178015673088589</v>
      </c>
      <c r="J84" s="262">
        <f>DSUM($B$61:$Z$64,J$61,$C$71:$D84)</f>
        <v>0.80245449043178363</v>
      </c>
      <c r="K84" s="262">
        <f>DSUM($B$61:$Z$64,K$61,$C$71:$D84)</f>
        <v>1.0824122107500807</v>
      </c>
      <c r="L84" s="262">
        <f>DSUM($B$61:$Z$64,L$61,$C$71:$D84)</f>
        <v>1.4027970937592225</v>
      </c>
      <c r="M84" s="262">
        <f>DSUM($B$61:$Z$64,M$61,$C$71:$D84)</f>
        <v>1.7476506278671253</v>
      </c>
      <c r="N84" s="262">
        <f>DSUM($B$61:$Z$64,N$61,$C$71:$D84)</f>
        <v>2.0968510151359929</v>
      </c>
      <c r="O84" s="262">
        <f>DSUM($B$61:$Z$64,O$61,$C$71:$D84)</f>
        <v>2.2724086091887545</v>
      </c>
      <c r="P84" s="262">
        <f>DSUM($B$61:$Z$64,P$61,$C$71:$D84)</f>
        <v>2.3928899496639735</v>
      </c>
      <c r="Q84" s="262">
        <f>DSUM($B$61:$Z$64,Q$61,$C$71:$D84)</f>
        <v>2.4649869026827624</v>
      </c>
      <c r="R84" s="262">
        <f>DSUM($B$61:$Z$64,R$61,$C$71:$D84)</f>
        <v>2.5019020338345888</v>
      </c>
      <c r="S84" s="262">
        <f>DSUM($B$61:$Z$64,S$61,$C$71:$D84)</f>
        <v>2.5177398829631299</v>
      </c>
      <c r="T84" s="262">
        <f>DSUM($B$61:$Z$64,T$61,$C$71:$D84)</f>
        <v>2.5233040456774054</v>
      </c>
      <c r="U84" s="262">
        <f>DSUM($B$61:$Z$64,U$61,$C$71:$D84)</f>
        <v>2.524864984289632</v>
      </c>
      <c r="V84" s="262">
        <f>DSUM($B$61:$Z$64,V$61,$C$71:$D84)</f>
        <v>2.5252051980316144</v>
      </c>
      <c r="W84" s="262">
        <f>DSUM($B$61:$Z$64,W$61,$C$71:$D84)</f>
        <v>2.5252611196572836</v>
      </c>
      <c r="X84" s="262">
        <f>DSUM($B$61:$Z$64,X$61,$C$71:$D84)</f>
        <v>2.5252678321562967</v>
      </c>
      <c r="Y84" s="91">
        <f>DSUM($B$61:$Z$64,Y$61,$C$71:$D84)</f>
        <v>12.743171506939268</v>
      </c>
      <c r="Z84" s="262"/>
      <c r="AB84" s="24"/>
      <c r="AC84" s="24"/>
      <c r="AD84" s="24"/>
      <c r="AE84" s="24"/>
      <c r="AF84" s="24"/>
      <c r="AG84" s="24"/>
      <c r="AH84" s="24"/>
      <c r="AI84" s="24"/>
      <c r="AJ84" s="24"/>
    </row>
    <row r="85" spans="1:36">
      <c r="A85" s="24"/>
      <c r="B85" s="24" t="s">
        <v>990</v>
      </c>
      <c r="C85" s="261" t="s">
        <v>1130</v>
      </c>
      <c r="D85" s="261" t="s">
        <v>1131</v>
      </c>
      <c r="E85" s="262">
        <f>DSUM($B$61:$Z$64,E$61,$C$71:$D85)</f>
        <v>5.8441561120966559E-2</v>
      </c>
      <c r="F85" s="262">
        <f>DSUM($B$61:$Z$64,F$61,$C$71:$D85)</f>
        <v>0.13931237125562537</v>
      </c>
      <c r="G85" s="262">
        <f>DSUM($B$61:$Z$64,G$61,$C$71:$D85)</f>
        <v>0.24959729590679197</v>
      </c>
      <c r="H85" s="262">
        <f>DSUM($B$61:$Z$64,H$61,$C$71:$D85)</f>
        <v>0.39194136015569575</v>
      </c>
      <c r="I85" s="262">
        <f>DSUM($B$61:$Z$64,I$61,$C$71:$D85)</f>
        <v>0.57178015673088589</v>
      </c>
      <c r="J85" s="262">
        <f>DSUM($B$61:$Z$64,J$61,$C$71:$D85)</f>
        <v>0.80245449043178363</v>
      </c>
      <c r="K85" s="262">
        <f>DSUM($B$61:$Z$64,K$61,$C$71:$D85)</f>
        <v>1.0824122107500807</v>
      </c>
      <c r="L85" s="262">
        <f>DSUM($B$61:$Z$64,L$61,$C$71:$D85)</f>
        <v>1.4027970937592225</v>
      </c>
      <c r="M85" s="262">
        <f>DSUM($B$61:$Z$64,M$61,$C$71:$D85)</f>
        <v>1.7476506278671253</v>
      </c>
      <c r="N85" s="262">
        <f>DSUM($B$61:$Z$64,N$61,$C$71:$D85)</f>
        <v>2.0968510151359929</v>
      </c>
      <c r="O85" s="262">
        <f>DSUM($B$61:$Z$64,O$61,$C$71:$D85)</f>
        <v>2.2724086091887545</v>
      </c>
      <c r="P85" s="262">
        <f>DSUM($B$61:$Z$64,P$61,$C$71:$D85)</f>
        <v>2.3928899496639735</v>
      </c>
      <c r="Q85" s="262">
        <f>DSUM($B$61:$Z$64,Q$61,$C$71:$D85)</f>
        <v>2.4649869026827624</v>
      </c>
      <c r="R85" s="262">
        <f>DSUM($B$61:$Z$64,R$61,$C$71:$D85)</f>
        <v>2.5019020338345888</v>
      </c>
      <c r="S85" s="262">
        <f>DSUM($B$61:$Z$64,S$61,$C$71:$D85)</f>
        <v>2.5177398829631299</v>
      </c>
      <c r="T85" s="262">
        <f>DSUM($B$61:$Z$64,T$61,$C$71:$D85)</f>
        <v>2.5233040456774054</v>
      </c>
      <c r="U85" s="262">
        <f>DSUM($B$61:$Z$64,U$61,$C$71:$D85)</f>
        <v>2.524864984289632</v>
      </c>
      <c r="V85" s="262">
        <f>DSUM($B$61:$Z$64,V$61,$C$71:$D85)</f>
        <v>2.5252051980316144</v>
      </c>
      <c r="W85" s="262">
        <f>DSUM($B$61:$Z$64,W$61,$C$71:$D85)</f>
        <v>2.5252611196572836</v>
      </c>
      <c r="X85" s="262">
        <f>DSUM($B$61:$Z$64,X$61,$C$71:$D85)</f>
        <v>2.5252678321562967</v>
      </c>
      <c r="Y85" s="91">
        <f>DSUM($B$61:$Z$64,Y$61,$C$71:$D85)</f>
        <v>12.743171506939268</v>
      </c>
      <c r="Z85" s="262"/>
      <c r="AB85" s="24"/>
      <c r="AC85" s="24"/>
      <c r="AD85" s="24"/>
      <c r="AE85" s="24"/>
      <c r="AF85" s="24"/>
      <c r="AG85" s="24"/>
      <c r="AH85" s="24"/>
      <c r="AI85" s="24"/>
      <c r="AJ85" s="24"/>
    </row>
    <row r="86" spans="1:36">
      <c r="A86" s="24"/>
      <c r="B86" s="24" t="s">
        <v>991</v>
      </c>
      <c r="C86" s="261" t="s">
        <v>1132</v>
      </c>
      <c r="D86" s="261" t="s">
        <v>1133</v>
      </c>
      <c r="E86" s="262">
        <f>DSUM($B$61:$Z$64,E$61,$C$71:$D86)</f>
        <v>5.8441561120966559E-2</v>
      </c>
      <c r="F86" s="262">
        <f>DSUM($B$61:$Z$64,F$61,$C$71:$D86)</f>
        <v>0.13931237125562537</v>
      </c>
      <c r="G86" s="262">
        <f>DSUM($B$61:$Z$64,G$61,$C$71:$D86)</f>
        <v>0.24959729590679197</v>
      </c>
      <c r="H86" s="262">
        <f>DSUM($B$61:$Z$64,H$61,$C$71:$D86)</f>
        <v>0.39194136015569575</v>
      </c>
      <c r="I86" s="262">
        <f>DSUM($B$61:$Z$64,I$61,$C$71:$D86)</f>
        <v>0.57178015673088589</v>
      </c>
      <c r="J86" s="262">
        <f>DSUM($B$61:$Z$64,J$61,$C$71:$D86)</f>
        <v>0.80245449043178363</v>
      </c>
      <c r="K86" s="262">
        <f>DSUM($B$61:$Z$64,K$61,$C$71:$D86)</f>
        <v>1.0824122107500807</v>
      </c>
      <c r="L86" s="262">
        <f>DSUM($B$61:$Z$64,L$61,$C$71:$D86)</f>
        <v>1.4027970937592225</v>
      </c>
      <c r="M86" s="262">
        <f>DSUM($B$61:$Z$64,M$61,$C$71:$D86)</f>
        <v>1.7476506278671253</v>
      </c>
      <c r="N86" s="262">
        <f>DSUM($B$61:$Z$64,N$61,$C$71:$D86)</f>
        <v>2.0968510151359929</v>
      </c>
      <c r="O86" s="262">
        <f>DSUM($B$61:$Z$64,O$61,$C$71:$D86)</f>
        <v>2.2724086091887545</v>
      </c>
      <c r="P86" s="262">
        <f>DSUM($B$61:$Z$64,P$61,$C$71:$D86)</f>
        <v>2.3928899496639735</v>
      </c>
      <c r="Q86" s="262">
        <f>DSUM($B$61:$Z$64,Q$61,$C$71:$D86)</f>
        <v>2.4649869026827624</v>
      </c>
      <c r="R86" s="262">
        <f>DSUM($B$61:$Z$64,R$61,$C$71:$D86)</f>
        <v>2.5019020338345888</v>
      </c>
      <c r="S86" s="262">
        <f>DSUM($B$61:$Z$64,S$61,$C$71:$D86)</f>
        <v>2.5177398829631299</v>
      </c>
      <c r="T86" s="262">
        <f>DSUM($B$61:$Z$64,T$61,$C$71:$D86)</f>
        <v>2.5233040456774054</v>
      </c>
      <c r="U86" s="262">
        <f>DSUM($B$61:$Z$64,U$61,$C$71:$D86)</f>
        <v>2.524864984289632</v>
      </c>
      <c r="V86" s="262">
        <f>DSUM($B$61:$Z$64,V$61,$C$71:$D86)</f>
        <v>2.5252051980316144</v>
      </c>
      <c r="W86" s="262">
        <f>DSUM($B$61:$Z$64,W$61,$C$71:$D86)</f>
        <v>2.5252611196572836</v>
      </c>
      <c r="X86" s="262">
        <f>DSUM($B$61:$Z$64,X$61,$C$71:$D86)</f>
        <v>2.5252678321562967</v>
      </c>
      <c r="Y86" s="91">
        <f>DSUM($B$61:$Z$64,Y$61,$C$71:$D86)</f>
        <v>12.743171506939268</v>
      </c>
      <c r="Z86" s="262"/>
      <c r="AB86" s="24"/>
      <c r="AC86" s="24"/>
      <c r="AD86" s="24"/>
      <c r="AE86" s="24"/>
      <c r="AF86" s="24"/>
      <c r="AG86" s="24"/>
      <c r="AH86" s="24"/>
      <c r="AI86" s="24"/>
      <c r="AJ86" s="24"/>
    </row>
    <row r="87" spans="1:36">
      <c r="A87" s="24"/>
      <c r="B87" s="24" t="s">
        <v>992</v>
      </c>
      <c r="C87" s="261" t="s">
        <v>1134</v>
      </c>
      <c r="D87" s="261" t="s">
        <v>1135</v>
      </c>
      <c r="E87" s="262">
        <f>DSUM($B$61:$Z$64,E$61,$C$71:$D87)</f>
        <v>6.0446712051898374E-2</v>
      </c>
      <c r="F87" s="262">
        <f>DSUM($B$61:$Z$64,F$61,$C$71:$D87)</f>
        <v>0.14409222869877844</v>
      </c>
      <c r="G87" s="262">
        <f>DSUM($B$61:$Z$64,G$61,$C$71:$D87)</f>
        <v>0.25816106868503175</v>
      </c>
      <c r="H87" s="262">
        <f>DSUM($B$61:$Z$64,H$61,$C$71:$D87)</f>
        <v>0.40538900885146145</v>
      </c>
      <c r="I87" s="262">
        <f>DSUM($B$61:$Z$64,I$61,$C$71:$D87)</f>
        <v>0.59139813906342753</v>
      </c>
      <c r="J87" s="262">
        <f>DSUM($B$61:$Z$64,J$61,$C$71:$D87)</f>
        <v>0.82998699191970926</v>
      </c>
      <c r="K87" s="262">
        <f>DSUM($B$61:$Z$64,K$61,$C$71:$D87)</f>
        <v>1.1195501620711454</v>
      </c>
      <c r="L87" s="262">
        <f>DSUM($B$61:$Z$64,L$61,$C$71:$D87)</f>
        <v>1.4509275653706426</v>
      </c>
      <c r="M87" s="262">
        <f>DSUM($B$61:$Z$64,M$61,$C$71:$D87)</f>
        <v>1.8076131479674677</v>
      </c>
      <c r="N87" s="262">
        <f>DSUM($B$61:$Z$64,N$61,$C$71:$D87)</f>
        <v>2.1687947258168641</v>
      </c>
      <c r="O87" s="262">
        <f>DSUM($B$61:$Z$64,O$61,$C$71:$D87)</f>
        <v>2.3503757639117588</v>
      </c>
      <c r="P87" s="262">
        <f>DSUM($B$61:$Z$64,P$61,$C$71:$D87)</f>
        <v>2.4749908624074686</v>
      </c>
      <c r="Q87" s="262">
        <f>DSUM($B$61:$Z$64,Q$61,$C$71:$D87)</f>
        <v>2.5495614877527673</v>
      </c>
      <c r="R87" s="262">
        <f>DSUM($B$61:$Z$64,R$61,$C$71:$D87)</f>
        <v>2.5877431902995869</v>
      </c>
      <c r="S87" s="262">
        <f>DSUM($B$61:$Z$64,S$61,$C$71:$D87)</f>
        <v>2.604124441714359</v>
      </c>
      <c r="T87" s="262">
        <f>DSUM($B$61:$Z$64,T$61,$C$71:$D87)</f>
        <v>2.6098795128477867</v>
      </c>
      <c r="U87" s="262">
        <f>DSUM($B$61:$Z$64,U$61,$C$71:$D87)</f>
        <v>2.6114940078238646</v>
      </c>
      <c r="V87" s="262">
        <f>DSUM($B$61:$Z$64,V$61,$C$71:$D87)</f>
        <v>2.6118458944214034</v>
      </c>
      <c r="W87" s="262">
        <f>DSUM($B$61:$Z$64,W$61,$C$71:$D87)</f>
        <v>2.6119037347381138</v>
      </c>
      <c r="X87" s="262">
        <f>DSUM($B$61:$Z$64,X$61,$C$71:$D87)</f>
        <v>2.6119106775453766</v>
      </c>
      <c r="Y87" s="91">
        <f>DSUM($B$61:$Z$64,Y$61,$C$71:$D87)</f>
        <v>13.180394293600866</v>
      </c>
      <c r="Z87" s="262"/>
      <c r="AB87" s="24"/>
      <c r="AC87" s="24"/>
      <c r="AD87" s="24"/>
      <c r="AE87" s="24"/>
      <c r="AF87" s="24"/>
      <c r="AG87" s="24"/>
      <c r="AH87" s="24"/>
      <c r="AI87" s="24"/>
      <c r="AJ87" s="24"/>
    </row>
    <row r="88" spans="1:36">
      <c r="A88" s="24"/>
      <c r="B88" s="24" t="s">
        <v>993</v>
      </c>
      <c r="C88" s="261" t="s">
        <v>1136</v>
      </c>
      <c r="D88" s="261" t="s">
        <v>1137</v>
      </c>
      <c r="E88" s="262">
        <f>DSUM($B$61:$Z$64,E$61,$C$71:$D88)</f>
        <v>6.0446712051898374E-2</v>
      </c>
      <c r="F88" s="262">
        <f>DSUM($B$61:$Z$64,F$61,$C$71:$D88)</f>
        <v>0.14409222869877844</v>
      </c>
      <c r="G88" s="262">
        <f>DSUM($B$61:$Z$64,G$61,$C$71:$D88)</f>
        <v>0.25816106868503175</v>
      </c>
      <c r="H88" s="262">
        <f>DSUM($B$61:$Z$64,H$61,$C$71:$D88)</f>
        <v>0.40538900885146145</v>
      </c>
      <c r="I88" s="262">
        <f>DSUM($B$61:$Z$64,I$61,$C$71:$D88)</f>
        <v>0.59139813906342753</v>
      </c>
      <c r="J88" s="262">
        <f>DSUM($B$61:$Z$64,J$61,$C$71:$D88)</f>
        <v>0.82998699191970926</v>
      </c>
      <c r="K88" s="262">
        <f>DSUM($B$61:$Z$64,K$61,$C$71:$D88)</f>
        <v>1.1195501620711454</v>
      </c>
      <c r="L88" s="262">
        <f>DSUM($B$61:$Z$64,L$61,$C$71:$D88)</f>
        <v>1.4509275653706426</v>
      </c>
      <c r="M88" s="262">
        <f>DSUM($B$61:$Z$64,M$61,$C$71:$D88)</f>
        <v>1.8076131479674677</v>
      </c>
      <c r="N88" s="262">
        <f>DSUM($B$61:$Z$64,N$61,$C$71:$D88)</f>
        <v>2.1687947258168641</v>
      </c>
      <c r="O88" s="262">
        <f>DSUM($B$61:$Z$64,O$61,$C$71:$D88)</f>
        <v>2.3503757639117588</v>
      </c>
      <c r="P88" s="262">
        <f>DSUM($B$61:$Z$64,P$61,$C$71:$D88)</f>
        <v>2.4749908624074686</v>
      </c>
      <c r="Q88" s="262">
        <f>DSUM($B$61:$Z$64,Q$61,$C$71:$D88)</f>
        <v>2.5495614877527673</v>
      </c>
      <c r="R88" s="262">
        <f>DSUM($B$61:$Z$64,R$61,$C$71:$D88)</f>
        <v>2.5877431902995869</v>
      </c>
      <c r="S88" s="262">
        <f>DSUM($B$61:$Z$64,S$61,$C$71:$D88)</f>
        <v>2.604124441714359</v>
      </c>
      <c r="T88" s="262">
        <f>DSUM($B$61:$Z$64,T$61,$C$71:$D88)</f>
        <v>2.6098795128477867</v>
      </c>
      <c r="U88" s="262">
        <f>DSUM($B$61:$Z$64,U$61,$C$71:$D88)</f>
        <v>2.6114940078238646</v>
      </c>
      <c r="V88" s="262">
        <f>DSUM($B$61:$Z$64,V$61,$C$71:$D88)</f>
        <v>2.6118458944214034</v>
      </c>
      <c r="W88" s="262">
        <f>DSUM($B$61:$Z$64,W$61,$C$71:$D88)</f>
        <v>2.6119037347381138</v>
      </c>
      <c r="X88" s="262">
        <f>DSUM($B$61:$Z$64,X$61,$C$71:$D88)</f>
        <v>2.6119106775453766</v>
      </c>
      <c r="Y88" s="91">
        <f>DSUM($B$61:$Z$64,Y$61,$C$71:$D88)</f>
        <v>13.180394293600866</v>
      </c>
      <c r="Z88" s="262"/>
      <c r="AB88" s="24"/>
      <c r="AC88" s="24"/>
      <c r="AD88" s="24"/>
      <c r="AE88" s="24"/>
      <c r="AF88" s="24"/>
      <c r="AG88" s="24"/>
      <c r="AH88" s="24"/>
      <c r="AI88" s="24"/>
      <c r="AJ88" s="24"/>
    </row>
    <row r="89" spans="1:36">
      <c r="A89" s="24"/>
      <c r="B89" s="24" t="s">
        <v>994</v>
      </c>
      <c r="C89" s="261" t="s">
        <v>1138</v>
      </c>
      <c r="D89" s="261" t="s">
        <v>1139</v>
      </c>
      <c r="E89" s="262">
        <f>DSUM($B$61:$Z$64,E$61,$C$71:$D89)</f>
        <v>6.0446712051898374E-2</v>
      </c>
      <c r="F89" s="262">
        <f>DSUM($B$61:$Z$64,F$61,$C$71:$D89)</f>
        <v>0.14409222869877844</v>
      </c>
      <c r="G89" s="262">
        <f>DSUM($B$61:$Z$64,G$61,$C$71:$D89)</f>
        <v>0.25816106868503175</v>
      </c>
      <c r="H89" s="262">
        <f>DSUM($B$61:$Z$64,H$61,$C$71:$D89)</f>
        <v>0.40538900885146145</v>
      </c>
      <c r="I89" s="262">
        <f>DSUM($B$61:$Z$64,I$61,$C$71:$D89)</f>
        <v>0.59139813906342753</v>
      </c>
      <c r="J89" s="262">
        <f>DSUM($B$61:$Z$64,J$61,$C$71:$D89)</f>
        <v>0.82998699191970926</v>
      </c>
      <c r="K89" s="262">
        <f>DSUM($B$61:$Z$64,K$61,$C$71:$D89)</f>
        <v>1.1195501620711454</v>
      </c>
      <c r="L89" s="262">
        <f>DSUM($B$61:$Z$64,L$61,$C$71:$D89)</f>
        <v>1.4509275653706426</v>
      </c>
      <c r="M89" s="262">
        <f>DSUM($B$61:$Z$64,M$61,$C$71:$D89)</f>
        <v>1.8076131479674677</v>
      </c>
      <c r="N89" s="262">
        <f>DSUM($B$61:$Z$64,N$61,$C$71:$D89)</f>
        <v>2.1687947258168641</v>
      </c>
      <c r="O89" s="262">
        <f>DSUM($B$61:$Z$64,O$61,$C$71:$D89)</f>
        <v>2.3503757639117588</v>
      </c>
      <c r="P89" s="262">
        <f>DSUM($B$61:$Z$64,P$61,$C$71:$D89)</f>
        <v>2.4749908624074686</v>
      </c>
      <c r="Q89" s="262">
        <f>DSUM($B$61:$Z$64,Q$61,$C$71:$D89)</f>
        <v>2.5495614877527673</v>
      </c>
      <c r="R89" s="262">
        <f>DSUM($B$61:$Z$64,R$61,$C$71:$D89)</f>
        <v>2.5877431902995869</v>
      </c>
      <c r="S89" s="262">
        <f>DSUM($B$61:$Z$64,S$61,$C$71:$D89)</f>
        <v>2.604124441714359</v>
      </c>
      <c r="T89" s="262">
        <f>DSUM($B$61:$Z$64,T$61,$C$71:$D89)</f>
        <v>2.6098795128477867</v>
      </c>
      <c r="U89" s="262">
        <f>DSUM($B$61:$Z$64,U$61,$C$71:$D89)</f>
        <v>2.6114940078238646</v>
      </c>
      <c r="V89" s="262">
        <f>DSUM($B$61:$Z$64,V$61,$C$71:$D89)</f>
        <v>2.6118458944214034</v>
      </c>
      <c r="W89" s="262">
        <f>DSUM($B$61:$Z$64,W$61,$C$71:$D89)</f>
        <v>2.6119037347381138</v>
      </c>
      <c r="X89" s="262">
        <f>DSUM($B$61:$Z$64,X$61,$C$71:$D89)</f>
        <v>2.6119106775453766</v>
      </c>
      <c r="Y89" s="91">
        <f>DSUM($B$61:$Z$64,Y$61,$C$71:$D89)</f>
        <v>13.180394293600866</v>
      </c>
      <c r="Z89" s="262"/>
      <c r="AB89" s="24"/>
      <c r="AC89" s="24"/>
      <c r="AD89" s="24"/>
      <c r="AE89" s="24"/>
      <c r="AF89" s="24"/>
      <c r="AG89" s="24"/>
      <c r="AH89" s="24"/>
      <c r="AI89" s="24"/>
      <c r="AJ89" s="24"/>
    </row>
    <row r="90" spans="1:36">
      <c r="A90" s="24"/>
      <c r="B90" s="24" t="s">
        <v>995</v>
      </c>
      <c r="C90" s="261" t="s">
        <v>1140</v>
      </c>
      <c r="D90" s="261" t="s">
        <v>1141</v>
      </c>
      <c r="E90" s="262">
        <f>DSUM($B$61:$Z$64,E$61,$C$71:$D90)</f>
        <v>6.0446712051898374E-2</v>
      </c>
      <c r="F90" s="262">
        <f>DSUM($B$61:$Z$64,F$61,$C$71:$D90)</f>
        <v>0.14409222869877844</v>
      </c>
      <c r="G90" s="262">
        <f>DSUM($B$61:$Z$64,G$61,$C$71:$D90)</f>
        <v>0.25816106868503175</v>
      </c>
      <c r="H90" s="262">
        <f>DSUM($B$61:$Z$64,H$61,$C$71:$D90)</f>
        <v>0.40538900885146145</v>
      </c>
      <c r="I90" s="262">
        <f>DSUM($B$61:$Z$64,I$61,$C$71:$D90)</f>
        <v>0.59139813906342753</v>
      </c>
      <c r="J90" s="262">
        <f>DSUM($B$61:$Z$64,J$61,$C$71:$D90)</f>
        <v>0.82998699191970926</v>
      </c>
      <c r="K90" s="262">
        <f>DSUM($B$61:$Z$64,K$61,$C$71:$D90)</f>
        <v>1.1195501620711454</v>
      </c>
      <c r="L90" s="262">
        <f>DSUM($B$61:$Z$64,L$61,$C$71:$D90)</f>
        <v>1.4509275653706426</v>
      </c>
      <c r="M90" s="262">
        <f>DSUM($B$61:$Z$64,M$61,$C$71:$D90)</f>
        <v>1.8076131479674677</v>
      </c>
      <c r="N90" s="262">
        <f>DSUM($B$61:$Z$64,N$61,$C$71:$D90)</f>
        <v>2.1687947258168641</v>
      </c>
      <c r="O90" s="262">
        <f>DSUM($B$61:$Z$64,O$61,$C$71:$D90)</f>
        <v>2.3503757639117588</v>
      </c>
      <c r="P90" s="262">
        <f>DSUM($B$61:$Z$64,P$61,$C$71:$D90)</f>
        <v>2.4749908624074686</v>
      </c>
      <c r="Q90" s="262">
        <f>DSUM($B$61:$Z$64,Q$61,$C$71:$D90)</f>
        <v>2.5495614877527673</v>
      </c>
      <c r="R90" s="262">
        <f>DSUM($B$61:$Z$64,R$61,$C$71:$D90)</f>
        <v>2.5877431902995869</v>
      </c>
      <c r="S90" s="262">
        <f>DSUM($B$61:$Z$64,S$61,$C$71:$D90)</f>
        <v>2.604124441714359</v>
      </c>
      <c r="T90" s="262">
        <f>DSUM($B$61:$Z$64,T$61,$C$71:$D90)</f>
        <v>2.6098795128477867</v>
      </c>
      <c r="U90" s="262">
        <f>DSUM($B$61:$Z$64,U$61,$C$71:$D90)</f>
        <v>2.6114940078238646</v>
      </c>
      <c r="V90" s="262">
        <f>DSUM($B$61:$Z$64,V$61,$C$71:$D90)</f>
        <v>2.6118458944214034</v>
      </c>
      <c r="W90" s="262">
        <f>DSUM($B$61:$Z$64,W$61,$C$71:$D90)</f>
        <v>2.6119037347381138</v>
      </c>
      <c r="X90" s="262">
        <f>DSUM($B$61:$Z$64,X$61,$C$71:$D90)</f>
        <v>2.6119106775453766</v>
      </c>
      <c r="Y90" s="91">
        <f>DSUM($B$61:$Z$64,Y$61,$C$71:$D90)</f>
        <v>13.180394293600866</v>
      </c>
      <c r="Z90" s="262"/>
      <c r="AB90" s="24"/>
      <c r="AC90" s="24"/>
      <c r="AD90" s="24"/>
      <c r="AE90" s="24"/>
      <c r="AF90" s="24"/>
      <c r="AG90" s="24"/>
      <c r="AH90" s="24"/>
      <c r="AI90" s="24"/>
      <c r="AJ90" s="24"/>
    </row>
    <row r="91" spans="1:36">
      <c r="A91" s="24"/>
      <c r="B91" s="24" t="s">
        <v>996</v>
      </c>
      <c r="C91" s="261" t="s">
        <v>1142</v>
      </c>
      <c r="D91" s="261" t="s">
        <v>1143</v>
      </c>
      <c r="E91" s="262">
        <f>DSUM($B$61:$Z$64,E$61,$C$71:$D91)</f>
        <v>6.0446712051898374E-2</v>
      </c>
      <c r="F91" s="262">
        <f>DSUM($B$61:$Z$64,F$61,$C$71:$D91)</f>
        <v>0.14409222869877844</v>
      </c>
      <c r="G91" s="262">
        <f>DSUM($B$61:$Z$64,G$61,$C$71:$D91)</f>
        <v>0.25816106868503175</v>
      </c>
      <c r="H91" s="262">
        <f>DSUM($B$61:$Z$64,H$61,$C$71:$D91)</f>
        <v>0.40538900885146145</v>
      </c>
      <c r="I91" s="262">
        <f>DSUM($B$61:$Z$64,I$61,$C$71:$D91)</f>
        <v>0.59139813906342753</v>
      </c>
      <c r="J91" s="262">
        <f>DSUM($B$61:$Z$64,J$61,$C$71:$D91)</f>
        <v>0.82998699191970926</v>
      </c>
      <c r="K91" s="262">
        <f>DSUM($B$61:$Z$64,K$61,$C$71:$D91)</f>
        <v>1.1195501620711454</v>
      </c>
      <c r="L91" s="262">
        <f>DSUM($B$61:$Z$64,L$61,$C$71:$D91)</f>
        <v>1.4509275653706426</v>
      </c>
      <c r="M91" s="262">
        <f>DSUM($B$61:$Z$64,M$61,$C$71:$D91)</f>
        <v>1.8076131479674677</v>
      </c>
      <c r="N91" s="262">
        <f>DSUM($B$61:$Z$64,N$61,$C$71:$D91)</f>
        <v>2.1687947258168641</v>
      </c>
      <c r="O91" s="262">
        <f>DSUM($B$61:$Z$64,O$61,$C$71:$D91)</f>
        <v>2.3503757639117588</v>
      </c>
      <c r="P91" s="262">
        <f>DSUM($B$61:$Z$64,P$61,$C$71:$D91)</f>
        <v>2.4749908624074686</v>
      </c>
      <c r="Q91" s="262">
        <f>DSUM($B$61:$Z$64,Q$61,$C$71:$D91)</f>
        <v>2.5495614877527673</v>
      </c>
      <c r="R91" s="262">
        <f>DSUM($B$61:$Z$64,R$61,$C$71:$D91)</f>
        <v>2.5877431902995869</v>
      </c>
      <c r="S91" s="262">
        <f>DSUM($B$61:$Z$64,S$61,$C$71:$D91)</f>
        <v>2.604124441714359</v>
      </c>
      <c r="T91" s="262">
        <f>DSUM($B$61:$Z$64,T$61,$C$71:$D91)</f>
        <v>2.6098795128477867</v>
      </c>
      <c r="U91" s="262">
        <f>DSUM($B$61:$Z$64,U$61,$C$71:$D91)</f>
        <v>2.6114940078238646</v>
      </c>
      <c r="V91" s="262">
        <f>DSUM($B$61:$Z$64,V$61,$C$71:$D91)</f>
        <v>2.6118458944214034</v>
      </c>
      <c r="W91" s="262">
        <f>DSUM($B$61:$Z$64,W$61,$C$71:$D91)</f>
        <v>2.6119037347381138</v>
      </c>
      <c r="X91" s="262">
        <f>DSUM($B$61:$Z$64,X$61,$C$71:$D91)</f>
        <v>2.6119106775453766</v>
      </c>
      <c r="Y91" s="91">
        <f>DSUM($B$61:$Z$64,Y$61,$C$71:$D91)</f>
        <v>13.180394293600866</v>
      </c>
      <c r="Z91" s="262"/>
      <c r="AB91" s="24"/>
      <c r="AC91" s="24"/>
      <c r="AD91" s="24"/>
      <c r="AE91" s="24"/>
      <c r="AF91" s="24"/>
      <c r="AG91" s="24"/>
      <c r="AH91" s="24"/>
      <c r="AI91" s="24"/>
      <c r="AJ91" s="24"/>
    </row>
    <row r="92" spans="1:36">
      <c r="A92" s="24"/>
      <c r="B92" s="24" t="s">
        <v>997</v>
      </c>
      <c r="C92" s="261" t="s">
        <v>1144</v>
      </c>
      <c r="D92" s="261" t="s">
        <v>1145</v>
      </c>
      <c r="E92" s="262">
        <f>DSUM($B$61:$Z$64,E$61,$C$71:$D92)</f>
        <v>6.0446712051898374E-2</v>
      </c>
      <c r="F92" s="262">
        <f>DSUM($B$61:$Z$64,F$61,$C$71:$D92)</f>
        <v>0.14409222869877844</v>
      </c>
      <c r="G92" s="262">
        <f>DSUM($B$61:$Z$64,G$61,$C$71:$D92)</f>
        <v>0.25816106868503175</v>
      </c>
      <c r="H92" s="262">
        <f>DSUM($B$61:$Z$64,H$61,$C$71:$D92)</f>
        <v>0.40538900885146145</v>
      </c>
      <c r="I92" s="262">
        <f>DSUM($B$61:$Z$64,I$61,$C$71:$D92)</f>
        <v>0.59139813906342753</v>
      </c>
      <c r="J92" s="262">
        <f>DSUM($B$61:$Z$64,J$61,$C$71:$D92)</f>
        <v>0.82998699191970926</v>
      </c>
      <c r="K92" s="262">
        <f>DSUM($B$61:$Z$64,K$61,$C$71:$D92)</f>
        <v>1.1195501620711454</v>
      </c>
      <c r="L92" s="262">
        <f>DSUM($B$61:$Z$64,L$61,$C$71:$D92)</f>
        <v>1.4509275653706426</v>
      </c>
      <c r="M92" s="262">
        <f>DSUM($B$61:$Z$64,M$61,$C$71:$D92)</f>
        <v>1.8076131479674677</v>
      </c>
      <c r="N92" s="262">
        <f>DSUM($B$61:$Z$64,N$61,$C$71:$D92)</f>
        <v>2.1687947258168641</v>
      </c>
      <c r="O92" s="262">
        <f>DSUM($B$61:$Z$64,O$61,$C$71:$D92)</f>
        <v>2.3503757639117588</v>
      </c>
      <c r="P92" s="262">
        <f>DSUM($B$61:$Z$64,P$61,$C$71:$D92)</f>
        <v>2.4749908624074686</v>
      </c>
      <c r="Q92" s="262">
        <f>DSUM($B$61:$Z$64,Q$61,$C$71:$D92)</f>
        <v>2.5495614877527673</v>
      </c>
      <c r="R92" s="262">
        <f>DSUM($B$61:$Z$64,R$61,$C$71:$D92)</f>
        <v>2.5877431902995869</v>
      </c>
      <c r="S92" s="262">
        <f>DSUM($B$61:$Z$64,S$61,$C$71:$D92)</f>
        <v>2.604124441714359</v>
      </c>
      <c r="T92" s="262">
        <f>DSUM($B$61:$Z$64,T$61,$C$71:$D92)</f>
        <v>2.6098795128477867</v>
      </c>
      <c r="U92" s="262">
        <f>DSUM($B$61:$Z$64,U$61,$C$71:$D92)</f>
        <v>2.6114940078238646</v>
      </c>
      <c r="V92" s="262">
        <f>DSUM($B$61:$Z$64,V$61,$C$71:$D92)</f>
        <v>2.6118458944214034</v>
      </c>
      <c r="W92" s="262">
        <f>DSUM($B$61:$Z$64,W$61,$C$71:$D92)</f>
        <v>2.6119037347381138</v>
      </c>
      <c r="X92" s="262">
        <f>DSUM($B$61:$Z$64,X$61,$C$71:$D92)</f>
        <v>2.6119106775453766</v>
      </c>
      <c r="Y92" s="91">
        <f>DSUM($B$61:$Z$64,Y$61,$C$71:$D92)</f>
        <v>13.180394293600866</v>
      </c>
      <c r="Z92" s="262"/>
      <c r="AB92" s="24"/>
      <c r="AC92" s="24"/>
      <c r="AD92" s="24"/>
      <c r="AE92" s="24"/>
      <c r="AF92" s="24"/>
      <c r="AG92" s="24"/>
      <c r="AH92" s="24"/>
      <c r="AI92" s="24"/>
      <c r="AJ92" s="24"/>
    </row>
    <row r="93" spans="1:36">
      <c r="A93" s="24"/>
      <c r="B93" s="24" t="s">
        <v>1146</v>
      </c>
      <c r="C93" s="261" t="s">
        <v>1147</v>
      </c>
      <c r="D93" s="261" t="s">
        <v>1148</v>
      </c>
      <c r="E93" s="262">
        <f>DSUM($B$61:$Z$64,E$61,$C$71:$D93)</f>
        <v>6.0446712051898374E-2</v>
      </c>
      <c r="F93" s="262">
        <f>DSUM($B$61:$Z$64,F$61,$C$71:$D93)</f>
        <v>0.14409222869877844</v>
      </c>
      <c r="G93" s="262">
        <f>DSUM($B$61:$Z$64,G$61,$C$71:$D93)</f>
        <v>0.25816106868503175</v>
      </c>
      <c r="H93" s="262">
        <f>DSUM($B$61:$Z$64,H$61,$C$71:$D93)</f>
        <v>0.40538900885146145</v>
      </c>
      <c r="I93" s="262">
        <f>DSUM($B$61:$Z$64,I$61,$C$71:$D93)</f>
        <v>0.59139813906342753</v>
      </c>
      <c r="J93" s="262">
        <f>DSUM($B$61:$Z$64,J$61,$C$71:$D93)</f>
        <v>0.82998699191970926</v>
      </c>
      <c r="K93" s="262">
        <f>DSUM($B$61:$Z$64,K$61,$C$71:$D93)</f>
        <v>1.1195501620711454</v>
      </c>
      <c r="L93" s="262">
        <f>DSUM($B$61:$Z$64,L$61,$C$71:$D93)</f>
        <v>1.4509275653706426</v>
      </c>
      <c r="M93" s="262">
        <f>DSUM($B$61:$Z$64,M$61,$C$71:$D93)</f>
        <v>1.8076131479674677</v>
      </c>
      <c r="N93" s="262">
        <f>DSUM($B$61:$Z$64,N$61,$C$71:$D93)</f>
        <v>2.1687947258168641</v>
      </c>
      <c r="O93" s="262">
        <f>DSUM($B$61:$Z$64,O$61,$C$71:$D93)</f>
        <v>2.3503757639117588</v>
      </c>
      <c r="P93" s="262">
        <f>DSUM($B$61:$Z$64,P$61,$C$71:$D93)</f>
        <v>2.4749908624074686</v>
      </c>
      <c r="Q93" s="262">
        <f>DSUM($B$61:$Z$64,Q$61,$C$71:$D93)</f>
        <v>2.5495614877527673</v>
      </c>
      <c r="R93" s="262">
        <f>DSUM($B$61:$Z$64,R$61,$C$71:$D93)</f>
        <v>2.5877431902995869</v>
      </c>
      <c r="S93" s="262">
        <f>DSUM($B$61:$Z$64,S$61,$C$71:$D93)</f>
        <v>2.604124441714359</v>
      </c>
      <c r="T93" s="262">
        <f>DSUM($B$61:$Z$64,T$61,$C$71:$D93)</f>
        <v>2.6098795128477867</v>
      </c>
      <c r="U93" s="262">
        <f>DSUM($B$61:$Z$64,U$61,$C$71:$D93)</f>
        <v>2.6114940078238646</v>
      </c>
      <c r="V93" s="262">
        <f>DSUM($B$61:$Z$64,V$61,$C$71:$D93)</f>
        <v>2.6118458944214034</v>
      </c>
      <c r="W93" s="262">
        <f>DSUM($B$61:$Z$64,W$61,$C$71:$D93)</f>
        <v>2.6119037347381138</v>
      </c>
      <c r="X93" s="262">
        <f>DSUM($B$61:$Z$64,X$61,$C$71:$D93)</f>
        <v>2.6119106775453766</v>
      </c>
      <c r="Y93" s="91">
        <f>DSUM($B$61:$Z$64,Y$61,$C$71:$D93)</f>
        <v>13.180394293600866</v>
      </c>
      <c r="Z93" s="262"/>
      <c r="AB93" s="24"/>
      <c r="AC93" s="24"/>
      <c r="AD93" s="24"/>
      <c r="AE93" s="24"/>
      <c r="AF93" s="24"/>
      <c r="AG93" s="24"/>
      <c r="AH93" s="24"/>
      <c r="AI93" s="24"/>
      <c r="AJ93" s="24"/>
    </row>
    <row r="94" spans="1:36">
      <c r="A94" s="24"/>
      <c r="B94" s="24" t="s">
        <v>1149</v>
      </c>
      <c r="C94" s="261" t="s">
        <v>1150</v>
      </c>
      <c r="D94" s="261" t="s">
        <v>1151</v>
      </c>
      <c r="E94" s="262">
        <f>DSUM($B$61:$Z$64,E$61,$C$71:$D94)</f>
        <v>6.0446712051898374E-2</v>
      </c>
      <c r="F94" s="262">
        <f>DSUM($B$61:$Z$64,F$61,$C$71:$D94)</f>
        <v>0.14409222869877844</v>
      </c>
      <c r="G94" s="262">
        <f>DSUM($B$61:$Z$64,G$61,$C$71:$D94)</f>
        <v>0.25816106868503175</v>
      </c>
      <c r="H94" s="262">
        <f>DSUM($B$61:$Z$64,H$61,$C$71:$D94)</f>
        <v>0.40538900885146145</v>
      </c>
      <c r="I94" s="262">
        <f>DSUM($B$61:$Z$64,I$61,$C$71:$D94)</f>
        <v>0.59139813906342753</v>
      </c>
      <c r="J94" s="262">
        <f>DSUM($B$61:$Z$64,J$61,$C$71:$D94)</f>
        <v>0.82998699191970926</v>
      </c>
      <c r="K94" s="262">
        <f>DSUM($B$61:$Z$64,K$61,$C$71:$D94)</f>
        <v>1.1195501620711454</v>
      </c>
      <c r="L94" s="262">
        <f>DSUM($B$61:$Z$64,L$61,$C$71:$D94)</f>
        <v>1.4509275653706426</v>
      </c>
      <c r="M94" s="262">
        <f>DSUM($B$61:$Z$64,M$61,$C$71:$D94)</f>
        <v>1.8076131479674677</v>
      </c>
      <c r="N94" s="262">
        <f>DSUM($B$61:$Z$64,N$61,$C$71:$D94)</f>
        <v>2.1687947258168641</v>
      </c>
      <c r="O94" s="262">
        <f>DSUM($B$61:$Z$64,O$61,$C$71:$D94)</f>
        <v>2.3503757639117588</v>
      </c>
      <c r="P94" s="262">
        <f>DSUM($B$61:$Z$64,P$61,$C$71:$D94)</f>
        <v>2.4749908624074686</v>
      </c>
      <c r="Q94" s="262">
        <f>DSUM($B$61:$Z$64,Q$61,$C$71:$D94)</f>
        <v>2.5495614877527673</v>
      </c>
      <c r="R94" s="262">
        <f>DSUM($B$61:$Z$64,R$61,$C$71:$D94)</f>
        <v>2.5877431902995869</v>
      </c>
      <c r="S94" s="262">
        <f>DSUM($B$61:$Z$64,S$61,$C$71:$D94)</f>
        <v>2.604124441714359</v>
      </c>
      <c r="T94" s="262">
        <f>DSUM($B$61:$Z$64,T$61,$C$71:$D94)</f>
        <v>2.6098795128477867</v>
      </c>
      <c r="U94" s="262">
        <f>DSUM($B$61:$Z$64,U$61,$C$71:$D94)</f>
        <v>2.6114940078238646</v>
      </c>
      <c r="V94" s="262">
        <f>DSUM($B$61:$Z$64,V$61,$C$71:$D94)</f>
        <v>2.6118458944214034</v>
      </c>
      <c r="W94" s="262">
        <f>DSUM($B$61:$Z$64,W$61,$C$71:$D94)</f>
        <v>2.6119037347381138</v>
      </c>
      <c r="X94" s="262">
        <f>DSUM($B$61:$Z$64,X$61,$C$71:$D94)</f>
        <v>2.6119106775453766</v>
      </c>
      <c r="Y94" s="91">
        <f>DSUM($B$61:$Z$64,Y$61,$C$71:$D94)</f>
        <v>13.180394293600866</v>
      </c>
      <c r="Z94" s="262"/>
      <c r="AB94" s="24"/>
      <c r="AC94" s="24"/>
      <c r="AD94" s="24"/>
      <c r="AE94" s="24"/>
      <c r="AF94" s="24"/>
      <c r="AG94" s="24"/>
      <c r="AH94" s="24"/>
      <c r="AI94" s="24"/>
      <c r="AJ94" s="24"/>
    </row>
    <row r="95" spans="1:36">
      <c r="A95" s="24"/>
      <c r="B95" s="24" t="s">
        <v>1152</v>
      </c>
      <c r="C95" s="261" t="s">
        <v>1153</v>
      </c>
      <c r="D95" s="261" t="s">
        <v>1154</v>
      </c>
      <c r="E95" s="262">
        <f>DSUM($B$61:$Z$64,E$61,$C$71:$D95)</f>
        <v>6.0446712051898374E-2</v>
      </c>
      <c r="F95" s="262">
        <f>DSUM($B$61:$Z$64,F$61,$C$71:$D95)</f>
        <v>0.14409222869877844</v>
      </c>
      <c r="G95" s="262">
        <f>DSUM($B$61:$Z$64,G$61,$C$71:$D95)</f>
        <v>0.25816106868503175</v>
      </c>
      <c r="H95" s="262">
        <f>DSUM($B$61:$Z$64,H$61,$C$71:$D95)</f>
        <v>0.40538900885146145</v>
      </c>
      <c r="I95" s="262">
        <f>DSUM($B$61:$Z$64,I$61,$C$71:$D95)</f>
        <v>0.59139813906342753</v>
      </c>
      <c r="J95" s="262">
        <f>DSUM($B$61:$Z$64,J$61,$C$71:$D95)</f>
        <v>0.82998699191970926</v>
      </c>
      <c r="K95" s="262">
        <f>DSUM($B$61:$Z$64,K$61,$C$71:$D95)</f>
        <v>1.1195501620711454</v>
      </c>
      <c r="L95" s="262">
        <f>DSUM($B$61:$Z$64,L$61,$C$71:$D95)</f>
        <v>1.4509275653706426</v>
      </c>
      <c r="M95" s="262">
        <f>DSUM($B$61:$Z$64,M$61,$C$71:$D95)</f>
        <v>1.8076131479674677</v>
      </c>
      <c r="N95" s="262">
        <f>DSUM($B$61:$Z$64,N$61,$C$71:$D95)</f>
        <v>2.1687947258168641</v>
      </c>
      <c r="O95" s="262">
        <f>DSUM($B$61:$Z$64,O$61,$C$71:$D95)</f>
        <v>2.3503757639117588</v>
      </c>
      <c r="P95" s="262">
        <f>DSUM($B$61:$Z$64,P$61,$C$71:$D95)</f>
        <v>2.4749908624074686</v>
      </c>
      <c r="Q95" s="262">
        <f>DSUM($B$61:$Z$64,Q$61,$C$71:$D95)</f>
        <v>2.5495614877527673</v>
      </c>
      <c r="R95" s="262">
        <f>DSUM($B$61:$Z$64,R$61,$C$71:$D95)</f>
        <v>2.5877431902995869</v>
      </c>
      <c r="S95" s="262">
        <f>DSUM($B$61:$Z$64,S$61,$C$71:$D95)</f>
        <v>2.604124441714359</v>
      </c>
      <c r="T95" s="262">
        <f>DSUM($B$61:$Z$64,T$61,$C$71:$D95)</f>
        <v>2.6098795128477867</v>
      </c>
      <c r="U95" s="262">
        <f>DSUM($B$61:$Z$64,U$61,$C$71:$D95)</f>
        <v>2.6114940078238646</v>
      </c>
      <c r="V95" s="262">
        <f>DSUM($B$61:$Z$64,V$61,$C$71:$D95)</f>
        <v>2.6118458944214034</v>
      </c>
      <c r="W95" s="262">
        <f>DSUM($B$61:$Z$64,W$61,$C$71:$D95)</f>
        <v>2.6119037347381138</v>
      </c>
      <c r="X95" s="262">
        <f>DSUM($B$61:$Z$64,X$61,$C$71:$D95)</f>
        <v>2.6119106775453766</v>
      </c>
      <c r="Y95" s="91">
        <f>DSUM($B$61:$Z$64,Y$61,$C$71:$D95)</f>
        <v>13.180394293600866</v>
      </c>
      <c r="Z95" s="262"/>
      <c r="AB95" s="24"/>
      <c r="AC95" s="24"/>
      <c r="AD95" s="24"/>
      <c r="AE95" s="24"/>
      <c r="AF95" s="24"/>
      <c r="AG95" s="24"/>
      <c r="AH95" s="24"/>
      <c r="AI95" s="24"/>
      <c r="AJ95" s="24"/>
    </row>
    <row r="96" spans="1:36">
      <c r="A96" s="24"/>
      <c r="B96" s="24" t="s">
        <v>1155</v>
      </c>
      <c r="C96" s="261" t="s">
        <v>1156</v>
      </c>
      <c r="D96" s="261" t="s">
        <v>1157</v>
      </c>
      <c r="E96" s="262">
        <f>DSUM($B$61:$Z$64,E$61,$C$71:$D96)</f>
        <v>6.0446712051898374E-2</v>
      </c>
      <c r="F96" s="262">
        <f>DSUM($B$61:$Z$64,F$61,$C$71:$D96)</f>
        <v>0.14409222869877844</v>
      </c>
      <c r="G96" s="262">
        <f>DSUM($B$61:$Z$64,G$61,$C$71:$D96)</f>
        <v>0.25816106868503175</v>
      </c>
      <c r="H96" s="262">
        <f>DSUM($B$61:$Z$64,H$61,$C$71:$D96)</f>
        <v>0.40538900885146145</v>
      </c>
      <c r="I96" s="262">
        <f>DSUM($B$61:$Z$64,I$61,$C$71:$D96)</f>
        <v>0.59139813906342753</v>
      </c>
      <c r="J96" s="262">
        <f>DSUM($B$61:$Z$64,J$61,$C$71:$D96)</f>
        <v>0.82998699191970926</v>
      </c>
      <c r="K96" s="262">
        <f>DSUM($B$61:$Z$64,K$61,$C$71:$D96)</f>
        <v>1.1195501620711454</v>
      </c>
      <c r="L96" s="262">
        <f>DSUM($B$61:$Z$64,L$61,$C$71:$D96)</f>
        <v>1.4509275653706426</v>
      </c>
      <c r="M96" s="262">
        <f>DSUM($B$61:$Z$64,M$61,$C$71:$D96)</f>
        <v>1.8076131479674677</v>
      </c>
      <c r="N96" s="262">
        <f>DSUM($B$61:$Z$64,N$61,$C$71:$D96)</f>
        <v>2.1687947258168641</v>
      </c>
      <c r="O96" s="262">
        <f>DSUM($B$61:$Z$64,O$61,$C$71:$D96)</f>
        <v>2.3503757639117588</v>
      </c>
      <c r="P96" s="262">
        <f>DSUM($B$61:$Z$64,P$61,$C$71:$D96)</f>
        <v>2.4749908624074686</v>
      </c>
      <c r="Q96" s="262">
        <f>DSUM($B$61:$Z$64,Q$61,$C$71:$D96)</f>
        <v>2.5495614877527673</v>
      </c>
      <c r="R96" s="262">
        <f>DSUM($B$61:$Z$64,R$61,$C$71:$D96)</f>
        <v>2.5877431902995869</v>
      </c>
      <c r="S96" s="262">
        <f>DSUM($B$61:$Z$64,S$61,$C$71:$D96)</f>
        <v>2.604124441714359</v>
      </c>
      <c r="T96" s="262">
        <f>DSUM($B$61:$Z$64,T$61,$C$71:$D96)</f>
        <v>2.6098795128477867</v>
      </c>
      <c r="U96" s="262">
        <f>DSUM($B$61:$Z$64,U$61,$C$71:$D96)</f>
        <v>2.6114940078238646</v>
      </c>
      <c r="V96" s="262">
        <f>DSUM($B$61:$Z$64,V$61,$C$71:$D96)</f>
        <v>2.6118458944214034</v>
      </c>
      <c r="W96" s="262">
        <f>DSUM($B$61:$Z$64,W$61,$C$71:$D96)</f>
        <v>2.6119037347381138</v>
      </c>
      <c r="X96" s="262">
        <f>DSUM($B$61:$Z$64,X$61,$C$71:$D96)</f>
        <v>2.6119106775453766</v>
      </c>
      <c r="Y96" s="91">
        <f>DSUM($B$61:$Z$64,Y$61,$C$71:$D96)</f>
        <v>13.180394293600866</v>
      </c>
      <c r="Z96" s="262"/>
      <c r="AB96" s="24"/>
      <c r="AC96" s="24"/>
      <c r="AD96" s="24"/>
      <c r="AE96" s="24"/>
      <c r="AF96" s="24"/>
      <c r="AG96" s="24"/>
      <c r="AH96" s="24"/>
      <c r="AI96" s="24"/>
      <c r="AJ96" s="24"/>
    </row>
    <row r="97" spans="1:36">
      <c r="A97" s="24"/>
      <c r="B97" s="24" t="s">
        <v>1158</v>
      </c>
      <c r="C97" s="261" t="s">
        <v>1159</v>
      </c>
      <c r="D97" s="261" t="s">
        <v>1160</v>
      </c>
      <c r="E97" s="262">
        <f>DSUM($B$61:$Z$64,E$61,$C$71:$D97)</f>
        <v>6.0446712051898374E-2</v>
      </c>
      <c r="F97" s="262">
        <f>DSUM($B$61:$Z$64,F$61,$C$71:$D97)</f>
        <v>0.14409222869877844</v>
      </c>
      <c r="G97" s="262">
        <f>DSUM($B$61:$Z$64,G$61,$C$71:$D97)</f>
        <v>0.25816106868503175</v>
      </c>
      <c r="H97" s="262">
        <f>DSUM($B$61:$Z$64,H$61,$C$71:$D97)</f>
        <v>0.40538900885146145</v>
      </c>
      <c r="I97" s="262">
        <f>DSUM($B$61:$Z$64,I$61,$C$71:$D97)</f>
        <v>0.59139813906342753</v>
      </c>
      <c r="J97" s="262">
        <f>DSUM($B$61:$Z$64,J$61,$C$71:$D97)</f>
        <v>0.82998699191970926</v>
      </c>
      <c r="K97" s="262">
        <f>DSUM($B$61:$Z$64,K$61,$C$71:$D97)</f>
        <v>1.1195501620711454</v>
      </c>
      <c r="L97" s="262">
        <f>DSUM($B$61:$Z$64,L$61,$C$71:$D97)</f>
        <v>1.4509275653706426</v>
      </c>
      <c r="M97" s="262">
        <f>DSUM($B$61:$Z$64,M$61,$C$71:$D97)</f>
        <v>1.8076131479674677</v>
      </c>
      <c r="N97" s="262">
        <f>DSUM($B$61:$Z$64,N$61,$C$71:$D97)</f>
        <v>2.1687947258168641</v>
      </c>
      <c r="O97" s="262">
        <f>DSUM($B$61:$Z$64,O$61,$C$71:$D97)</f>
        <v>2.3503757639117588</v>
      </c>
      <c r="P97" s="262">
        <f>DSUM($B$61:$Z$64,P$61,$C$71:$D97)</f>
        <v>2.4749908624074686</v>
      </c>
      <c r="Q97" s="262">
        <f>DSUM($B$61:$Z$64,Q$61,$C$71:$D97)</f>
        <v>2.5495614877527673</v>
      </c>
      <c r="R97" s="262">
        <f>DSUM($B$61:$Z$64,R$61,$C$71:$D97)</f>
        <v>2.5877431902995869</v>
      </c>
      <c r="S97" s="262">
        <f>DSUM($B$61:$Z$64,S$61,$C$71:$D97)</f>
        <v>2.604124441714359</v>
      </c>
      <c r="T97" s="262">
        <f>DSUM($B$61:$Z$64,T$61,$C$71:$D97)</f>
        <v>2.6098795128477867</v>
      </c>
      <c r="U97" s="262">
        <f>DSUM($B$61:$Z$64,U$61,$C$71:$D97)</f>
        <v>2.6114940078238646</v>
      </c>
      <c r="V97" s="262">
        <f>DSUM($B$61:$Z$64,V$61,$C$71:$D97)</f>
        <v>2.6118458944214034</v>
      </c>
      <c r="W97" s="262">
        <f>DSUM($B$61:$Z$64,W$61,$C$71:$D97)</f>
        <v>2.6119037347381138</v>
      </c>
      <c r="X97" s="262">
        <f>DSUM($B$61:$Z$64,X$61,$C$71:$D97)</f>
        <v>2.6119106775453766</v>
      </c>
      <c r="Y97" s="91">
        <f>DSUM($B$61:$Z$64,Y$61,$C$71:$D97)</f>
        <v>13.180394293600866</v>
      </c>
      <c r="Z97" s="262"/>
      <c r="AB97" s="24"/>
      <c r="AC97" s="24"/>
      <c r="AD97" s="24"/>
      <c r="AE97" s="24"/>
      <c r="AF97" s="24"/>
      <c r="AG97" s="24"/>
      <c r="AH97" s="24"/>
      <c r="AI97" s="24"/>
      <c r="AJ97" s="24"/>
    </row>
    <row r="98" spans="1:36">
      <c r="A98" s="24"/>
      <c r="B98" s="24" t="s">
        <v>1161</v>
      </c>
      <c r="C98" s="261" t="s">
        <v>1162</v>
      </c>
      <c r="D98" s="261" t="s">
        <v>1163</v>
      </c>
      <c r="E98" s="262">
        <f>DSUM($B$61:$Z$64,E$61,$C$71:$D98)</f>
        <v>6.0446712051898374E-2</v>
      </c>
      <c r="F98" s="262">
        <f>DSUM($B$61:$Z$64,F$61,$C$71:$D98)</f>
        <v>0.14409222869877844</v>
      </c>
      <c r="G98" s="262">
        <f>DSUM($B$61:$Z$64,G$61,$C$71:$D98)</f>
        <v>0.25816106868503175</v>
      </c>
      <c r="H98" s="262">
        <f>DSUM($B$61:$Z$64,H$61,$C$71:$D98)</f>
        <v>0.40538900885146145</v>
      </c>
      <c r="I98" s="262">
        <f>DSUM($B$61:$Z$64,I$61,$C$71:$D98)</f>
        <v>0.59139813906342753</v>
      </c>
      <c r="J98" s="262">
        <f>DSUM($B$61:$Z$64,J$61,$C$71:$D98)</f>
        <v>0.82998699191970926</v>
      </c>
      <c r="K98" s="262">
        <f>DSUM($B$61:$Z$64,K$61,$C$71:$D98)</f>
        <v>1.1195501620711454</v>
      </c>
      <c r="L98" s="262">
        <f>DSUM($B$61:$Z$64,L$61,$C$71:$D98)</f>
        <v>1.4509275653706426</v>
      </c>
      <c r="M98" s="262">
        <f>DSUM($B$61:$Z$64,M$61,$C$71:$D98)</f>
        <v>1.8076131479674677</v>
      </c>
      <c r="N98" s="262">
        <f>DSUM($B$61:$Z$64,N$61,$C$71:$D98)</f>
        <v>2.1687947258168641</v>
      </c>
      <c r="O98" s="262">
        <f>DSUM($B$61:$Z$64,O$61,$C$71:$D98)</f>
        <v>2.3503757639117588</v>
      </c>
      <c r="P98" s="262">
        <f>DSUM($B$61:$Z$64,P$61,$C$71:$D98)</f>
        <v>2.4749908624074686</v>
      </c>
      <c r="Q98" s="262">
        <f>DSUM($B$61:$Z$64,Q$61,$C$71:$D98)</f>
        <v>2.5495614877527673</v>
      </c>
      <c r="R98" s="262">
        <f>DSUM($B$61:$Z$64,R$61,$C$71:$D98)</f>
        <v>2.5877431902995869</v>
      </c>
      <c r="S98" s="262">
        <f>DSUM($B$61:$Z$64,S$61,$C$71:$D98)</f>
        <v>2.604124441714359</v>
      </c>
      <c r="T98" s="262">
        <f>DSUM($B$61:$Z$64,T$61,$C$71:$D98)</f>
        <v>2.6098795128477867</v>
      </c>
      <c r="U98" s="262">
        <f>DSUM($B$61:$Z$64,U$61,$C$71:$D98)</f>
        <v>2.6114940078238646</v>
      </c>
      <c r="V98" s="262">
        <f>DSUM($B$61:$Z$64,V$61,$C$71:$D98)</f>
        <v>2.6118458944214034</v>
      </c>
      <c r="W98" s="262">
        <f>DSUM($B$61:$Z$64,W$61,$C$71:$D98)</f>
        <v>2.6119037347381138</v>
      </c>
      <c r="X98" s="262">
        <f>DSUM($B$61:$Z$64,X$61,$C$71:$D98)</f>
        <v>2.6119106775453766</v>
      </c>
      <c r="Y98" s="91">
        <f>DSUM($B$61:$Z$64,Y$61,$C$71:$D98)</f>
        <v>13.180394293600866</v>
      </c>
      <c r="Z98" s="262"/>
      <c r="AB98" s="24"/>
      <c r="AC98" s="24"/>
      <c r="AD98" s="24"/>
      <c r="AE98" s="24"/>
      <c r="AF98" s="24"/>
      <c r="AG98" s="24"/>
      <c r="AH98" s="24"/>
      <c r="AI98" s="24"/>
      <c r="AJ98" s="24"/>
    </row>
    <row r="99" spans="1:36">
      <c r="A99" s="24"/>
      <c r="B99" s="24" t="s">
        <v>1164</v>
      </c>
      <c r="C99" s="261" t="s">
        <v>1165</v>
      </c>
      <c r="D99" s="261" t="s">
        <v>1166</v>
      </c>
      <c r="E99" s="262">
        <f>DSUM($B$61:$Z$64,E$61,$C$71:$D99)</f>
        <v>6.0446712051898374E-2</v>
      </c>
      <c r="F99" s="262">
        <f>DSUM($B$61:$Z$64,F$61,$C$71:$D99)</f>
        <v>0.14409222869877844</v>
      </c>
      <c r="G99" s="262">
        <f>DSUM($B$61:$Z$64,G$61,$C$71:$D99)</f>
        <v>0.25816106868503175</v>
      </c>
      <c r="H99" s="262">
        <f>DSUM($B$61:$Z$64,H$61,$C$71:$D99)</f>
        <v>0.40538900885146145</v>
      </c>
      <c r="I99" s="262">
        <f>DSUM($B$61:$Z$64,I$61,$C$71:$D99)</f>
        <v>0.59139813906342753</v>
      </c>
      <c r="J99" s="262">
        <f>DSUM($B$61:$Z$64,J$61,$C$71:$D99)</f>
        <v>0.82998699191970926</v>
      </c>
      <c r="K99" s="262">
        <f>DSUM($B$61:$Z$64,K$61,$C$71:$D99)</f>
        <v>1.1195501620711454</v>
      </c>
      <c r="L99" s="262">
        <f>DSUM($B$61:$Z$64,L$61,$C$71:$D99)</f>
        <v>1.4509275653706426</v>
      </c>
      <c r="M99" s="262">
        <f>DSUM($B$61:$Z$64,M$61,$C$71:$D99)</f>
        <v>1.8076131479674677</v>
      </c>
      <c r="N99" s="262">
        <f>DSUM($B$61:$Z$64,N$61,$C$71:$D99)</f>
        <v>2.1687947258168641</v>
      </c>
      <c r="O99" s="262">
        <f>DSUM($B$61:$Z$64,O$61,$C$71:$D99)</f>
        <v>2.3503757639117588</v>
      </c>
      <c r="P99" s="262">
        <f>DSUM($B$61:$Z$64,P$61,$C$71:$D99)</f>
        <v>2.4749908624074686</v>
      </c>
      <c r="Q99" s="262">
        <f>DSUM($B$61:$Z$64,Q$61,$C$71:$D99)</f>
        <v>2.5495614877527673</v>
      </c>
      <c r="R99" s="262">
        <f>DSUM($B$61:$Z$64,R$61,$C$71:$D99)</f>
        <v>2.5877431902995869</v>
      </c>
      <c r="S99" s="262">
        <f>DSUM($B$61:$Z$64,S$61,$C$71:$D99)</f>
        <v>2.604124441714359</v>
      </c>
      <c r="T99" s="262">
        <f>DSUM($B$61:$Z$64,T$61,$C$71:$D99)</f>
        <v>2.6098795128477867</v>
      </c>
      <c r="U99" s="262">
        <f>DSUM($B$61:$Z$64,U$61,$C$71:$D99)</f>
        <v>2.6114940078238646</v>
      </c>
      <c r="V99" s="262">
        <f>DSUM($B$61:$Z$64,V$61,$C$71:$D99)</f>
        <v>2.6118458944214034</v>
      </c>
      <c r="W99" s="262">
        <f>DSUM($B$61:$Z$64,W$61,$C$71:$D99)</f>
        <v>2.6119037347381138</v>
      </c>
      <c r="X99" s="262">
        <f>DSUM($B$61:$Z$64,X$61,$C$71:$D99)</f>
        <v>2.6119106775453766</v>
      </c>
      <c r="Y99" s="91">
        <f>DSUM($B$61:$Z$64,Y$61,$C$71:$D99)</f>
        <v>13.180394293600866</v>
      </c>
      <c r="Z99" s="262"/>
      <c r="AB99" s="24"/>
      <c r="AC99" s="24"/>
      <c r="AD99" s="24"/>
      <c r="AE99" s="24"/>
      <c r="AF99" s="24"/>
      <c r="AG99" s="24"/>
      <c r="AH99" s="24"/>
      <c r="AI99" s="24"/>
      <c r="AJ99" s="24"/>
    </row>
    <row r="100" spans="1:36">
      <c r="A100" s="24"/>
      <c r="B100" s="24" t="s">
        <v>1167</v>
      </c>
      <c r="C100" s="261" t="s">
        <v>1168</v>
      </c>
      <c r="D100" s="261" t="s">
        <v>1169</v>
      </c>
      <c r="E100" s="262">
        <f>DSUM($B$61:$Z$64,E$61,$C$71:$D100)</f>
        <v>6.0446712051898374E-2</v>
      </c>
      <c r="F100" s="262">
        <f>DSUM($B$61:$Z$64,F$61,$C$71:$D100)</f>
        <v>0.14409222869877844</v>
      </c>
      <c r="G100" s="262">
        <f>DSUM($B$61:$Z$64,G$61,$C$71:$D100)</f>
        <v>0.25816106868503175</v>
      </c>
      <c r="H100" s="262">
        <f>DSUM($B$61:$Z$64,H$61,$C$71:$D100)</f>
        <v>0.40538900885146145</v>
      </c>
      <c r="I100" s="262">
        <f>DSUM($B$61:$Z$64,I$61,$C$71:$D100)</f>
        <v>0.59139813906342753</v>
      </c>
      <c r="J100" s="262">
        <f>DSUM($B$61:$Z$64,J$61,$C$71:$D100)</f>
        <v>0.82998699191970926</v>
      </c>
      <c r="K100" s="262">
        <f>DSUM($B$61:$Z$64,K$61,$C$71:$D100)</f>
        <v>1.1195501620711454</v>
      </c>
      <c r="L100" s="262">
        <f>DSUM($B$61:$Z$64,L$61,$C$71:$D100)</f>
        <v>1.4509275653706426</v>
      </c>
      <c r="M100" s="262">
        <f>DSUM($B$61:$Z$64,M$61,$C$71:$D100)</f>
        <v>1.8076131479674677</v>
      </c>
      <c r="N100" s="262">
        <f>DSUM($B$61:$Z$64,N$61,$C$71:$D100)</f>
        <v>2.1687947258168641</v>
      </c>
      <c r="O100" s="262">
        <f>DSUM($B$61:$Z$64,O$61,$C$71:$D100)</f>
        <v>2.3503757639117588</v>
      </c>
      <c r="P100" s="262">
        <f>DSUM($B$61:$Z$64,P$61,$C$71:$D100)</f>
        <v>2.4749908624074686</v>
      </c>
      <c r="Q100" s="262">
        <f>DSUM($B$61:$Z$64,Q$61,$C$71:$D100)</f>
        <v>2.5495614877527673</v>
      </c>
      <c r="R100" s="262">
        <f>DSUM($B$61:$Z$64,R$61,$C$71:$D100)</f>
        <v>2.5877431902995869</v>
      </c>
      <c r="S100" s="262">
        <f>DSUM($B$61:$Z$64,S$61,$C$71:$D100)</f>
        <v>2.604124441714359</v>
      </c>
      <c r="T100" s="262">
        <f>DSUM($B$61:$Z$64,T$61,$C$71:$D100)</f>
        <v>2.6098795128477867</v>
      </c>
      <c r="U100" s="262">
        <f>DSUM($B$61:$Z$64,U$61,$C$71:$D100)</f>
        <v>2.6114940078238646</v>
      </c>
      <c r="V100" s="262">
        <f>DSUM($B$61:$Z$64,V$61,$C$71:$D100)</f>
        <v>2.6118458944214034</v>
      </c>
      <c r="W100" s="262">
        <f>DSUM($B$61:$Z$64,W$61,$C$71:$D100)</f>
        <v>2.6119037347381138</v>
      </c>
      <c r="X100" s="262">
        <f>DSUM($B$61:$Z$64,X$61,$C$71:$D100)</f>
        <v>2.6119106775453766</v>
      </c>
      <c r="Y100" s="91">
        <f>DSUM($B$61:$Z$64,Y$61,$C$71:$D100)</f>
        <v>13.180394293600866</v>
      </c>
      <c r="Z100" s="262"/>
      <c r="AB100" s="24"/>
      <c r="AC100" s="24"/>
      <c r="AD100" s="24"/>
      <c r="AE100" s="24"/>
      <c r="AF100" s="24"/>
      <c r="AG100" s="24"/>
      <c r="AH100" s="24"/>
      <c r="AI100" s="24"/>
      <c r="AJ100" s="24"/>
    </row>
    <row r="101" spans="1:36">
      <c r="A101" s="24"/>
      <c r="B101" s="24" t="s">
        <v>1170</v>
      </c>
      <c r="C101" s="261" t="s">
        <v>1171</v>
      </c>
      <c r="D101" s="261" t="s">
        <v>1172</v>
      </c>
      <c r="E101" s="262">
        <f>DSUM($B$61:$Z$64,E$61,$C$71:$D101)</f>
        <v>6.0446712051898374E-2</v>
      </c>
      <c r="F101" s="262">
        <f>DSUM($B$61:$Z$64,F$61,$C$71:$D101)</f>
        <v>0.14409222869877844</v>
      </c>
      <c r="G101" s="262">
        <f>DSUM($B$61:$Z$64,G$61,$C$71:$D101)</f>
        <v>0.25816106868503175</v>
      </c>
      <c r="H101" s="262">
        <f>DSUM($B$61:$Z$64,H$61,$C$71:$D101)</f>
        <v>0.40538900885146145</v>
      </c>
      <c r="I101" s="262">
        <f>DSUM($B$61:$Z$64,I$61,$C$71:$D101)</f>
        <v>0.59139813906342753</v>
      </c>
      <c r="J101" s="262">
        <f>DSUM($B$61:$Z$64,J$61,$C$71:$D101)</f>
        <v>0.82998699191970926</v>
      </c>
      <c r="K101" s="262">
        <f>DSUM($B$61:$Z$64,K$61,$C$71:$D101)</f>
        <v>1.1195501620711454</v>
      </c>
      <c r="L101" s="262">
        <f>DSUM($B$61:$Z$64,L$61,$C$71:$D101)</f>
        <v>1.4509275653706426</v>
      </c>
      <c r="M101" s="262">
        <f>DSUM($B$61:$Z$64,M$61,$C$71:$D101)</f>
        <v>1.8076131479674677</v>
      </c>
      <c r="N101" s="262">
        <f>DSUM($B$61:$Z$64,N$61,$C$71:$D101)</f>
        <v>2.1687947258168641</v>
      </c>
      <c r="O101" s="262">
        <f>DSUM($B$61:$Z$64,O$61,$C$71:$D101)</f>
        <v>2.3503757639117588</v>
      </c>
      <c r="P101" s="262">
        <f>DSUM($B$61:$Z$64,P$61,$C$71:$D101)</f>
        <v>2.4749908624074686</v>
      </c>
      <c r="Q101" s="262">
        <f>DSUM($B$61:$Z$64,Q$61,$C$71:$D101)</f>
        <v>2.5495614877527673</v>
      </c>
      <c r="R101" s="262">
        <f>DSUM($B$61:$Z$64,R$61,$C$71:$D101)</f>
        <v>2.5877431902995869</v>
      </c>
      <c r="S101" s="262">
        <f>DSUM($B$61:$Z$64,S$61,$C$71:$D101)</f>
        <v>2.604124441714359</v>
      </c>
      <c r="T101" s="262">
        <f>DSUM($B$61:$Z$64,T$61,$C$71:$D101)</f>
        <v>2.6098795128477867</v>
      </c>
      <c r="U101" s="262">
        <f>DSUM($B$61:$Z$64,U$61,$C$71:$D101)</f>
        <v>2.6114940078238646</v>
      </c>
      <c r="V101" s="262">
        <f>DSUM($B$61:$Z$64,V$61,$C$71:$D101)</f>
        <v>2.6118458944214034</v>
      </c>
      <c r="W101" s="262">
        <f>DSUM($B$61:$Z$64,W$61,$C$71:$D101)</f>
        <v>2.6119037347381138</v>
      </c>
      <c r="X101" s="262">
        <f>DSUM($B$61:$Z$64,X$61,$C$71:$D101)</f>
        <v>2.6119106775453766</v>
      </c>
      <c r="Y101" s="91">
        <f>DSUM($B$61:$Z$64,Y$61,$C$71:$D101)</f>
        <v>13.180394293600866</v>
      </c>
      <c r="Z101" s="262"/>
      <c r="AB101" s="24"/>
      <c r="AC101" s="24"/>
      <c r="AD101" s="24"/>
      <c r="AE101" s="24"/>
      <c r="AF101" s="24"/>
      <c r="AG101" s="24"/>
      <c r="AH101" s="24"/>
      <c r="AI101" s="24"/>
      <c r="AJ101" s="24"/>
    </row>
    <row r="102" spans="1:36">
      <c r="A102" s="24"/>
      <c r="B102" s="24" t="s">
        <v>1173</v>
      </c>
      <c r="C102" s="261" t="s">
        <v>1174</v>
      </c>
      <c r="D102" s="261" t="s">
        <v>1175</v>
      </c>
      <c r="E102" s="262">
        <f>DSUM($B$61:$Z$64,E$61,$C$71:$D102)</f>
        <v>6.0446712051898374E-2</v>
      </c>
      <c r="F102" s="262">
        <f>DSUM($B$61:$Z$64,F$61,$C$71:$D102)</f>
        <v>0.14409222869877844</v>
      </c>
      <c r="G102" s="262">
        <f>DSUM($B$61:$Z$64,G$61,$C$71:$D102)</f>
        <v>0.25816106868503175</v>
      </c>
      <c r="H102" s="262">
        <f>DSUM($B$61:$Z$64,H$61,$C$71:$D102)</f>
        <v>0.40538900885146145</v>
      </c>
      <c r="I102" s="262">
        <f>DSUM($B$61:$Z$64,I$61,$C$71:$D102)</f>
        <v>0.59139813906342753</v>
      </c>
      <c r="J102" s="262">
        <f>DSUM($B$61:$Z$64,J$61,$C$71:$D102)</f>
        <v>0.82998699191970926</v>
      </c>
      <c r="K102" s="262">
        <f>DSUM($B$61:$Z$64,K$61,$C$71:$D102)</f>
        <v>1.1195501620711454</v>
      </c>
      <c r="L102" s="262">
        <f>DSUM($B$61:$Z$64,L$61,$C$71:$D102)</f>
        <v>1.4509275653706426</v>
      </c>
      <c r="M102" s="262">
        <f>DSUM($B$61:$Z$64,M$61,$C$71:$D102)</f>
        <v>1.8076131479674677</v>
      </c>
      <c r="N102" s="262">
        <f>DSUM($B$61:$Z$64,N$61,$C$71:$D102)</f>
        <v>2.1687947258168641</v>
      </c>
      <c r="O102" s="262">
        <f>DSUM($B$61:$Z$64,O$61,$C$71:$D102)</f>
        <v>2.3503757639117588</v>
      </c>
      <c r="P102" s="262">
        <f>DSUM($B$61:$Z$64,P$61,$C$71:$D102)</f>
        <v>2.4749908624074686</v>
      </c>
      <c r="Q102" s="262">
        <f>DSUM($B$61:$Z$64,Q$61,$C$71:$D102)</f>
        <v>2.5495614877527673</v>
      </c>
      <c r="R102" s="262">
        <f>DSUM($B$61:$Z$64,R$61,$C$71:$D102)</f>
        <v>2.5877431902995869</v>
      </c>
      <c r="S102" s="262">
        <f>DSUM($B$61:$Z$64,S$61,$C$71:$D102)</f>
        <v>2.604124441714359</v>
      </c>
      <c r="T102" s="262">
        <f>DSUM($B$61:$Z$64,T$61,$C$71:$D102)</f>
        <v>2.6098795128477867</v>
      </c>
      <c r="U102" s="262">
        <f>DSUM($B$61:$Z$64,U$61,$C$71:$D102)</f>
        <v>2.6114940078238646</v>
      </c>
      <c r="V102" s="262">
        <f>DSUM($B$61:$Z$64,V$61,$C$71:$D102)</f>
        <v>2.6118458944214034</v>
      </c>
      <c r="W102" s="262">
        <f>DSUM($B$61:$Z$64,W$61,$C$71:$D102)</f>
        <v>2.6119037347381138</v>
      </c>
      <c r="X102" s="262">
        <f>DSUM($B$61:$Z$64,X$61,$C$71:$D102)</f>
        <v>2.6119106775453766</v>
      </c>
      <c r="Y102" s="91">
        <f>DSUM($B$61:$Z$64,Y$61,$C$71:$D102)</f>
        <v>13.180394293600866</v>
      </c>
      <c r="Z102" s="262"/>
      <c r="AB102" s="24"/>
      <c r="AC102" s="24"/>
      <c r="AD102" s="24"/>
      <c r="AE102" s="24"/>
      <c r="AF102" s="24"/>
      <c r="AG102" s="24"/>
      <c r="AH102" s="24"/>
      <c r="AI102" s="24"/>
      <c r="AJ102" s="24"/>
    </row>
    <row r="103" spans="1:36">
      <c r="A103" s="24"/>
      <c r="B103" s="24" t="s">
        <v>1176</v>
      </c>
      <c r="C103" s="261" t="s">
        <v>1177</v>
      </c>
      <c r="D103" s="261" t="s">
        <v>1178</v>
      </c>
      <c r="E103" s="262">
        <f>DSUM($B$61:$Z$64,E$61,$C$71:$D103)</f>
        <v>6.0446712051898374E-2</v>
      </c>
      <c r="F103" s="262">
        <f>DSUM($B$61:$Z$64,F$61,$C$71:$D103)</f>
        <v>0.14409222869877844</v>
      </c>
      <c r="G103" s="262">
        <f>DSUM($B$61:$Z$64,G$61,$C$71:$D103)</f>
        <v>0.25816106868503175</v>
      </c>
      <c r="H103" s="262">
        <f>DSUM($B$61:$Z$64,H$61,$C$71:$D103)</f>
        <v>0.40538900885146145</v>
      </c>
      <c r="I103" s="262">
        <f>DSUM($B$61:$Z$64,I$61,$C$71:$D103)</f>
        <v>0.59139813906342753</v>
      </c>
      <c r="J103" s="262">
        <f>DSUM($B$61:$Z$64,J$61,$C$71:$D103)</f>
        <v>0.82998699191970926</v>
      </c>
      <c r="K103" s="262">
        <f>DSUM($B$61:$Z$64,K$61,$C$71:$D103)</f>
        <v>1.1195501620711454</v>
      </c>
      <c r="L103" s="262">
        <f>DSUM($B$61:$Z$64,L$61,$C$71:$D103)</f>
        <v>1.4509275653706426</v>
      </c>
      <c r="M103" s="262">
        <f>DSUM($B$61:$Z$64,M$61,$C$71:$D103)</f>
        <v>1.8076131479674677</v>
      </c>
      <c r="N103" s="262">
        <f>DSUM($B$61:$Z$64,N$61,$C$71:$D103)</f>
        <v>2.1687947258168641</v>
      </c>
      <c r="O103" s="262">
        <f>DSUM($B$61:$Z$64,O$61,$C$71:$D103)</f>
        <v>2.3503757639117588</v>
      </c>
      <c r="P103" s="262">
        <f>DSUM($B$61:$Z$64,P$61,$C$71:$D103)</f>
        <v>2.4749908624074686</v>
      </c>
      <c r="Q103" s="262">
        <f>DSUM($B$61:$Z$64,Q$61,$C$71:$D103)</f>
        <v>2.5495614877527673</v>
      </c>
      <c r="R103" s="262">
        <f>DSUM($B$61:$Z$64,R$61,$C$71:$D103)</f>
        <v>2.5877431902995869</v>
      </c>
      <c r="S103" s="262">
        <f>DSUM($B$61:$Z$64,S$61,$C$71:$D103)</f>
        <v>2.604124441714359</v>
      </c>
      <c r="T103" s="262">
        <f>DSUM($B$61:$Z$64,T$61,$C$71:$D103)</f>
        <v>2.6098795128477867</v>
      </c>
      <c r="U103" s="262">
        <f>DSUM($B$61:$Z$64,U$61,$C$71:$D103)</f>
        <v>2.6114940078238646</v>
      </c>
      <c r="V103" s="262">
        <f>DSUM($B$61:$Z$64,V$61,$C$71:$D103)</f>
        <v>2.6118458944214034</v>
      </c>
      <c r="W103" s="262">
        <f>DSUM($B$61:$Z$64,W$61,$C$71:$D103)</f>
        <v>2.6119037347381138</v>
      </c>
      <c r="X103" s="262">
        <f>DSUM($B$61:$Z$64,X$61,$C$71:$D103)</f>
        <v>2.6119106775453766</v>
      </c>
      <c r="Y103" s="91">
        <f>DSUM($B$61:$Z$64,Y$61,$C$71:$D103)</f>
        <v>13.180394293600866</v>
      </c>
      <c r="Z103" s="262"/>
      <c r="AB103" s="24"/>
      <c r="AC103" s="24"/>
      <c r="AD103" s="24"/>
      <c r="AE103" s="24"/>
      <c r="AF103" s="24"/>
      <c r="AG103" s="24"/>
      <c r="AH103" s="24"/>
      <c r="AI103" s="24"/>
      <c r="AJ103" s="24"/>
    </row>
    <row r="104" spans="1:36">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B104" s="24"/>
      <c r="AC104" s="24"/>
      <c r="AD104" s="24"/>
      <c r="AE104" s="24"/>
      <c r="AF104" s="24"/>
      <c r="AG104" s="24"/>
      <c r="AH104" s="24"/>
      <c r="AI104" s="24"/>
      <c r="AJ104" s="24"/>
    </row>
    <row r="105" spans="1:36">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B105" s="24"/>
      <c r="AC105" s="24"/>
      <c r="AD105" s="24"/>
      <c r="AE105" s="24"/>
      <c r="AF105" s="24"/>
      <c r="AG105" s="24"/>
      <c r="AH105" s="24"/>
      <c r="AI105" s="24"/>
      <c r="AJ105" s="24"/>
    </row>
    <row r="106" spans="1:36" ht="15">
      <c r="A106" s="259" t="s">
        <v>1179</v>
      </c>
      <c r="B106" s="259"/>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B106" s="24"/>
      <c r="AC106" s="24"/>
      <c r="AD106" s="24"/>
      <c r="AE106" s="24"/>
      <c r="AF106" s="24"/>
      <c r="AG106" s="24"/>
      <c r="AH106" s="24"/>
      <c r="AI106" s="24"/>
      <c r="AJ106" s="24"/>
    </row>
    <row r="107" spans="1:36" ht="15">
      <c r="A107" s="24"/>
      <c r="B107" s="24"/>
      <c r="C107" s="242" t="s">
        <v>1180</v>
      </c>
      <c r="D107" s="242" t="str">
        <f>$C$8</f>
        <v>Water Cooler Controls-NR</v>
      </c>
      <c r="E107" s="255">
        <f>E11</f>
        <v>2016</v>
      </c>
      <c r="F107" s="255">
        <f t="shared" ref="F107:X107" si="34">F11</f>
        <v>2017</v>
      </c>
      <c r="G107" s="255">
        <f t="shared" si="34"/>
        <v>2018</v>
      </c>
      <c r="H107" s="255">
        <f t="shared" si="34"/>
        <v>2019</v>
      </c>
      <c r="I107" s="255">
        <f t="shared" si="34"/>
        <v>2020</v>
      </c>
      <c r="J107" s="255">
        <f t="shared" si="34"/>
        <v>2021</v>
      </c>
      <c r="K107" s="255">
        <f t="shared" si="34"/>
        <v>2022</v>
      </c>
      <c r="L107" s="255">
        <f t="shared" si="34"/>
        <v>2023</v>
      </c>
      <c r="M107" s="255">
        <f t="shared" si="34"/>
        <v>2024</v>
      </c>
      <c r="N107" s="255">
        <f t="shared" si="34"/>
        <v>2025</v>
      </c>
      <c r="O107" s="255">
        <f t="shared" si="34"/>
        <v>2026</v>
      </c>
      <c r="P107" s="255">
        <f t="shared" si="34"/>
        <v>2027</v>
      </c>
      <c r="Q107" s="255">
        <f t="shared" si="34"/>
        <v>2028</v>
      </c>
      <c r="R107" s="255">
        <f t="shared" si="34"/>
        <v>2029</v>
      </c>
      <c r="S107" s="255">
        <f t="shared" si="34"/>
        <v>2030</v>
      </c>
      <c r="T107" s="255">
        <f t="shared" si="34"/>
        <v>2031</v>
      </c>
      <c r="U107" s="255">
        <f t="shared" si="34"/>
        <v>2032</v>
      </c>
      <c r="V107" s="255">
        <f t="shared" si="34"/>
        <v>2033</v>
      </c>
      <c r="W107" s="255">
        <f t="shared" si="34"/>
        <v>2034</v>
      </c>
      <c r="X107" s="255">
        <f t="shared" si="34"/>
        <v>2035</v>
      </c>
      <c r="Y107" s="24"/>
      <c r="Z107" s="242"/>
      <c r="AB107" s="24"/>
      <c r="AC107" s="24"/>
      <c r="AD107" s="24"/>
      <c r="AE107" s="24"/>
      <c r="AF107" s="24"/>
      <c r="AG107" s="24"/>
      <c r="AH107" s="24"/>
      <c r="AI107" s="24"/>
      <c r="AJ107" s="24"/>
    </row>
    <row r="108" spans="1:36" ht="15">
      <c r="A108" s="24"/>
      <c r="B108" s="24"/>
      <c r="C108" s="242">
        <f>C9</f>
        <v>2035</v>
      </c>
      <c r="D108" s="242"/>
      <c r="E108" s="256" t="str">
        <f>CONCATENATE("aMW_",E$11)</f>
        <v>aMW_2016</v>
      </c>
      <c r="F108" s="256" t="str">
        <f t="shared" ref="F108:X108" si="35">CONCATENATE("aMW_",F$11)</f>
        <v>aMW_2017</v>
      </c>
      <c r="G108" s="256" t="str">
        <f t="shared" si="35"/>
        <v>aMW_2018</v>
      </c>
      <c r="H108" s="256" t="str">
        <f t="shared" si="35"/>
        <v>aMW_2019</v>
      </c>
      <c r="I108" s="256" t="str">
        <f t="shared" si="35"/>
        <v>aMW_2020</v>
      </c>
      <c r="J108" s="256" t="str">
        <f t="shared" si="35"/>
        <v>aMW_2021</v>
      </c>
      <c r="K108" s="256" t="str">
        <f t="shared" si="35"/>
        <v>aMW_2022</v>
      </c>
      <c r="L108" s="256" t="str">
        <f t="shared" si="35"/>
        <v>aMW_2023</v>
      </c>
      <c r="M108" s="256" t="str">
        <f t="shared" si="35"/>
        <v>aMW_2024</v>
      </c>
      <c r="N108" s="256" t="str">
        <f t="shared" si="35"/>
        <v>aMW_2025</v>
      </c>
      <c r="O108" s="256" t="str">
        <f t="shared" si="35"/>
        <v>aMW_2026</v>
      </c>
      <c r="P108" s="256" t="str">
        <f t="shared" si="35"/>
        <v>aMW_2027</v>
      </c>
      <c r="Q108" s="256" t="str">
        <f t="shared" si="35"/>
        <v>aMW_2028</v>
      </c>
      <c r="R108" s="256" t="str">
        <f t="shared" si="35"/>
        <v>aMW_2029</v>
      </c>
      <c r="S108" s="256" t="str">
        <f t="shared" si="35"/>
        <v>aMW_2030</v>
      </c>
      <c r="T108" s="256" t="str">
        <f t="shared" si="35"/>
        <v>aMW_2031</v>
      </c>
      <c r="U108" s="256" t="str">
        <f t="shared" si="35"/>
        <v>aMW_2032</v>
      </c>
      <c r="V108" s="256" t="str">
        <f t="shared" si="35"/>
        <v>aMW_2033</v>
      </c>
      <c r="W108" s="256" t="str">
        <f t="shared" si="35"/>
        <v>aMW_2034</v>
      </c>
      <c r="X108" s="256" t="str">
        <f t="shared" si="35"/>
        <v>aMW_2035</v>
      </c>
      <c r="Y108" s="247" t="s">
        <v>1085</v>
      </c>
      <c r="Z108" s="263"/>
      <c r="AB108" s="24"/>
      <c r="AC108" s="24"/>
      <c r="AD108" s="24"/>
      <c r="AE108" s="24"/>
      <c r="AF108" s="24"/>
      <c r="AG108" s="24"/>
      <c r="AH108" s="24"/>
      <c r="AI108" s="24"/>
      <c r="AJ108" s="24"/>
    </row>
    <row r="109" spans="1:36">
      <c r="A109" s="24"/>
      <c r="B109" s="24"/>
      <c r="C109" s="24" t="s">
        <v>977</v>
      </c>
      <c r="D109" s="24"/>
      <c r="E109" s="264">
        <f t="shared" ref="E109:Y109" si="36">E72</f>
        <v>0</v>
      </c>
      <c r="F109" s="264">
        <f t="shared" si="36"/>
        <v>0</v>
      </c>
      <c r="G109" s="264">
        <f t="shared" si="36"/>
        <v>0</v>
      </c>
      <c r="H109" s="264">
        <f t="shared" si="36"/>
        <v>0</v>
      </c>
      <c r="I109" s="264">
        <f t="shared" si="36"/>
        <v>0</v>
      </c>
      <c r="J109" s="264">
        <f t="shared" si="36"/>
        <v>0</v>
      </c>
      <c r="K109" s="264">
        <f t="shared" si="36"/>
        <v>0</v>
      </c>
      <c r="L109" s="264">
        <f t="shared" si="36"/>
        <v>0</v>
      </c>
      <c r="M109" s="264">
        <f t="shared" si="36"/>
        <v>0</v>
      </c>
      <c r="N109" s="264">
        <f t="shared" si="36"/>
        <v>0</v>
      </c>
      <c r="O109" s="264">
        <f t="shared" si="36"/>
        <v>0</v>
      </c>
      <c r="P109" s="264">
        <f t="shared" si="36"/>
        <v>0</v>
      </c>
      <c r="Q109" s="264">
        <f t="shared" si="36"/>
        <v>0</v>
      </c>
      <c r="R109" s="264">
        <f t="shared" si="36"/>
        <v>0</v>
      </c>
      <c r="S109" s="264">
        <f t="shared" si="36"/>
        <v>0</v>
      </c>
      <c r="T109" s="264">
        <f t="shared" si="36"/>
        <v>0</v>
      </c>
      <c r="U109" s="264">
        <f t="shared" si="36"/>
        <v>0</v>
      </c>
      <c r="V109" s="264">
        <f t="shared" si="36"/>
        <v>0</v>
      </c>
      <c r="W109" s="264">
        <f t="shared" si="36"/>
        <v>0</v>
      </c>
      <c r="X109" s="264">
        <f t="shared" si="36"/>
        <v>0</v>
      </c>
      <c r="Y109" s="264">
        <f t="shared" si="36"/>
        <v>0</v>
      </c>
      <c r="Z109" s="264"/>
      <c r="AB109" s="24"/>
      <c r="AC109" s="24"/>
      <c r="AD109" s="24"/>
      <c r="AE109" s="24"/>
      <c r="AF109" s="24"/>
      <c r="AG109" s="24"/>
      <c r="AH109" s="24"/>
      <c r="AI109" s="24"/>
      <c r="AJ109" s="24"/>
    </row>
    <row r="110" spans="1:36">
      <c r="A110" s="24"/>
      <c r="B110" s="24"/>
      <c r="C110" s="24" t="s">
        <v>978</v>
      </c>
      <c r="D110" s="24"/>
      <c r="E110" s="264">
        <f t="shared" ref="E110:Y122" si="37">E73-E72</f>
        <v>0</v>
      </c>
      <c r="F110" s="264">
        <f t="shared" si="37"/>
        <v>0</v>
      </c>
      <c r="G110" s="264">
        <f t="shared" si="37"/>
        <v>0</v>
      </c>
      <c r="H110" s="264">
        <f t="shared" si="37"/>
        <v>0</v>
      </c>
      <c r="I110" s="264">
        <f t="shared" si="37"/>
        <v>0</v>
      </c>
      <c r="J110" s="264">
        <f t="shared" si="37"/>
        <v>0</v>
      </c>
      <c r="K110" s="264">
        <f t="shared" si="37"/>
        <v>0</v>
      </c>
      <c r="L110" s="264">
        <f t="shared" si="37"/>
        <v>0</v>
      </c>
      <c r="M110" s="264">
        <f t="shared" si="37"/>
        <v>0</v>
      </c>
      <c r="N110" s="264">
        <f t="shared" si="37"/>
        <v>0</v>
      </c>
      <c r="O110" s="264">
        <f t="shared" si="37"/>
        <v>0</v>
      </c>
      <c r="P110" s="264">
        <f t="shared" si="37"/>
        <v>0</v>
      </c>
      <c r="Q110" s="264">
        <f t="shared" si="37"/>
        <v>0</v>
      </c>
      <c r="R110" s="264">
        <f t="shared" si="37"/>
        <v>0</v>
      </c>
      <c r="S110" s="264">
        <f t="shared" si="37"/>
        <v>0</v>
      </c>
      <c r="T110" s="264">
        <f t="shared" si="37"/>
        <v>0</v>
      </c>
      <c r="U110" s="264">
        <f t="shared" si="37"/>
        <v>0</v>
      </c>
      <c r="V110" s="264">
        <f t="shared" si="37"/>
        <v>0</v>
      </c>
      <c r="W110" s="264">
        <f t="shared" si="37"/>
        <v>0</v>
      </c>
      <c r="X110" s="264">
        <f t="shared" si="37"/>
        <v>0</v>
      </c>
      <c r="Y110" s="264">
        <f t="shared" si="37"/>
        <v>0</v>
      </c>
      <c r="Z110" s="264"/>
      <c r="AB110" s="24"/>
      <c r="AC110" s="24"/>
      <c r="AD110" s="24"/>
      <c r="AE110" s="24"/>
      <c r="AF110" s="24"/>
      <c r="AG110" s="24"/>
      <c r="AH110" s="24"/>
      <c r="AI110" s="24"/>
      <c r="AJ110" s="24"/>
    </row>
    <row r="111" spans="1:36">
      <c r="A111" s="24"/>
      <c r="B111" s="24"/>
      <c r="C111" s="24" t="s">
        <v>979</v>
      </c>
      <c r="D111" s="24"/>
      <c r="E111" s="264">
        <f t="shared" si="37"/>
        <v>4.3612032747767038E-2</v>
      </c>
      <c r="F111" s="264">
        <f t="shared" si="37"/>
        <v>0.10396189938857896</v>
      </c>
      <c r="G111" s="264">
        <f t="shared" si="37"/>
        <v>0.18626205792671471</v>
      </c>
      <c r="H111" s="264">
        <f t="shared" si="37"/>
        <v>0.29248635913290355</v>
      </c>
      <c r="I111" s="264">
        <f t="shared" si="37"/>
        <v>0.42669111573278146</v>
      </c>
      <c r="J111" s="264">
        <f t="shared" si="37"/>
        <v>0.59883190736238245</v>
      </c>
      <c r="K111" s="264">
        <f t="shared" si="37"/>
        <v>0.80775044123316009</v>
      </c>
      <c r="L111" s="264">
        <f t="shared" si="37"/>
        <v>1.0468377575483871</v>
      </c>
      <c r="M111" s="264">
        <f t="shared" si="37"/>
        <v>1.3041848121824458</v>
      </c>
      <c r="N111" s="264">
        <f t="shared" si="37"/>
        <v>1.5647757073089468</v>
      </c>
      <c r="O111" s="264">
        <f t="shared" si="37"/>
        <v>1.6957856152253421</v>
      </c>
      <c r="P111" s="264">
        <f t="shared" si="37"/>
        <v>1.785694852171017</v>
      </c>
      <c r="Q111" s="264">
        <f t="shared" si="37"/>
        <v>1.8394972252726074</v>
      </c>
      <c r="R111" s="264">
        <f t="shared" si="37"/>
        <v>1.8670451531137064</v>
      </c>
      <c r="S111" s="264">
        <f t="shared" si="37"/>
        <v>1.8788641528392342</v>
      </c>
      <c r="T111" s="264">
        <f t="shared" si="37"/>
        <v>1.8830164109557932</v>
      </c>
      <c r="U111" s="264">
        <f t="shared" si="37"/>
        <v>1.884181261869559</v>
      </c>
      <c r="V111" s="264">
        <f t="shared" si="37"/>
        <v>1.8844351464779094</v>
      </c>
      <c r="W111" s="264">
        <f t="shared" si="37"/>
        <v>1.8844768780080605</v>
      </c>
      <c r="X111" s="264">
        <f t="shared" si="37"/>
        <v>1.8844818872124891</v>
      </c>
      <c r="Y111" s="264">
        <f t="shared" si="37"/>
        <v>9.5095956098897521</v>
      </c>
      <c r="Z111" s="264"/>
      <c r="AB111" s="24"/>
      <c r="AC111" s="24"/>
      <c r="AD111" s="24"/>
      <c r="AE111" s="24"/>
      <c r="AF111" s="24"/>
      <c r="AG111" s="24"/>
      <c r="AH111" s="24"/>
      <c r="AI111" s="24"/>
      <c r="AJ111" s="24"/>
    </row>
    <row r="112" spans="1:36">
      <c r="A112" s="24"/>
      <c r="B112" s="24"/>
      <c r="C112" s="24" t="s">
        <v>980</v>
      </c>
      <c r="D112" s="24"/>
      <c r="E112" s="264">
        <f t="shared" si="37"/>
        <v>0</v>
      </c>
      <c r="F112" s="264">
        <f t="shared" si="37"/>
        <v>0</v>
      </c>
      <c r="G112" s="264">
        <f t="shared" si="37"/>
        <v>0</v>
      </c>
      <c r="H112" s="264">
        <f t="shared" si="37"/>
        <v>0</v>
      </c>
      <c r="I112" s="264">
        <f t="shared" si="37"/>
        <v>0</v>
      </c>
      <c r="J112" s="264">
        <f t="shared" si="37"/>
        <v>0</v>
      </c>
      <c r="K112" s="264">
        <f t="shared" si="37"/>
        <v>0</v>
      </c>
      <c r="L112" s="264">
        <f t="shared" si="37"/>
        <v>0</v>
      </c>
      <c r="M112" s="264">
        <f t="shared" si="37"/>
        <v>0</v>
      </c>
      <c r="N112" s="264">
        <f t="shared" si="37"/>
        <v>0</v>
      </c>
      <c r="O112" s="264">
        <f t="shared" si="37"/>
        <v>0</v>
      </c>
      <c r="P112" s="264">
        <f t="shared" si="37"/>
        <v>0</v>
      </c>
      <c r="Q112" s="264">
        <f t="shared" si="37"/>
        <v>0</v>
      </c>
      <c r="R112" s="264">
        <f t="shared" si="37"/>
        <v>0</v>
      </c>
      <c r="S112" s="264">
        <f t="shared" si="37"/>
        <v>0</v>
      </c>
      <c r="T112" s="264">
        <f t="shared" si="37"/>
        <v>0</v>
      </c>
      <c r="U112" s="264">
        <f t="shared" si="37"/>
        <v>0</v>
      </c>
      <c r="V112" s="264">
        <f t="shared" si="37"/>
        <v>0</v>
      </c>
      <c r="W112" s="264">
        <f t="shared" si="37"/>
        <v>0</v>
      </c>
      <c r="X112" s="264">
        <f t="shared" si="37"/>
        <v>0</v>
      </c>
      <c r="Y112" s="264">
        <f t="shared" si="37"/>
        <v>0</v>
      </c>
      <c r="Z112" s="264"/>
      <c r="AB112" s="24"/>
      <c r="AC112" s="24"/>
      <c r="AD112" s="24"/>
      <c r="AE112" s="24"/>
      <c r="AF112" s="24"/>
      <c r="AG112" s="24"/>
      <c r="AH112" s="24"/>
      <c r="AI112" s="24"/>
      <c r="AJ112" s="24"/>
    </row>
    <row r="113" spans="1:36">
      <c r="A113" s="24"/>
      <c r="B113" s="24"/>
      <c r="C113" s="24" t="s">
        <v>981</v>
      </c>
      <c r="D113" s="24"/>
      <c r="E113" s="264">
        <f t="shared" si="37"/>
        <v>0</v>
      </c>
      <c r="F113" s="264">
        <f t="shared" si="37"/>
        <v>0</v>
      </c>
      <c r="G113" s="264">
        <f t="shared" si="37"/>
        <v>0</v>
      </c>
      <c r="H113" s="264">
        <f t="shared" si="37"/>
        <v>0</v>
      </c>
      <c r="I113" s="264">
        <f t="shared" si="37"/>
        <v>0</v>
      </c>
      <c r="J113" s="264">
        <f t="shared" si="37"/>
        <v>0</v>
      </c>
      <c r="K113" s="264">
        <f t="shared" si="37"/>
        <v>0</v>
      </c>
      <c r="L113" s="264">
        <f t="shared" si="37"/>
        <v>0</v>
      </c>
      <c r="M113" s="264">
        <f t="shared" si="37"/>
        <v>0</v>
      </c>
      <c r="N113" s="264">
        <f t="shared" si="37"/>
        <v>0</v>
      </c>
      <c r="O113" s="264">
        <f t="shared" si="37"/>
        <v>0</v>
      </c>
      <c r="P113" s="264">
        <f t="shared" si="37"/>
        <v>0</v>
      </c>
      <c r="Q113" s="264">
        <f t="shared" si="37"/>
        <v>0</v>
      </c>
      <c r="R113" s="264">
        <f t="shared" si="37"/>
        <v>0</v>
      </c>
      <c r="S113" s="264">
        <f t="shared" si="37"/>
        <v>0</v>
      </c>
      <c r="T113" s="264">
        <f t="shared" si="37"/>
        <v>0</v>
      </c>
      <c r="U113" s="264">
        <f t="shared" si="37"/>
        <v>0</v>
      </c>
      <c r="V113" s="264">
        <f t="shared" si="37"/>
        <v>0</v>
      </c>
      <c r="W113" s="264">
        <f t="shared" si="37"/>
        <v>0</v>
      </c>
      <c r="X113" s="264">
        <f t="shared" si="37"/>
        <v>0</v>
      </c>
      <c r="Y113" s="264">
        <f t="shared" si="37"/>
        <v>0</v>
      </c>
      <c r="Z113" s="264"/>
      <c r="AB113" s="24"/>
      <c r="AC113" s="24"/>
      <c r="AD113" s="24"/>
      <c r="AE113" s="24"/>
      <c r="AF113" s="24"/>
      <c r="AG113" s="24"/>
      <c r="AH113" s="24"/>
      <c r="AI113" s="24"/>
      <c r="AJ113" s="24"/>
    </row>
    <row r="114" spans="1:36">
      <c r="A114" s="24"/>
      <c r="B114" s="24"/>
      <c r="C114" s="24" t="s">
        <v>982</v>
      </c>
      <c r="D114" s="24"/>
      <c r="E114" s="264">
        <f t="shared" si="37"/>
        <v>0</v>
      </c>
      <c r="F114" s="264">
        <f t="shared" si="37"/>
        <v>0</v>
      </c>
      <c r="G114" s="264">
        <f t="shared" si="37"/>
        <v>0</v>
      </c>
      <c r="H114" s="264">
        <f t="shared" si="37"/>
        <v>0</v>
      </c>
      <c r="I114" s="264">
        <f t="shared" si="37"/>
        <v>0</v>
      </c>
      <c r="J114" s="264">
        <f t="shared" si="37"/>
        <v>0</v>
      </c>
      <c r="K114" s="264">
        <f t="shared" si="37"/>
        <v>0</v>
      </c>
      <c r="L114" s="264">
        <f t="shared" si="37"/>
        <v>0</v>
      </c>
      <c r="M114" s="264">
        <f t="shared" si="37"/>
        <v>0</v>
      </c>
      <c r="N114" s="264">
        <f t="shared" si="37"/>
        <v>0</v>
      </c>
      <c r="O114" s="264">
        <f t="shared" si="37"/>
        <v>0</v>
      </c>
      <c r="P114" s="264">
        <f t="shared" si="37"/>
        <v>0</v>
      </c>
      <c r="Q114" s="264">
        <f t="shared" si="37"/>
        <v>0</v>
      </c>
      <c r="R114" s="264">
        <f t="shared" si="37"/>
        <v>0</v>
      </c>
      <c r="S114" s="264">
        <f t="shared" si="37"/>
        <v>0</v>
      </c>
      <c r="T114" s="264">
        <f t="shared" si="37"/>
        <v>0</v>
      </c>
      <c r="U114" s="264">
        <f t="shared" si="37"/>
        <v>0</v>
      </c>
      <c r="V114" s="264">
        <f t="shared" si="37"/>
        <v>0</v>
      </c>
      <c r="W114" s="264">
        <f t="shared" si="37"/>
        <v>0</v>
      </c>
      <c r="X114" s="264">
        <f t="shared" si="37"/>
        <v>0</v>
      </c>
      <c r="Y114" s="264">
        <f t="shared" si="37"/>
        <v>0</v>
      </c>
      <c r="Z114" s="264"/>
      <c r="AB114" s="24"/>
      <c r="AC114" s="24"/>
      <c r="AD114" s="24"/>
      <c r="AE114" s="24"/>
      <c r="AF114" s="24"/>
      <c r="AG114" s="24"/>
      <c r="AH114" s="24"/>
      <c r="AI114" s="24"/>
      <c r="AJ114" s="24"/>
    </row>
    <row r="115" spans="1:36">
      <c r="A115" s="24"/>
      <c r="B115" s="24"/>
      <c r="C115" s="24" t="s">
        <v>983</v>
      </c>
      <c r="D115" s="24"/>
      <c r="E115" s="264">
        <f t="shared" si="37"/>
        <v>0</v>
      </c>
      <c r="F115" s="264">
        <f t="shared" si="37"/>
        <v>0</v>
      </c>
      <c r="G115" s="264">
        <f t="shared" si="37"/>
        <v>0</v>
      </c>
      <c r="H115" s="264">
        <f t="shared" si="37"/>
        <v>0</v>
      </c>
      <c r="I115" s="264">
        <f t="shared" si="37"/>
        <v>0</v>
      </c>
      <c r="J115" s="264">
        <f t="shared" si="37"/>
        <v>0</v>
      </c>
      <c r="K115" s="264">
        <f t="shared" si="37"/>
        <v>0</v>
      </c>
      <c r="L115" s="264">
        <f t="shared" si="37"/>
        <v>0</v>
      </c>
      <c r="M115" s="264">
        <f t="shared" si="37"/>
        <v>0</v>
      </c>
      <c r="N115" s="264">
        <f t="shared" si="37"/>
        <v>0</v>
      </c>
      <c r="O115" s="264">
        <f t="shared" si="37"/>
        <v>0</v>
      </c>
      <c r="P115" s="264">
        <f t="shared" si="37"/>
        <v>0</v>
      </c>
      <c r="Q115" s="264">
        <f t="shared" si="37"/>
        <v>0</v>
      </c>
      <c r="R115" s="264">
        <f t="shared" si="37"/>
        <v>0</v>
      </c>
      <c r="S115" s="264">
        <f t="shared" si="37"/>
        <v>0</v>
      </c>
      <c r="T115" s="264">
        <f t="shared" si="37"/>
        <v>0</v>
      </c>
      <c r="U115" s="264">
        <f t="shared" si="37"/>
        <v>0</v>
      </c>
      <c r="V115" s="264">
        <f t="shared" si="37"/>
        <v>0</v>
      </c>
      <c r="W115" s="264">
        <f t="shared" si="37"/>
        <v>0</v>
      </c>
      <c r="X115" s="264">
        <f t="shared" si="37"/>
        <v>0</v>
      </c>
      <c r="Y115" s="264">
        <f t="shared" si="37"/>
        <v>0</v>
      </c>
      <c r="Z115" s="264"/>
      <c r="AB115" s="24"/>
      <c r="AC115" s="24"/>
      <c r="AD115" s="24"/>
      <c r="AE115" s="24"/>
      <c r="AF115" s="24"/>
      <c r="AG115" s="24"/>
      <c r="AH115" s="24"/>
      <c r="AI115" s="24"/>
      <c r="AJ115" s="24"/>
    </row>
    <row r="116" spans="1:36">
      <c r="A116" s="24"/>
      <c r="B116" s="24"/>
      <c r="C116" s="24" t="s">
        <v>984</v>
      </c>
      <c r="D116" s="24"/>
      <c r="E116" s="264">
        <f t="shared" si="37"/>
        <v>1.4829528373199521E-2</v>
      </c>
      <c r="F116" s="264">
        <f t="shared" si="37"/>
        <v>3.5350471867046415E-2</v>
      </c>
      <c r="G116" s="264">
        <f t="shared" si="37"/>
        <v>6.3335237980077258E-2</v>
      </c>
      <c r="H116" s="264">
        <f t="shared" si="37"/>
        <v>9.94550010227922E-2</v>
      </c>
      <c r="I116" s="264">
        <f t="shared" si="37"/>
        <v>0.14508904099810443</v>
      </c>
      <c r="J116" s="264">
        <f t="shared" si="37"/>
        <v>0.20362258306940118</v>
      </c>
      <c r="K116" s="264">
        <f t="shared" si="37"/>
        <v>0.27466176951692056</v>
      </c>
      <c r="L116" s="264">
        <f t="shared" si="37"/>
        <v>0.35595933621083531</v>
      </c>
      <c r="M116" s="264">
        <f t="shared" si="37"/>
        <v>0.44346581568467958</v>
      </c>
      <c r="N116" s="264">
        <f t="shared" si="37"/>
        <v>0.53207530782704615</v>
      </c>
      <c r="O116" s="264">
        <f t="shared" si="37"/>
        <v>0.57662299396341243</v>
      </c>
      <c r="P116" s="264">
        <f t="shared" si="37"/>
        <v>0.60719509749295653</v>
      </c>
      <c r="Q116" s="264">
        <f t="shared" si="37"/>
        <v>0.62548967741015504</v>
      </c>
      <c r="R116" s="264">
        <f t="shared" si="37"/>
        <v>0.63485688072088231</v>
      </c>
      <c r="S116" s="264">
        <f t="shared" si="37"/>
        <v>0.63887573012389565</v>
      </c>
      <c r="T116" s="264">
        <f t="shared" si="37"/>
        <v>0.64028763472161221</v>
      </c>
      <c r="U116" s="264">
        <f t="shared" si="37"/>
        <v>0.64068372242007299</v>
      </c>
      <c r="V116" s="264">
        <f t="shared" si="37"/>
        <v>0.64077005155370492</v>
      </c>
      <c r="W116" s="264">
        <f t="shared" si="37"/>
        <v>0.6407842416492231</v>
      </c>
      <c r="X116" s="264">
        <f t="shared" si="37"/>
        <v>0.64078594494380758</v>
      </c>
      <c r="Y116" s="264">
        <f t="shared" si="37"/>
        <v>3.2335758970495156</v>
      </c>
      <c r="Z116" s="264"/>
      <c r="AB116" s="24"/>
      <c r="AC116" s="24"/>
      <c r="AD116" s="24"/>
      <c r="AE116" s="24"/>
      <c r="AF116" s="24"/>
      <c r="AG116" s="24"/>
      <c r="AH116" s="24"/>
      <c r="AI116" s="24"/>
      <c r="AJ116" s="24"/>
    </row>
    <row r="117" spans="1:36">
      <c r="A117" s="24"/>
      <c r="B117" s="24"/>
      <c r="C117" s="24" t="s">
        <v>985</v>
      </c>
      <c r="D117" s="24"/>
      <c r="E117" s="264">
        <f t="shared" si="37"/>
        <v>0</v>
      </c>
      <c r="F117" s="264">
        <f t="shared" si="37"/>
        <v>0</v>
      </c>
      <c r="G117" s="264">
        <f t="shared" si="37"/>
        <v>0</v>
      </c>
      <c r="H117" s="264">
        <f t="shared" si="37"/>
        <v>0</v>
      </c>
      <c r="I117" s="264">
        <f t="shared" si="37"/>
        <v>0</v>
      </c>
      <c r="J117" s="264">
        <f t="shared" si="37"/>
        <v>0</v>
      </c>
      <c r="K117" s="264">
        <f t="shared" si="37"/>
        <v>0</v>
      </c>
      <c r="L117" s="264">
        <f t="shared" si="37"/>
        <v>0</v>
      </c>
      <c r="M117" s="264">
        <f t="shared" si="37"/>
        <v>0</v>
      </c>
      <c r="N117" s="264">
        <f t="shared" si="37"/>
        <v>0</v>
      </c>
      <c r="O117" s="264">
        <f t="shared" si="37"/>
        <v>0</v>
      </c>
      <c r="P117" s="264">
        <f t="shared" si="37"/>
        <v>0</v>
      </c>
      <c r="Q117" s="264">
        <f t="shared" si="37"/>
        <v>0</v>
      </c>
      <c r="R117" s="264">
        <f t="shared" si="37"/>
        <v>0</v>
      </c>
      <c r="S117" s="264">
        <f t="shared" si="37"/>
        <v>0</v>
      </c>
      <c r="T117" s="264">
        <f t="shared" si="37"/>
        <v>0</v>
      </c>
      <c r="U117" s="264">
        <f t="shared" si="37"/>
        <v>0</v>
      </c>
      <c r="V117" s="264">
        <f t="shared" si="37"/>
        <v>0</v>
      </c>
      <c r="W117" s="264">
        <f t="shared" si="37"/>
        <v>0</v>
      </c>
      <c r="X117" s="264">
        <f t="shared" si="37"/>
        <v>0</v>
      </c>
      <c r="Y117" s="264">
        <f t="shared" si="37"/>
        <v>0</v>
      </c>
      <c r="Z117" s="264"/>
      <c r="AB117" s="24"/>
      <c r="AC117" s="24"/>
      <c r="AD117" s="24"/>
      <c r="AE117" s="24"/>
      <c r="AF117" s="24"/>
      <c r="AG117" s="24"/>
      <c r="AH117" s="24"/>
      <c r="AI117" s="24"/>
      <c r="AJ117" s="24"/>
    </row>
    <row r="118" spans="1:36">
      <c r="A118" s="24"/>
      <c r="B118" s="24"/>
      <c r="C118" s="24" t="s">
        <v>986</v>
      </c>
      <c r="D118" s="24"/>
      <c r="E118" s="264">
        <f t="shared" si="37"/>
        <v>0</v>
      </c>
      <c r="F118" s="264">
        <f t="shared" si="37"/>
        <v>0</v>
      </c>
      <c r="G118" s="264">
        <f t="shared" si="37"/>
        <v>0</v>
      </c>
      <c r="H118" s="264">
        <f t="shared" si="37"/>
        <v>0</v>
      </c>
      <c r="I118" s="264">
        <f t="shared" si="37"/>
        <v>0</v>
      </c>
      <c r="J118" s="264">
        <f t="shared" si="37"/>
        <v>0</v>
      </c>
      <c r="K118" s="264">
        <f t="shared" si="37"/>
        <v>0</v>
      </c>
      <c r="L118" s="264">
        <f t="shared" si="37"/>
        <v>0</v>
      </c>
      <c r="M118" s="264">
        <f t="shared" si="37"/>
        <v>0</v>
      </c>
      <c r="N118" s="264">
        <f t="shared" si="37"/>
        <v>0</v>
      </c>
      <c r="O118" s="264">
        <f t="shared" si="37"/>
        <v>0</v>
      </c>
      <c r="P118" s="264">
        <f t="shared" si="37"/>
        <v>0</v>
      </c>
      <c r="Q118" s="264">
        <f t="shared" si="37"/>
        <v>0</v>
      </c>
      <c r="R118" s="264">
        <f t="shared" si="37"/>
        <v>0</v>
      </c>
      <c r="S118" s="264">
        <f t="shared" si="37"/>
        <v>0</v>
      </c>
      <c r="T118" s="264">
        <f t="shared" si="37"/>
        <v>0</v>
      </c>
      <c r="U118" s="264">
        <f t="shared" si="37"/>
        <v>0</v>
      </c>
      <c r="V118" s="264">
        <f t="shared" si="37"/>
        <v>0</v>
      </c>
      <c r="W118" s="264">
        <f t="shared" si="37"/>
        <v>0</v>
      </c>
      <c r="X118" s="264">
        <f t="shared" si="37"/>
        <v>0</v>
      </c>
      <c r="Y118" s="264">
        <f t="shared" si="37"/>
        <v>0</v>
      </c>
      <c r="Z118" s="264"/>
      <c r="AB118" s="24"/>
      <c r="AC118" s="24"/>
      <c r="AD118" s="24"/>
      <c r="AE118" s="24"/>
      <c r="AF118" s="24"/>
      <c r="AG118" s="24"/>
      <c r="AH118" s="24"/>
      <c r="AI118" s="24"/>
      <c r="AJ118" s="24"/>
    </row>
    <row r="119" spans="1:36">
      <c r="A119" s="24"/>
      <c r="B119" s="24"/>
      <c r="C119" s="24" t="s">
        <v>987</v>
      </c>
      <c r="D119" s="24"/>
      <c r="E119" s="264">
        <f t="shared" si="37"/>
        <v>0</v>
      </c>
      <c r="F119" s="264">
        <f t="shared" si="37"/>
        <v>0</v>
      </c>
      <c r="G119" s="264">
        <f t="shared" si="37"/>
        <v>0</v>
      </c>
      <c r="H119" s="264">
        <f t="shared" si="37"/>
        <v>0</v>
      </c>
      <c r="I119" s="264">
        <f t="shared" si="37"/>
        <v>0</v>
      </c>
      <c r="J119" s="264">
        <f t="shared" si="37"/>
        <v>0</v>
      </c>
      <c r="K119" s="264">
        <f t="shared" si="37"/>
        <v>0</v>
      </c>
      <c r="L119" s="264">
        <f t="shared" si="37"/>
        <v>0</v>
      </c>
      <c r="M119" s="264">
        <f t="shared" si="37"/>
        <v>0</v>
      </c>
      <c r="N119" s="264">
        <f t="shared" si="37"/>
        <v>0</v>
      </c>
      <c r="O119" s="264">
        <f t="shared" si="37"/>
        <v>0</v>
      </c>
      <c r="P119" s="264">
        <f t="shared" si="37"/>
        <v>0</v>
      </c>
      <c r="Q119" s="264">
        <f t="shared" si="37"/>
        <v>0</v>
      </c>
      <c r="R119" s="264">
        <f t="shared" si="37"/>
        <v>0</v>
      </c>
      <c r="S119" s="264">
        <f t="shared" si="37"/>
        <v>0</v>
      </c>
      <c r="T119" s="264">
        <f t="shared" si="37"/>
        <v>0</v>
      </c>
      <c r="U119" s="264">
        <f t="shared" si="37"/>
        <v>0</v>
      </c>
      <c r="V119" s="264">
        <f t="shared" si="37"/>
        <v>0</v>
      </c>
      <c r="W119" s="264">
        <f t="shared" si="37"/>
        <v>0</v>
      </c>
      <c r="X119" s="264">
        <f t="shared" si="37"/>
        <v>0</v>
      </c>
      <c r="Y119" s="264">
        <f t="shared" si="37"/>
        <v>0</v>
      </c>
      <c r="Z119" s="264"/>
      <c r="AB119" s="24"/>
      <c r="AC119" s="24"/>
      <c r="AD119" s="24"/>
      <c r="AE119" s="24"/>
      <c r="AF119" s="24"/>
      <c r="AG119" s="24"/>
      <c r="AH119" s="24"/>
      <c r="AI119" s="24"/>
      <c r="AJ119" s="24"/>
    </row>
    <row r="120" spans="1:36">
      <c r="A120" s="24"/>
      <c r="B120" s="24"/>
      <c r="C120" s="24" t="s">
        <v>988</v>
      </c>
      <c r="D120" s="24"/>
      <c r="E120" s="264">
        <f t="shared" si="37"/>
        <v>0</v>
      </c>
      <c r="F120" s="264">
        <f t="shared" si="37"/>
        <v>0</v>
      </c>
      <c r="G120" s="264">
        <f t="shared" si="37"/>
        <v>0</v>
      </c>
      <c r="H120" s="264">
        <f t="shared" si="37"/>
        <v>0</v>
      </c>
      <c r="I120" s="264">
        <f t="shared" si="37"/>
        <v>0</v>
      </c>
      <c r="J120" s="264">
        <f t="shared" si="37"/>
        <v>0</v>
      </c>
      <c r="K120" s="264">
        <f t="shared" si="37"/>
        <v>0</v>
      </c>
      <c r="L120" s="264">
        <f t="shared" si="37"/>
        <v>0</v>
      </c>
      <c r="M120" s="264">
        <f t="shared" si="37"/>
        <v>0</v>
      </c>
      <c r="N120" s="264">
        <f t="shared" si="37"/>
        <v>0</v>
      </c>
      <c r="O120" s="264">
        <f t="shared" si="37"/>
        <v>0</v>
      </c>
      <c r="P120" s="264">
        <f t="shared" si="37"/>
        <v>0</v>
      </c>
      <c r="Q120" s="264">
        <f t="shared" si="37"/>
        <v>0</v>
      </c>
      <c r="R120" s="264">
        <f t="shared" si="37"/>
        <v>0</v>
      </c>
      <c r="S120" s="264">
        <f t="shared" si="37"/>
        <v>0</v>
      </c>
      <c r="T120" s="264">
        <f t="shared" si="37"/>
        <v>0</v>
      </c>
      <c r="U120" s="264">
        <f t="shared" si="37"/>
        <v>0</v>
      </c>
      <c r="V120" s="264">
        <f t="shared" si="37"/>
        <v>0</v>
      </c>
      <c r="W120" s="264">
        <f t="shared" si="37"/>
        <v>0</v>
      </c>
      <c r="X120" s="264">
        <f t="shared" si="37"/>
        <v>0</v>
      </c>
      <c r="Y120" s="264">
        <f t="shared" si="37"/>
        <v>0</v>
      </c>
      <c r="Z120" s="264"/>
      <c r="AB120" s="24"/>
      <c r="AC120" s="24"/>
      <c r="AD120" s="24"/>
      <c r="AE120" s="24"/>
      <c r="AF120" s="24"/>
      <c r="AG120" s="24"/>
      <c r="AH120" s="24"/>
      <c r="AI120" s="24"/>
      <c r="AJ120" s="24"/>
    </row>
    <row r="121" spans="1:36">
      <c r="A121" s="24"/>
      <c r="B121" s="24"/>
      <c r="C121" s="24" t="s">
        <v>989</v>
      </c>
      <c r="D121" s="24"/>
      <c r="E121" s="264">
        <f t="shared" si="37"/>
        <v>0</v>
      </c>
      <c r="F121" s="264">
        <f t="shared" si="37"/>
        <v>0</v>
      </c>
      <c r="G121" s="264">
        <f t="shared" si="37"/>
        <v>0</v>
      </c>
      <c r="H121" s="264">
        <f t="shared" si="37"/>
        <v>0</v>
      </c>
      <c r="I121" s="264">
        <f t="shared" si="37"/>
        <v>0</v>
      </c>
      <c r="J121" s="264">
        <f t="shared" si="37"/>
        <v>0</v>
      </c>
      <c r="K121" s="264">
        <f t="shared" si="37"/>
        <v>0</v>
      </c>
      <c r="L121" s="264">
        <f t="shared" si="37"/>
        <v>0</v>
      </c>
      <c r="M121" s="264">
        <f t="shared" si="37"/>
        <v>0</v>
      </c>
      <c r="N121" s="264">
        <f t="shared" si="37"/>
        <v>0</v>
      </c>
      <c r="O121" s="264">
        <f t="shared" si="37"/>
        <v>0</v>
      </c>
      <c r="P121" s="264">
        <f t="shared" si="37"/>
        <v>0</v>
      </c>
      <c r="Q121" s="264">
        <f t="shared" si="37"/>
        <v>0</v>
      </c>
      <c r="R121" s="264">
        <f t="shared" si="37"/>
        <v>0</v>
      </c>
      <c r="S121" s="264">
        <f t="shared" si="37"/>
        <v>0</v>
      </c>
      <c r="T121" s="264">
        <f t="shared" si="37"/>
        <v>0</v>
      </c>
      <c r="U121" s="264">
        <f t="shared" si="37"/>
        <v>0</v>
      </c>
      <c r="V121" s="264">
        <f t="shared" si="37"/>
        <v>0</v>
      </c>
      <c r="W121" s="264">
        <f t="shared" si="37"/>
        <v>0</v>
      </c>
      <c r="X121" s="264">
        <f t="shared" si="37"/>
        <v>0</v>
      </c>
      <c r="Y121" s="264">
        <f t="shared" si="37"/>
        <v>0</v>
      </c>
      <c r="Z121" s="264"/>
      <c r="AB121" s="24"/>
      <c r="AC121" s="24"/>
      <c r="AD121" s="24"/>
      <c r="AE121" s="24"/>
      <c r="AF121" s="24"/>
      <c r="AG121" s="24"/>
      <c r="AH121" s="24"/>
      <c r="AI121" s="24"/>
      <c r="AJ121" s="24"/>
    </row>
    <row r="122" spans="1:36">
      <c r="A122" s="24"/>
      <c r="B122" s="24"/>
      <c r="C122" s="24" t="s">
        <v>990</v>
      </c>
      <c r="D122" s="24"/>
      <c r="E122" s="264">
        <f t="shared" si="37"/>
        <v>0</v>
      </c>
      <c r="F122" s="264">
        <f t="shared" si="37"/>
        <v>0</v>
      </c>
      <c r="G122" s="264">
        <f t="shared" si="37"/>
        <v>0</v>
      </c>
      <c r="H122" s="264">
        <f t="shared" ref="H122:Y137" si="38">H85-H84</f>
        <v>0</v>
      </c>
      <c r="I122" s="264">
        <f t="shared" si="38"/>
        <v>0</v>
      </c>
      <c r="J122" s="264">
        <f t="shared" si="38"/>
        <v>0</v>
      </c>
      <c r="K122" s="264">
        <f t="shared" si="38"/>
        <v>0</v>
      </c>
      <c r="L122" s="264">
        <f t="shared" si="38"/>
        <v>0</v>
      </c>
      <c r="M122" s="264">
        <f t="shared" si="38"/>
        <v>0</v>
      </c>
      <c r="N122" s="264">
        <f t="shared" si="38"/>
        <v>0</v>
      </c>
      <c r="O122" s="264">
        <f t="shared" si="38"/>
        <v>0</v>
      </c>
      <c r="P122" s="264">
        <f t="shared" si="38"/>
        <v>0</v>
      </c>
      <c r="Q122" s="264">
        <f t="shared" si="38"/>
        <v>0</v>
      </c>
      <c r="R122" s="264">
        <f t="shared" si="38"/>
        <v>0</v>
      </c>
      <c r="S122" s="264">
        <f t="shared" si="38"/>
        <v>0</v>
      </c>
      <c r="T122" s="264">
        <f t="shared" si="38"/>
        <v>0</v>
      </c>
      <c r="U122" s="264">
        <f t="shared" si="38"/>
        <v>0</v>
      </c>
      <c r="V122" s="264">
        <f t="shared" si="38"/>
        <v>0</v>
      </c>
      <c r="W122" s="264">
        <f t="shared" si="38"/>
        <v>0</v>
      </c>
      <c r="X122" s="264">
        <f t="shared" si="38"/>
        <v>0</v>
      </c>
      <c r="Y122" s="264">
        <f t="shared" si="38"/>
        <v>0</v>
      </c>
      <c r="Z122" s="264"/>
      <c r="AB122" s="24"/>
      <c r="AC122" s="24"/>
      <c r="AD122" s="24"/>
      <c r="AE122" s="24"/>
      <c r="AF122" s="24"/>
      <c r="AG122" s="24"/>
      <c r="AH122" s="24"/>
      <c r="AI122" s="24"/>
      <c r="AJ122" s="24"/>
    </row>
    <row r="123" spans="1:36">
      <c r="A123" s="24"/>
      <c r="B123" s="24"/>
      <c r="C123" s="24" t="s">
        <v>991</v>
      </c>
      <c r="D123" s="24"/>
      <c r="E123" s="264">
        <f t="shared" ref="E123:X135" si="39">E86-E85</f>
        <v>0</v>
      </c>
      <c r="F123" s="264">
        <f t="shared" si="39"/>
        <v>0</v>
      </c>
      <c r="G123" s="264">
        <f t="shared" si="39"/>
        <v>0</v>
      </c>
      <c r="H123" s="264">
        <f t="shared" si="39"/>
        <v>0</v>
      </c>
      <c r="I123" s="264">
        <f t="shared" si="39"/>
        <v>0</v>
      </c>
      <c r="J123" s="264">
        <f t="shared" si="39"/>
        <v>0</v>
      </c>
      <c r="K123" s="264">
        <f t="shared" si="39"/>
        <v>0</v>
      </c>
      <c r="L123" s="264">
        <f t="shared" si="39"/>
        <v>0</v>
      </c>
      <c r="M123" s="264">
        <f t="shared" si="39"/>
        <v>0</v>
      </c>
      <c r="N123" s="264">
        <f t="shared" si="39"/>
        <v>0</v>
      </c>
      <c r="O123" s="264">
        <f t="shared" si="39"/>
        <v>0</v>
      </c>
      <c r="P123" s="264">
        <f t="shared" si="39"/>
        <v>0</v>
      </c>
      <c r="Q123" s="264">
        <f t="shared" si="39"/>
        <v>0</v>
      </c>
      <c r="R123" s="264">
        <f t="shared" si="39"/>
        <v>0</v>
      </c>
      <c r="S123" s="264">
        <f t="shared" si="39"/>
        <v>0</v>
      </c>
      <c r="T123" s="264">
        <f t="shared" si="39"/>
        <v>0</v>
      </c>
      <c r="U123" s="264">
        <f t="shared" si="39"/>
        <v>0</v>
      </c>
      <c r="V123" s="264">
        <f t="shared" si="39"/>
        <v>0</v>
      </c>
      <c r="W123" s="264">
        <f t="shared" si="39"/>
        <v>0</v>
      </c>
      <c r="X123" s="264">
        <f t="shared" si="39"/>
        <v>0</v>
      </c>
      <c r="Y123" s="264">
        <f t="shared" si="38"/>
        <v>0</v>
      </c>
      <c r="Z123" s="264"/>
      <c r="AB123" s="24"/>
      <c r="AC123" s="24"/>
      <c r="AD123" s="24"/>
      <c r="AE123" s="24"/>
      <c r="AF123" s="24"/>
      <c r="AG123" s="24"/>
      <c r="AH123" s="24"/>
      <c r="AI123" s="24"/>
      <c r="AJ123" s="24"/>
    </row>
    <row r="124" spans="1:36">
      <c r="A124" s="24"/>
      <c r="B124" s="24"/>
      <c r="C124" s="24" t="s">
        <v>992</v>
      </c>
      <c r="D124" s="24"/>
      <c r="E124" s="264">
        <f t="shared" si="39"/>
        <v>2.005150930931815E-3</v>
      </c>
      <c r="F124" s="264">
        <f t="shared" si="39"/>
        <v>4.7798574431530683E-3</v>
      </c>
      <c r="G124" s="264">
        <f t="shared" si="39"/>
        <v>8.5637727782397755E-3</v>
      </c>
      <c r="H124" s="264">
        <f t="shared" si="39"/>
        <v>1.3447648695765702E-2</v>
      </c>
      <c r="I124" s="264">
        <f t="shared" si="39"/>
        <v>1.9617982332541639E-2</v>
      </c>
      <c r="J124" s="264">
        <f t="shared" si="39"/>
        <v>2.7532501487925631E-2</v>
      </c>
      <c r="K124" s="264">
        <f t="shared" si="39"/>
        <v>3.7137951321064788E-2</v>
      </c>
      <c r="L124" s="264">
        <f t="shared" si="39"/>
        <v>4.8130471611420145E-2</v>
      </c>
      <c r="M124" s="264">
        <f t="shared" si="39"/>
        <v>5.996252010034242E-2</v>
      </c>
      <c r="N124" s="264">
        <f t="shared" si="39"/>
        <v>7.1943710680871131E-2</v>
      </c>
      <c r="O124" s="264">
        <f t="shared" si="39"/>
        <v>7.7967154723004306E-2</v>
      </c>
      <c r="P124" s="264">
        <f t="shared" si="39"/>
        <v>8.2100912743495069E-2</v>
      </c>
      <c r="Q124" s="264">
        <f t="shared" si="39"/>
        <v>8.4574585070004815E-2</v>
      </c>
      <c r="R124" s="264">
        <f t="shared" si="39"/>
        <v>8.5841156464998125E-2</v>
      </c>
      <c r="S124" s="264">
        <f t="shared" si="39"/>
        <v>8.6384558751229079E-2</v>
      </c>
      <c r="T124" s="264">
        <f t="shared" si="39"/>
        <v>8.6575467170381337E-2</v>
      </c>
      <c r="U124" s="264">
        <f t="shared" si="39"/>
        <v>8.662902353423263E-2</v>
      </c>
      <c r="V124" s="264">
        <f t="shared" si="39"/>
        <v>8.6640696389788996E-2</v>
      </c>
      <c r="W124" s="264">
        <f t="shared" si="39"/>
        <v>8.6642615080830154E-2</v>
      </c>
      <c r="X124" s="264">
        <f t="shared" si="39"/>
        <v>8.6642845389079959E-2</v>
      </c>
      <c r="Y124" s="264">
        <f t="shared" si="38"/>
        <v>0.43722278666159831</v>
      </c>
      <c r="Z124" s="264"/>
      <c r="AB124" s="24"/>
      <c r="AC124" s="24"/>
      <c r="AD124" s="24"/>
      <c r="AE124" s="24"/>
      <c r="AF124" s="24"/>
      <c r="AG124" s="24"/>
      <c r="AH124" s="24"/>
      <c r="AI124" s="24"/>
      <c r="AJ124" s="24"/>
    </row>
    <row r="125" spans="1:36">
      <c r="A125" s="24"/>
      <c r="B125" s="24"/>
      <c r="C125" s="24" t="s">
        <v>993</v>
      </c>
      <c r="D125" s="24"/>
      <c r="E125" s="264">
        <f t="shared" si="39"/>
        <v>0</v>
      </c>
      <c r="F125" s="264">
        <f t="shared" si="39"/>
        <v>0</v>
      </c>
      <c r="G125" s="264">
        <f t="shared" si="39"/>
        <v>0</v>
      </c>
      <c r="H125" s="264">
        <f t="shared" si="39"/>
        <v>0</v>
      </c>
      <c r="I125" s="264">
        <f t="shared" si="39"/>
        <v>0</v>
      </c>
      <c r="J125" s="264">
        <f t="shared" si="39"/>
        <v>0</v>
      </c>
      <c r="K125" s="264">
        <f t="shared" si="39"/>
        <v>0</v>
      </c>
      <c r="L125" s="264">
        <f t="shared" si="39"/>
        <v>0</v>
      </c>
      <c r="M125" s="264">
        <f t="shared" si="39"/>
        <v>0</v>
      </c>
      <c r="N125" s="264">
        <f t="shared" si="39"/>
        <v>0</v>
      </c>
      <c r="O125" s="264">
        <f t="shared" si="39"/>
        <v>0</v>
      </c>
      <c r="P125" s="264">
        <f t="shared" si="39"/>
        <v>0</v>
      </c>
      <c r="Q125" s="264">
        <f t="shared" si="39"/>
        <v>0</v>
      </c>
      <c r="R125" s="264">
        <f t="shared" si="39"/>
        <v>0</v>
      </c>
      <c r="S125" s="264">
        <f t="shared" si="39"/>
        <v>0</v>
      </c>
      <c r="T125" s="264">
        <f t="shared" si="39"/>
        <v>0</v>
      </c>
      <c r="U125" s="264">
        <f t="shared" si="39"/>
        <v>0</v>
      </c>
      <c r="V125" s="264">
        <f t="shared" si="39"/>
        <v>0</v>
      </c>
      <c r="W125" s="264">
        <f t="shared" si="39"/>
        <v>0</v>
      </c>
      <c r="X125" s="264">
        <f t="shared" si="39"/>
        <v>0</v>
      </c>
      <c r="Y125" s="264">
        <f t="shared" si="38"/>
        <v>0</v>
      </c>
      <c r="Z125" s="264"/>
      <c r="AB125" s="24"/>
      <c r="AC125" s="24"/>
      <c r="AD125" s="24"/>
      <c r="AE125" s="24"/>
      <c r="AF125" s="24"/>
      <c r="AG125" s="24"/>
      <c r="AH125" s="24"/>
      <c r="AI125" s="24"/>
      <c r="AJ125" s="24"/>
    </row>
    <row r="126" spans="1:36">
      <c r="A126" s="24"/>
      <c r="B126" s="24"/>
      <c r="C126" s="24" t="s">
        <v>994</v>
      </c>
      <c r="D126" s="24"/>
      <c r="E126" s="264">
        <f t="shared" si="39"/>
        <v>0</v>
      </c>
      <c r="F126" s="264">
        <f t="shared" si="39"/>
        <v>0</v>
      </c>
      <c r="G126" s="264">
        <f t="shared" si="39"/>
        <v>0</v>
      </c>
      <c r="H126" s="264">
        <f t="shared" si="39"/>
        <v>0</v>
      </c>
      <c r="I126" s="264">
        <f t="shared" si="39"/>
        <v>0</v>
      </c>
      <c r="J126" s="264">
        <f t="shared" si="39"/>
        <v>0</v>
      </c>
      <c r="K126" s="264">
        <f t="shared" si="39"/>
        <v>0</v>
      </c>
      <c r="L126" s="264">
        <f t="shared" si="39"/>
        <v>0</v>
      </c>
      <c r="M126" s="264">
        <f t="shared" si="39"/>
        <v>0</v>
      </c>
      <c r="N126" s="264">
        <f t="shared" si="39"/>
        <v>0</v>
      </c>
      <c r="O126" s="264">
        <f t="shared" si="39"/>
        <v>0</v>
      </c>
      <c r="P126" s="264">
        <f t="shared" si="39"/>
        <v>0</v>
      </c>
      <c r="Q126" s="264">
        <f t="shared" si="39"/>
        <v>0</v>
      </c>
      <c r="R126" s="264">
        <f t="shared" si="39"/>
        <v>0</v>
      </c>
      <c r="S126" s="264">
        <f t="shared" si="39"/>
        <v>0</v>
      </c>
      <c r="T126" s="264">
        <f t="shared" si="39"/>
        <v>0</v>
      </c>
      <c r="U126" s="264">
        <f t="shared" si="39"/>
        <v>0</v>
      </c>
      <c r="V126" s="264">
        <f t="shared" si="39"/>
        <v>0</v>
      </c>
      <c r="W126" s="264">
        <f t="shared" si="39"/>
        <v>0</v>
      </c>
      <c r="X126" s="264">
        <f t="shared" si="39"/>
        <v>0</v>
      </c>
      <c r="Y126" s="264">
        <f t="shared" si="38"/>
        <v>0</v>
      </c>
      <c r="Z126" s="264"/>
      <c r="AB126" s="24"/>
      <c r="AC126" s="24"/>
      <c r="AD126" s="24"/>
      <c r="AE126" s="24"/>
      <c r="AF126" s="24"/>
      <c r="AG126" s="24"/>
      <c r="AH126" s="24"/>
      <c r="AI126" s="24"/>
      <c r="AJ126" s="24"/>
    </row>
    <row r="127" spans="1:36">
      <c r="A127" s="24"/>
      <c r="B127" s="24"/>
      <c r="C127" s="24" t="s">
        <v>995</v>
      </c>
      <c r="D127" s="24"/>
      <c r="E127" s="264">
        <f t="shared" si="39"/>
        <v>0</v>
      </c>
      <c r="F127" s="264">
        <f t="shared" si="39"/>
        <v>0</v>
      </c>
      <c r="G127" s="264">
        <f t="shared" si="39"/>
        <v>0</v>
      </c>
      <c r="H127" s="264">
        <f t="shared" si="39"/>
        <v>0</v>
      </c>
      <c r="I127" s="264">
        <f t="shared" si="39"/>
        <v>0</v>
      </c>
      <c r="J127" s="264">
        <f t="shared" si="39"/>
        <v>0</v>
      </c>
      <c r="K127" s="264">
        <f t="shared" si="39"/>
        <v>0</v>
      </c>
      <c r="L127" s="264">
        <f t="shared" si="39"/>
        <v>0</v>
      </c>
      <c r="M127" s="264">
        <f t="shared" si="39"/>
        <v>0</v>
      </c>
      <c r="N127" s="264">
        <f t="shared" si="39"/>
        <v>0</v>
      </c>
      <c r="O127" s="264">
        <f t="shared" si="39"/>
        <v>0</v>
      </c>
      <c r="P127" s="264">
        <f t="shared" si="39"/>
        <v>0</v>
      </c>
      <c r="Q127" s="264">
        <f t="shared" si="39"/>
        <v>0</v>
      </c>
      <c r="R127" s="264">
        <f t="shared" si="39"/>
        <v>0</v>
      </c>
      <c r="S127" s="264">
        <f t="shared" si="39"/>
        <v>0</v>
      </c>
      <c r="T127" s="264">
        <f t="shared" si="39"/>
        <v>0</v>
      </c>
      <c r="U127" s="264">
        <f t="shared" si="39"/>
        <v>0</v>
      </c>
      <c r="V127" s="264">
        <f t="shared" si="39"/>
        <v>0</v>
      </c>
      <c r="W127" s="264">
        <f t="shared" si="39"/>
        <v>0</v>
      </c>
      <c r="X127" s="264">
        <f t="shared" si="39"/>
        <v>0</v>
      </c>
      <c r="Y127" s="264">
        <f t="shared" si="38"/>
        <v>0</v>
      </c>
      <c r="Z127" s="264"/>
      <c r="AB127" s="24"/>
      <c r="AC127" s="24"/>
      <c r="AD127" s="24"/>
      <c r="AE127" s="24"/>
      <c r="AF127" s="24"/>
      <c r="AG127" s="24"/>
      <c r="AH127" s="24"/>
      <c r="AI127" s="24"/>
      <c r="AJ127" s="24"/>
    </row>
    <row r="128" spans="1:36">
      <c r="A128" s="24"/>
      <c r="B128" s="24"/>
      <c r="C128" s="24" t="s">
        <v>996</v>
      </c>
      <c r="D128" s="24"/>
      <c r="E128" s="264">
        <f t="shared" si="39"/>
        <v>0</v>
      </c>
      <c r="F128" s="264">
        <f t="shared" si="39"/>
        <v>0</v>
      </c>
      <c r="G128" s="264">
        <f t="shared" si="39"/>
        <v>0</v>
      </c>
      <c r="H128" s="264">
        <f t="shared" si="39"/>
        <v>0</v>
      </c>
      <c r="I128" s="264">
        <f t="shared" si="39"/>
        <v>0</v>
      </c>
      <c r="J128" s="264">
        <f t="shared" si="39"/>
        <v>0</v>
      </c>
      <c r="K128" s="264">
        <f t="shared" si="39"/>
        <v>0</v>
      </c>
      <c r="L128" s="264">
        <f t="shared" si="39"/>
        <v>0</v>
      </c>
      <c r="M128" s="264">
        <f t="shared" si="39"/>
        <v>0</v>
      </c>
      <c r="N128" s="264">
        <f t="shared" si="39"/>
        <v>0</v>
      </c>
      <c r="O128" s="264">
        <f t="shared" si="39"/>
        <v>0</v>
      </c>
      <c r="P128" s="264">
        <f t="shared" si="39"/>
        <v>0</v>
      </c>
      <c r="Q128" s="264">
        <f t="shared" si="39"/>
        <v>0</v>
      </c>
      <c r="R128" s="264">
        <f t="shared" si="39"/>
        <v>0</v>
      </c>
      <c r="S128" s="264">
        <f t="shared" si="39"/>
        <v>0</v>
      </c>
      <c r="T128" s="264">
        <f t="shared" si="39"/>
        <v>0</v>
      </c>
      <c r="U128" s="264">
        <f t="shared" si="39"/>
        <v>0</v>
      </c>
      <c r="V128" s="264">
        <f t="shared" si="39"/>
        <v>0</v>
      </c>
      <c r="W128" s="264">
        <f t="shared" si="39"/>
        <v>0</v>
      </c>
      <c r="X128" s="264">
        <f t="shared" si="39"/>
        <v>0</v>
      </c>
      <c r="Y128" s="264">
        <f t="shared" si="38"/>
        <v>0</v>
      </c>
      <c r="Z128" s="264"/>
      <c r="AB128" s="24"/>
      <c r="AC128" s="24"/>
      <c r="AD128" s="24"/>
      <c r="AE128" s="24"/>
      <c r="AF128" s="24"/>
      <c r="AG128" s="24"/>
      <c r="AH128" s="24"/>
      <c r="AI128" s="24"/>
      <c r="AJ128" s="24"/>
    </row>
    <row r="129" spans="1:36">
      <c r="A129" s="24"/>
      <c r="B129" s="24"/>
      <c r="C129" s="24" t="s">
        <v>997</v>
      </c>
      <c r="D129" s="24"/>
      <c r="E129" s="264">
        <f t="shared" si="39"/>
        <v>0</v>
      </c>
      <c r="F129" s="264">
        <f t="shared" si="39"/>
        <v>0</v>
      </c>
      <c r="G129" s="264">
        <f t="shared" si="39"/>
        <v>0</v>
      </c>
      <c r="H129" s="264">
        <f t="shared" si="39"/>
        <v>0</v>
      </c>
      <c r="I129" s="264">
        <f t="shared" si="39"/>
        <v>0</v>
      </c>
      <c r="J129" s="264">
        <f t="shared" si="39"/>
        <v>0</v>
      </c>
      <c r="K129" s="264">
        <f t="shared" si="39"/>
        <v>0</v>
      </c>
      <c r="L129" s="264">
        <f t="shared" si="39"/>
        <v>0</v>
      </c>
      <c r="M129" s="264">
        <f t="shared" si="39"/>
        <v>0</v>
      </c>
      <c r="N129" s="264">
        <f t="shared" si="39"/>
        <v>0</v>
      </c>
      <c r="O129" s="264">
        <f t="shared" si="39"/>
        <v>0</v>
      </c>
      <c r="P129" s="264">
        <f t="shared" si="39"/>
        <v>0</v>
      </c>
      <c r="Q129" s="264">
        <f t="shared" si="39"/>
        <v>0</v>
      </c>
      <c r="R129" s="264">
        <f t="shared" si="39"/>
        <v>0</v>
      </c>
      <c r="S129" s="264">
        <f t="shared" si="39"/>
        <v>0</v>
      </c>
      <c r="T129" s="264">
        <f t="shared" si="39"/>
        <v>0</v>
      </c>
      <c r="U129" s="264">
        <f t="shared" si="39"/>
        <v>0</v>
      </c>
      <c r="V129" s="264">
        <f t="shared" si="39"/>
        <v>0</v>
      </c>
      <c r="W129" s="264">
        <f t="shared" si="39"/>
        <v>0</v>
      </c>
      <c r="X129" s="264">
        <f t="shared" si="39"/>
        <v>0</v>
      </c>
      <c r="Y129" s="264">
        <f t="shared" si="38"/>
        <v>0</v>
      </c>
      <c r="Z129" s="264"/>
      <c r="AB129" s="24"/>
      <c r="AC129" s="24"/>
      <c r="AD129" s="24"/>
      <c r="AE129" s="24"/>
      <c r="AF129" s="24"/>
      <c r="AG129" s="24"/>
      <c r="AH129" s="24"/>
      <c r="AI129" s="24"/>
      <c r="AJ129" s="24"/>
    </row>
    <row r="130" spans="1:36">
      <c r="A130" s="24"/>
      <c r="B130" s="24"/>
      <c r="C130" s="24" t="s">
        <v>1146</v>
      </c>
      <c r="D130" s="24"/>
      <c r="E130" s="264">
        <f t="shared" si="39"/>
        <v>0</v>
      </c>
      <c r="F130" s="264">
        <f t="shared" si="39"/>
        <v>0</v>
      </c>
      <c r="G130" s="264">
        <f t="shared" si="39"/>
        <v>0</v>
      </c>
      <c r="H130" s="264">
        <f t="shared" si="39"/>
        <v>0</v>
      </c>
      <c r="I130" s="264">
        <f t="shared" si="39"/>
        <v>0</v>
      </c>
      <c r="J130" s="264">
        <f t="shared" si="39"/>
        <v>0</v>
      </c>
      <c r="K130" s="264">
        <f t="shared" si="39"/>
        <v>0</v>
      </c>
      <c r="L130" s="264">
        <f t="shared" si="39"/>
        <v>0</v>
      </c>
      <c r="M130" s="264">
        <f t="shared" si="39"/>
        <v>0</v>
      </c>
      <c r="N130" s="264">
        <f t="shared" si="39"/>
        <v>0</v>
      </c>
      <c r="O130" s="264">
        <f t="shared" si="39"/>
        <v>0</v>
      </c>
      <c r="P130" s="264">
        <f t="shared" si="39"/>
        <v>0</v>
      </c>
      <c r="Q130" s="264">
        <f t="shared" si="39"/>
        <v>0</v>
      </c>
      <c r="R130" s="264">
        <f t="shared" si="39"/>
        <v>0</v>
      </c>
      <c r="S130" s="264">
        <f t="shared" si="39"/>
        <v>0</v>
      </c>
      <c r="T130" s="264">
        <f t="shared" si="39"/>
        <v>0</v>
      </c>
      <c r="U130" s="264">
        <f t="shared" si="39"/>
        <v>0</v>
      </c>
      <c r="V130" s="264">
        <f t="shared" si="39"/>
        <v>0</v>
      </c>
      <c r="W130" s="264">
        <f t="shared" si="39"/>
        <v>0</v>
      </c>
      <c r="X130" s="264">
        <f t="shared" si="39"/>
        <v>0</v>
      </c>
      <c r="Y130" s="264">
        <f t="shared" si="38"/>
        <v>0</v>
      </c>
      <c r="Z130" s="264"/>
      <c r="AB130" s="24"/>
      <c r="AC130" s="24"/>
      <c r="AD130" s="24"/>
      <c r="AE130" s="24"/>
      <c r="AF130" s="24"/>
      <c r="AG130" s="24"/>
      <c r="AH130" s="24"/>
      <c r="AI130" s="24"/>
      <c r="AJ130" s="24"/>
    </row>
    <row r="131" spans="1:36">
      <c r="A131" s="24"/>
      <c r="B131" s="24"/>
      <c r="C131" s="24" t="s">
        <v>1149</v>
      </c>
      <c r="D131" s="24"/>
      <c r="E131" s="264">
        <f t="shared" si="39"/>
        <v>0</v>
      </c>
      <c r="F131" s="264">
        <f t="shared" si="39"/>
        <v>0</v>
      </c>
      <c r="G131" s="264">
        <f t="shared" si="39"/>
        <v>0</v>
      </c>
      <c r="H131" s="264">
        <f t="shared" si="39"/>
        <v>0</v>
      </c>
      <c r="I131" s="264">
        <f t="shared" si="39"/>
        <v>0</v>
      </c>
      <c r="J131" s="264">
        <f t="shared" si="39"/>
        <v>0</v>
      </c>
      <c r="K131" s="264">
        <f t="shared" si="39"/>
        <v>0</v>
      </c>
      <c r="L131" s="264">
        <f t="shared" si="39"/>
        <v>0</v>
      </c>
      <c r="M131" s="264">
        <f t="shared" si="39"/>
        <v>0</v>
      </c>
      <c r="N131" s="264">
        <f t="shared" si="39"/>
        <v>0</v>
      </c>
      <c r="O131" s="264">
        <f t="shared" si="39"/>
        <v>0</v>
      </c>
      <c r="P131" s="264">
        <f t="shared" si="39"/>
        <v>0</v>
      </c>
      <c r="Q131" s="264">
        <f t="shared" si="39"/>
        <v>0</v>
      </c>
      <c r="R131" s="264">
        <f t="shared" si="39"/>
        <v>0</v>
      </c>
      <c r="S131" s="264">
        <f t="shared" si="39"/>
        <v>0</v>
      </c>
      <c r="T131" s="264">
        <f t="shared" si="39"/>
        <v>0</v>
      </c>
      <c r="U131" s="264">
        <f t="shared" si="39"/>
        <v>0</v>
      </c>
      <c r="V131" s="264">
        <f t="shared" si="39"/>
        <v>0</v>
      </c>
      <c r="W131" s="264">
        <f t="shared" si="39"/>
        <v>0</v>
      </c>
      <c r="X131" s="264">
        <f t="shared" si="39"/>
        <v>0</v>
      </c>
      <c r="Y131" s="264">
        <f t="shared" si="38"/>
        <v>0</v>
      </c>
      <c r="Z131" s="264"/>
      <c r="AB131" s="24"/>
      <c r="AC131" s="24"/>
      <c r="AD131" s="24"/>
      <c r="AE131" s="24"/>
      <c r="AF131" s="24"/>
      <c r="AG131" s="24"/>
      <c r="AH131" s="24"/>
      <c r="AI131" s="24"/>
      <c r="AJ131" s="24"/>
    </row>
    <row r="132" spans="1:36">
      <c r="A132" s="24"/>
      <c r="B132" s="24"/>
      <c r="C132" s="24" t="s">
        <v>1152</v>
      </c>
      <c r="D132" s="24"/>
      <c r="E132" s="264">
        <f t="shared" si="39"/>
        <v>0</v>
      </c>
      <c r="F132" s="264">
        <f t="shared" si="39"/>
        <v>0</v>
      </c>
      <c r="G132" s="264">
        <f t="shared" si="39"/>
        <v>0</v>
      </c>
      <c r="H132" s="264">
        <f t="shared" si="39"/>
        <v>0</v>
      </c>
      <c r="I132" s="264">
        <f t="shared" si="39"/>
        <v>0</v>
      </c>
      <c r="J132" s="264">
        <f t="shared" si="39"/>
        <v>0</v>
      </c>
      <c r="K132" s="264">
        <f t="shared" si="39"/>
        <v>0</v>
      </c>
      <c r="L132" s="264">
        <f t="shared" si="39"/>
        <v>0</v>
      </c>
      <c r="M132" s="264">
        <f t="shared" si="39"/>
        <v>0</v>
      </c>
      <c r="N132" s="264">
        <f t="shared" si="39"/>
        <v>0</v>
      </c>
      <c r="O132" s="264">
        <f t="shared" si="39"/>
        <v>0</v>
      </c>
      <c r="P132" s="264">
        <f t="shared" si="39"/>
        <v>0</v>
      </c>
      <c r="Q132" s="264">
        <f t="shared" si="39"/>
        <v>0</v>
      </c>
      <c r="R132" s="264">
        <f t="shared" si="39"/>
        <v>0</v>
      </c>
      <c r="S132" s="264">
        <f t="shared" si="39"/>
        <v>0</v>
      </c>
      <c r="T132" s="264">
        <f t="shared" si="39"/>
        <v>0</v>
      </c>
      <c r="U132" s="264">
        <f t="shared" si="39"/>
        <v>0</v>
      </c>
      <c r="V132" s="264">
        <f t="shared" si="39"/>
        <v>0</v>
      </c>
      <c r="W132" s="264">
        <f t="shared" si="39"/>
        <v>0</v>
      </c>
      <c r="X132" s="264">
        <f t="shared" si="39"/>
        <v>0</v>
      </c>
      <c r="Y132" s="264">
        <f t="shared" si="38"/>
        <v>0</v>
      </c>
      <c r="Z132" s="264"/>
      <c r="AB132" s="24"/>
      <c r="AC132" s="24"/>
      <c r="AD132" s="24"/>
      <c r="AE132" s="24"/>
      <c r="AF132" s="24"/>
      <c r="AG132" s="24"/>
      <c r="AH132" s="24"/>
      <c r="AI132" s="24"/>
      <c r="AJ132" s="24"/>
    </row>
    <row r="133" spans="1:36">
      <c r="A133" s="24"/>
      <c r="B133" s="24"/>
      <c r="C133" s="24" t="s">
        <v>1155</v>
      </c>
      <c r="D133" s="24"/>
      <c r="E133" s="264">
        <f t="shared" si="39"/>
        <v>0</v>
      </c>
      <c r="F133" s="264">
        <f t="shared" si="39"/>
        <v>0</v>
      </c>
      <c r="G133" s="264">
        <f t="shared" si="39"/>
        <v>0</v>
      </c>
      <c r="H133" s="264">
        <f t="shared" si="39"/>
        <v>0</v>
      </c>
      <c r="I133" s="264">
        <f t="shared" si="39"/>
        <v>0</v>
      </c>
      <c r="J133" s="264">
        <f t="shared" si="39"/>
        <v>0</v>
      </c>
      <c r="K133" s="264">
        <f t="shared" si="39"/>
        <v>0</v>
      </c>
      <c r="L133" s="264">
        <f t="shared" si="39"/>
        <v>0</v>
      </c>
      <c r="M133" s="264">
        <f t="shared" si="39"/>
        <v>0</v>
      </c>
      <c r="N133" s="264">
        <f t="shared" si="39"/>
        <v>0</v>
      </c>
      <c r="O133" s="264">
        <f t="shared" si="39"/>
        <v>0</v>
      </c>
      <c r="P133" s="264">
        <f t="shared" si="39"/>
        <v>0</v>
      </c>
      <c r="Q133" s="264">
        <f t="shared" si="39"/>
        <v>0</v>
      </c>
      <c r="R133" s="264">
        <f t="shared" si="39"/>
        <v>0</v>
      </c>
      <c r="S133" s="264">
        <f t="shared" si="39"/>
        <v>0</v>
      </c>
      <c r="T133" s="264">
        <f t="shared" si="39"/>
        <v>0</v>
      </c>
      <c r="U133" s="264">
        <f t="shared" si="39"/>
        <v>0</v>
      </c>
      <c r="V133" s="264">
        <f t="shared" si="39"/>
        <v>0</v>
      </c>
      <c r="W133" s="264">
        <f t="shared" si="39"/>
        <v>0</v>
      </c>
      <c r="X133" s="264">
        <f t="shared" si="39"/>
        <v>0</v>
      </c>
      <c r="Y133" s="264">
        <f t="shared" si="38"/>
        <v>0</v>
      </c>
      <c r="Z133" s="264"/>
      <c r="AB133" s="24"/>
      <c r="AC133" s="24"/>
      <c r="AD133" s="24"/>
      <c r="AE133" s="24"/>
      <c r="AF133" s="24"/>
      <c r="AG133" s="24"/>
      <c r="AH133" s="24"/>
      <c r="AI133" s="24"/>
      <c r="AJ133" s="24"/>
    </row>
    <row r="134" spans="1:36">
      <c r="A134" s="24"/>
      <c r="B134" s="24"/>
      <c r="C134" s="24" t="s">
        <v>1158</v>
      </c>
      <c r="D134" s="24"/>
      <c r="E134" s="264">
        <f t="shared" si="39"/>
        <v>0</v>
      </c>
      <c r="F134" s="264">
        <f t="shared" si="39"/>
        <v>0</v>
      </c>
      <c r="G134" s="264">
        <f t="shared" si="39"/>
        <v>0</v>
      </c>
      <c r="H134" s="264">
        <f t="shared" si="39"/>
        <v>0</v>
      </c>
      <c r="I134" s="264">
        <f t="shared" si="39"/>
        <v>0</v>
      </c>
      <c r="J134" s="264">
        <f t="shared" si="39"/>
        <v>0</v>
      </c>
      <c r="K134" s="264">
        <f t="shared" si="39"/>
        <v>0</v>
      </c>
      <c r="L134" s="264">
        <f t="shared" si="39"/>
        <v>0</v>
      </c>
      <c r="M134" s="264">
        <f t="shared" si="39"/>
        <v>0</v>
      </c>
      <c r="N134" s="264">
        <f t="shared" si="39"/>
        <v>0</v>
      </c>
      <c r="O134" s="264">
        <f t="shared" si="39"/>
        <v>0</v>
      </c>
      <c r="P134" s="264">
        <f t="shared" si="39"/>
        <v>0</v>
      </c>
      <c r="Q134" s="264">
        <f t="shared" si="39"/>
        <v>0</v>
      </c>
      <c r="R134" s="264">
        <f t="shared" si="39"/>
        <v>0</v>
      </c>
      <c r="S134" s="264">
        <f t="shared" si="39"/>
        <v>0</v>
      </c>
      <c r="T134" s="264">
        <f t="shared" si="39"/>
        <v>0</v>
      </c>
      <c r="U134" s="264">
        <f t="shared" si="39"/>
        <v>0</v>
      </c>
      <c r="V134" s="264">
        <f t="shared" si="39"/>
        <v>0</v>
      </c>
      <c r="W134" s="264">
        <f t="shared" si="39"/>
        <v>0</v>
      </c>
      <c r="X134" s="264">
        <f t="shared" si="39"/>
        <v>0</v>
      </c>
      <c r="Y134" s="264">
        <f t="shared" si="38"/>
        <v>0</v>
      </c>
      <c r="Z134" s="264"/>
      <c r="AB134" s="24"/>
      <c r="AC134" s="24"/>
      <c r="AD134" s="24"/>
      <c r="AE134" s="24"/>
      <c r="AF134" s="24"/>
      <c r="AG134" s="24"/>
      <c r="AH134" s="24"/>
      <c r="AI134" s="24"/>
      <c r="AJ134" s="24"/>
    </row>
    <row r="135" spans="1:36">
      <c r="A135" s="24"/>
      <c r="B135" s="24"/>
      <c r="C135" s="24" t="s">
        <v>1161</v>
      </c>
      <c r="D135" s="24"/>
      <c r="E135" s="264">
        <f t="shared" si="39"/>
        <v>0</v>
      </c>
      <c r="F135" s="264">
        <f t="shared" si="39"/>
        <v>0</v>
      </c>
      <c r="G135" s="264">
        <f t="shared" si="39"/>
        <v>0</v>
      </c>
      <c r="H135" s="264">
        <f t="shared" si="39"/>
        <v>0</v>
      </c>
      <c r="I135" s="264">
        <f t="shared" si="39"/>
        <v>0</v>
      </c>
      <c r="J135" s="264">
        <f t="shared" si="39"/>
        <v>0</v>
      </c>
      <c r="K135" s="264">
        <f t="shared" si="39"/>
        <v>0</v>
      </c>
      <c r="L135" s="264">
        <f t="shared" si="39"/>
        <v>0</v>
      </c>
      <c r="M135" s="264">
        <f t="shared" si="39"/>
        <v>0</v>
      </c>
      <c r="N135" s="264">
        <f t="shared" si="39"/>
        <v>0</v>
      </c>
      <c r="O135" s="264">
        <f t="shared" si="39"/>
        <v>0</v>
      </c>
      <c r="P135" s="264">
        <f t="shared" si="39"/>
        <v>0</v>
      </c>
      <c r="Q135" s="264">
        <f t="shared" si="39"/>
        <v>0</v>
      </c>
      <c r="R135" s="264">
        <f t="shared" si="39"/>
        <v>0</v>
      </c>
      <c r="S135" s="264">
        <f t="shared" si="39"/>
        <v>0</v>
      </c>
      <c r="T135" s="264">
        <f t="shared" ref="T135:X135" si="40">T98-T97</f>
        <v>0</v>
      </c>
      <c r="U135" s="264">
        <f t="shared" si="40"/>
        <v>0</v>
      </c>
      <c r="V135" s="264">
        <f t="shared" si="40"/>
        <v>0</v>
      </c>
      <c r="W135" s="264">
        <f t="shared" si="40"/>
        <v>0</v>
      </c>
      <c r="X135" s="264">
        <f t="shared" si="40"/>
        <v>0</v>
      </c>
      <c r="Y135" s="264">
        <f t="shared" si="38"/>
        <v>0</v>
      </c>
      <c r="Z135" s="264"/>
      <c r="AB135" s="24"/>
      <c r="AC135" s="24"/>
      <c r="AD135" s="24"/>
      <c r="AE135" s="24"/>
      <c r="AF135" s="24"/>
      <c r="AG135" s="24"/>
      <c r="AH135" s="24"/>
      <c r="AI135" s="24"/>
      <c r="AJ135" s="24"/>
    </row>
    <row r="136" spans="1:36">
      <c r="A136" s="24"/>
      <c r="B136" s="24"/>
      <c r="C136" s="24" t="s">
        <v>1164</v>
      </c>
      <c r="D136" s="24"/>
      <c r="E136" s="264">
        <f t="shared" ref="E136:X140" si="41">E99-E98</f>
        <v>0</v>
      </c>
      <c r="F136" s="264">
        <f t="shared" si="41"/>
        <v>0</v>
      </c>
      <c r="G136" s="264">
        <f t="shared" si="41"/>
        <v>0</v>
      </c>
      <c r="H136" s="264">
        <f t="shared" si="41"/>
        <v>0</v>
      </c>
      <c r="I136" s="264">
        <f t="shared" si="41"/>
        <v>0</v>
      </c>
      <c r="J136" s="264">
        <f t="shared" si="41"/>
        <v>0</v>
      </c>
      <c r="K136" s="264">
        <f t="shared" si="41"/>
        <v>0</v>
      </c>
      <c r="L136" s="264">
        <f t="shared" si="41"/>
        <v>0</v>
      </c>
      <c r="M136" s="264">
        <f t="shared" si="41"/>
        <v>0</v>
      </c>
      <c r="N136" s="264">
        <f t="shared" si="41"/>
        <v>0</v>
      </c>
      <c r="O136" s="264">
        <f t="shared" si="41"/>
        <v>0</v>
      </c>
      <c r="P136" s="264">
        <f t="shared" si="41"/>
        <v>0</v>
      </c>
      <c r="Q136" s="264">
        <f t="shared" si="41"/>
        <v>0</v>
      </c>
      <c r="R136" s="264">
        <f t="shared" si="41"/>
        <v>0</v>
      </c>
      <c r="S136" s="264">
        <f t="shared" si="41"/>
        <v>0</v>
      </c>
      <c r="T136" s="264">
        <f t="shared" si="41"/>
        <v>0</v>
      </c>
      <c r="U136" s="264">
        <f t="shared" si="41"/>
        <v>0</v>
      </c>
      <c r="V136" s="264">
        <f t="shared" si="41"/>
        <v>0</v>
      </c>
      <c r="W136" s="264">
        <f t="shared" si="41"/>
        <v>0</v>
      </c>
      <c r="X136" s="264">
        <f t="shared" si="41"/>
        <v>0</v>
      </c>
      <c r="Y136" s="264">
        <f t="shared" si="38"/>
        <v>0</v>
      </c>
      <c r="Z136" s="264"/>
      <c r="AB136" s="24"/>
      <c r="AC136" s="24"/>
      <c r="AD136" s="24"/>
      <c r="AE136" s="24"/>
      <c r="AF136" s="24"/>
      <c r="AG136" s="24"/>
      <c r="AH136" s="24"/>
      <c r="AI136" s="24"/>
      <c r="AJ136" s="24"/>
    </row>
    <row r="137" spans="1:36">
      <c r="A137" s="24"/>
      <c r="B137" s="24"/>
      <c r="C137" s="24" t="s">
        <v>1167</v>
      </c>
      <c r="D137" s="24"/>
      <c r="E137" s="264">
        <f t="shared" si="41"/>
        <v>0</v>
      </c>
      <c r="F137" s="264">
        <f t="shared" si="41"/>
        <v>0</v>
      </c>
      <c r="G137" s="264">
        <f t="shared" si="41"/>
        <v>0</v>
      </c>
      <c r="H137" s="264">
        <f t="shared" si="41"/>
        <v>0</v>
      </c>
      <c r="I137" s="264">
        <f t="shared" si="41"/>
        <v>0</v>
      </c>
      <c r="J137" s="264">
        <f t="shared" si="41"/>
        <v>0</v>
      </c>
      <c r="K137" s="264">
        <f t="shared" si="41"/>
        <v>0</v>
      </c>
      <c r="L137" s="264">
        <f t="shared" si="41"/>
        <v>0</v>
      </c>
      <c r="M137" s="264">
        <f t="shared" si="41"/>
        <v>0</v>
      </c>
      <c r="N137" s="264">
        <f t="shared" si="41"/>
        <v>0</v>
      </c>
      <c r="O137" s="264">
        <f t="shared" si="41"/>
        <v>0</v>
      </c>
      <c r="P137" s="264">
        <f t="shared" si="41"/>
        <v>0</v>
      </c>
      <c r="Q137" s="264">
        <f t="shared" si="41"/>
        <v>0</v>
      </c>
      <c r="R137" s="264">
        <f t="shared" si="41"/>
        <v>0</v>
      </c>
      <c r="S137" s="264">
        <f t="shared" si="41"/>
        <v>0</v>
      </c>
      <c r="T137" s="264">
        <f t="shared" si="41"/>
        <v>0</v>
      </c>
      <c r="U137" s="264">
        <f t="shared" si="41"/>
        <v>0</v>
      </c>
      <c r="V137" s="264">
        <f t="shared" si="41"/>
        <v>0</v>
      </c>
      <c r="W137" s="264">
        <f t="shared" si="41"/>
        <v>0</v>
      </c>
      <c r="X137" s="264">
        <f t="shared" si="41"/>
        <v>0</v>
      </c>
      <c r="Y137" s="264">
        <f t="shared" si="38"/>
        <v>0</v>
      </c>
      <c r="Z137" s="264"/>
      <c r="AB137" s="24"/>
      <c r="AC137" s="24"/>
      <c r="AD137" s="24"/>
      <c r="AE137" s="24"/>
      <c r="AF137" s="24"/>
      <c r="AG137" s="24"/>
      <c r="AH137" s="24"/>
      <c r="AI137" s="24"/>
      <c r="AJ137" s="24"/>
    </row>
    <row r="138" spans="1:36">
      <c r="A138" s="24"/>
      <c r="B138" s="24"/>
      <c r="C138" s="24" t="s">
        <v>1170</v>
      </c>
      <c r="D138" s="24"/>
      <c r="E138" s="264">
        <f t="shared" si="41"/>
        <v>0</v>
      </c>
      <c r="F138" s="264">
        <f t="shared" si="41"/>
        <v>0</v>
      </c>
      <c r="G138" s="264">
        <f t="shared" si="41"/>
        <v>0</v>
      </c>
      <c r="H138" s="264">
        <f t="shared" si="41"/>
        <v>0</v>
      </c>
      <c r="I138" s="264">
        <f t="shared" si="41"/>
        <v>0</v>
      </c>
      <c r="J138" s="264">
        <f t="shared" si="41"/>
        <v>0</v>
      </c>
      <c r="K138" s="264">
        <f t="shared" si="41"/>
        <v>0</v>
      </c>
      <c r="L138" s="264">
        <f t="shared" si="41"/>
        <v>0</v>
      </c>
      <c r="M138" s="264">
        <f t="shared" si="41"/>
        <v>0</v>
      </c>
      <c r="N138" s="264">
        <f t="shared" si="41"/>
        <v>0</v>
      </c>
      <c r="O138" s="264">
        <f t="shared" si="41"/>
        <v>0</v>
      </c>
      <c r="P138" s="264">
        <f t="shared" si="41"/>
        <v>0</v>
      </c>
      <c r="Q138" s="264">
        <f t="shared" si="41"/>
        <v>0</v>
      </c>
      <c r="R138" s="264">
        <f t="shared" si="41"/>
        <v>0</v>
      </c>
      <c r="S138" s="264">
        <f t="shared" si="41"/>
        <v>0</v>
      </c>
      <c r="T138" s="264">
        <f t="shared" si="41"/>
        <v>0</v>
      </c>
      <c r="U138" s="264">
        <f t="shared" si="41"/>
        <v>0</v>
      </c>
      <c r="V138" s="264">
        <f t="shared" si="41"/>
        <v>0</v>
      </c>
      <c r="W138" s="264">
        <f t="shared" si="41"/>
        <v>0</v>
      </c>
      <c r="X138" s="264">
        <f t="shared" si="41"/>
        <v>0</v>
      </c>
      <c r="Y138" s="264">
        <f t="shared" ref="Y138:Y140" si="42">Y101-Y100</f>
        <v>0</v>
      </c>
      <c r="Z138" s="264"/>
      <c r="AB138" s="24"/>
      <c r="AC138" s="24"/>
      <c r="AD138" s="24"/>
      <c r="AE138" s="24"/>
      <c r="AF138" s="24"/>
      <c r="AG138" s="24"/>
      <c r="AH138" s="24"/>
      <c r="AI138" s="24"/>
      <c r="AJ138" s="24"/>
    </row>
    <row r="139" spans="1:36">
      <c r="A139" s="24"/>
      <c r="B139" s="24"/>
      <c r="C139" s="24" t="s">
        <v>1173</v>
      </c>
      <c r="D139" s="24"/>
      <c r="E139" s="264">
        <f t="shared" si="41"/>
        <v>0</v>
      </c>
      <c r="F139" s="264">
        <f t="shared" si="41"/>
        <v>0</v>
      </c>
      <c r="G139" s="264">
        <f t="shared" si="41"/>
        <v>0</v>
      </c>
      <c r="H139" s="264">
        <f t="shared" si="41"/>
        <v>0</v>
      </c>
      <c r="I139" s="264">
        <f t="shared" si="41"/>
        <v>0</v>
      </c>
      <c r="J139" s="264">
        <f t="shared" si="41"/>
        <v>0</v>
      </c>
      <c r="K139" s="264">
        <f t="shared" si="41"/>
        <v>0</v>
      </c>
      <c r="L139" s="264">
        <f t="shared" si="41"/>
        <v>0</v>
      </c>
      <c r="M139" s="264">
        <f t="shared" si="41"/>
        <v>0</v>
      </c>
      <c r="N139" s="264">
        <f t="shared" si="41"/>
        <v>0</v>
      </c>
      <c r="O139" s="264">
        <f t="shared" si="41"/>
        <v>0</v>
      </c>
      <c r="P139" s="264">
        <f t="shared" si="41"/>
        <v>0</v>
      </c>
      <c r="Q139" s="264">
        <f t="shared" si="41"/>
        <v>0</v>
      </c>
      <c r="R139" s="264">
        <f t="shared" si="41"/>
        <v>0</v>
      </c>
      <c r="S139" s="264">
        <f t="shared" si="41"/>
        <v>0</v>
      </c>
      <c r="T139" s="264">
        <f t="shared" si="41"/>
        <v>0</v>
      </c>
      <c r="U139" s="264">
        <f t="shared" si="41"/>
        <v>0</v>
      </c>
      <c r="V139" s="264">
        <f t="shared" si="41"/>
        <v>0</v>
      </c>
      <c r="W139" s="264">
        <f t="shared" si="41"/>
        <v>0</v>
      </c>
      <c r="X139" s="264">
        <f t="shared" si="41"/>
        <v>0</v>
      </c>
      <c r="Y139" s="264">
        <f t="shared" si="42"/>
        <v>0</v>
      </c>
      <c r="Z139" s="264"/>
      <c r="AB139" s="24"/>
      <c r="AC139" s="24"/>
      <c r="AD139" s="24"/>
      <c r="AE139" s="24"/>
      <c r="AF139" s="24"/>
      <c r="AG139" s="24"/>
      <c r="AH139" s="24"/>
      <c r="AI139" s="24"/>
      <c r="AJ139" s="24"/>
    </row>
    <row r="140" spans="1:36">
      <c r="A140" s="24"/>
      <c r="B140" s="24"/>
      <c r="C140" s="24" t="s">
        <v>1176</v>
      </c>
      <c r="D140" s="24"/>
      <c r="E140" s="264">
        <f t="shared" si="41"/>
        <v>0</v>
      </c>
      <c r="F140" s="264">
        <f t="shared" si="41"/>
        <v>0</v>
      </c>
      <c r="G140" s="264">
        <f t="shared" si="41"/>
        <v>0</v>
      </c>
      <c r="H140" s="264">
        <f t="shared" si="41"/>
        <v>0</v>
      </c>
      <c r="I140" s="264">
        <f t="shared" si="41"/>
        <v>0</v>
      </c>
      <c r="J140" s="264">
        <f t="shared" si="41"/>
        <v>0</v>
      </c>
      <c r="K140" s="264">
        <f t="shared" si="41"/>
        <v>0</v>
      </c>
      <c r="L140" s="264">
        <f t="shared" si="41"/>
        <v>0</v>
      </c>
      <c r="M140" s="264">
        <f t="shared" si="41"/>
        <v>0</v>
      </c>
      <c r="N140" s="264">
        <f t="shared" si="41"/>
        <v>0</v>
      </c>
      <c r="O140" s="264">
        <f t="shared" si="41"/>
        <v>0</v>
      </c>
      <c r="P140" s="264">
        <f t="shared" si="41"/>
        <v>0</v>
      </c>
      <c r="Q140" s="264">
        <f t="shared" si="41"/>
        <v>0</v>
      </c>
      <c r="R140" s="264">
        <f t="shared" si="41"/>
        <v>0</v>
      </c>
      <c r="S140" s="264">
        <f t="shared" si="41"/>
        <v>0</v>
      </c>
      <c r="T140" s="264">
        <f t="shared" si="41"/>
        <v>0</v>
      </c>
      <c r="U140" s="264">
        <f t="shared" si="41"/>
        <v>0</v>
      </c>
      <c r="V140" s="264">
        <f t="shared" si="41"/>
        <v>0</v>
      </c>
      <c r="W140" s="264">
        <f t="shared" si="41"/>
        <v>0</v>
      </c>
      <c r="X140" s="264">
        <f t="shared" si="41"/>
        <v>0</v>
      </c>
      <c r="Y140" s="264">
        <f t="shared" si="42"/>
        <v>0</v>
      </c>
      <c r="Z140" s="264"/>
      <c r="AB140" s="24"/>
      <c r="AC140" s="24"/>
      <c r="AD140" s="24"/>
      <c r="AE140" s="24"/>
      <c r="AF140" s="24"/>
      <c r="AG140" s="24"/>
      <c r="AH140" s="24"/>
      <c r="AI140" s="24"/>
      <c r="AJ140" s="24"/>
    </row>
    <row r="141" spans="1:36">
      <c r="A141" s="24"/>
      <c r="B141" s="24"/>
      <c r="C141" s="24"/>
      <c r="D141" s="24"/>
      <c r="E141" s="265"/>
      <c r="F141" s="24"/>
      <c r="G141" s="24"/>
      <c r="H141" s="24"/>
      <c r="I141" s="24"/>
      <c r="J141" s="24"/>
      <c r="K141" s="24"/>
      <c r="L141" s="24"/>
      <c r="M141" s="24"/>
      <c r="N141" s="24"/>
      <c r="O141" s="24"/>
      <c r="P141" s="24"/>
      <c r="Q141" s="24"/>
      <c r="R141" s="24"/>
      <c r="S141" s="24"/>
      <c r="T141" s="24"/>
      <c r="U141" s="24"/>
      <c r="V141" s="24"/>
      <c r="W141" s="24"/>
      <c r="X141" s="24"/>
      <c r="Y141" s="24"/>
      <c r="Z141" s="24"/>
      <c r="AB141" s="24"/>
      <c r="AC141" s="24"/>
      <c r="AD141" s="24"/>
      <c r="AE141" s="24"/>
      <c r="AF141" s="24"/>
      <c r="AG141" s="24"/>
      <c r="AH141" s="24"/>
      <c r="AI141" s="24"/>
      <c r="AJ141" s="24"/>
    </row>
    <row r="142" spans="1:36" ht="15">
      <c r="A142" s="24"/>
      <c r="B142" s="24"/>
      <c r="C142" s="266" t="s">
        <v>1181</v>
      </c>
      <c r="D142" s="267"/>
      <c r="E142" s="267">
        <f t="shared" ref="E142:X142" si="43">SUM(E109:E140)</f>
        <v>6.0446712051898374E-2</v>
      </c>
      <c r="F142" s="267">
        <f t="shared" si="43"/>
        <v>0.14409222869877844</v>
      </c>
      <c r="G142" s="267">
        <f t="shared" si="43"/>
        <v>0.25816106868503175</v>
      </c>
      <c r="H142" s="267">
        <f t="shared" si="43"/>
        <v>0.40538900885146145</v>
      </c>
      <c r="I142" s="267">
        <f t="shared" si="43"/>
        <v>0.59139813906342753</v>
      </c>
      <c r="J142" s="267">
        <f t="shared" si="43"/>
        <v>0.82998699191970926</v>
      </c>
      <c r="K142" s="267">
        <f t="shared" si="43"/>
        <v>1.1195501620711454</v>
      </c>
      <c r="L142" s="267">
        <f t="shared" si="43"/>
        <v>1.4509275653706426</v>
      </c>
      <c r="M142" s="267">
        <f t="shared" si="43"/>
        <v>1.8076131479674677</v>
      </c>
      <c r="N142" s="267">
        <f t="shared" si="43"/>
        <v>2.1687947258168641</v>
      </c>
      <c r="O142" s="267">
        <f t="shared" si="43"/>
        <v>2.3503757639117588</v>
      </c>
      <c r="P142" s="267">
        <f t="shared" si="43"/>
        <v>2.4749908624074686</v>
      </c>
      <c r="Q142" s="267">
        <f t="shared" si="43"/>
        <v>2.5495614877527673</v>
      </c>
      <c r="R142" s="267">
        <f t="shared" si="43"/>
        <v>2.5877431902995869</v>
      </c>
      <c r="S142" s="267">
        <f t="shared" si="43"/>
        <v>2.604124441714359</v>
      </c>
      <c r="T142" s="267">
        <f t="shared" si="43"/>
        <v>2.6098795128477867</v>
      </c>
      <c r="U142" s="267">
        <f t="shared" si="43"/>
        <v>2.6114940078238646</v>
      </c>
      <c r="V142" s="267">
        <f t="shared" si="43"/>
        <v>2.6118458944214034</v>
      </c>
      <c r="W142" s="267">
        <f t="shared" si="43"/>
        <v>2.6119037347381138</v>
      </c>
      <c r="X142" s="267">
        <f t="shared" si="43"/>
        <v>2.6119106775453766</v>
      </c>
      <c r="Y142" s="267"/>
      <c r="Z142" s="267"/>
      <c r="AB142" s="24"/>
      <c r="AC142" s="24"/>
      <c r="AD142" s="24"/>
      <c r="AE142" s="24"/>
      <c r="AF142" s="24"/>
      <c r="AG142" s="24"/>
      <c r="AH142" s="24"/>
      <c r="AI142" s="24"/>
      <c r="AJ142" s="24"/>
    </row>
    <row r="143" spans="1:36" ht="15">
      <c r="A143" s="24"/>
      <c r="B143" s="24"/>
      <c r="C143" s="266" t="s">
        <v>1182</v>
      </c>
      <c r="D143" s="267"/>
      <c r="E143" s="267">
        <f t="shared" ref="E143:X143" si="44">IF((D143+E142)&lt;$Y$143,(D143+E142),$Y$143)</f>
        <v>6.0446712051898374E-2</v>
      </c>
      <c r="F143" s="267">
        <f t="shared" si="44"/>
        <v>0.2045389407506768</v>
      </c>
      <c r="G143" s="267">
        <f t="shared" si="44"/>
        <v>0.46270000943570855</v>
      </c>
      <c r="H143" s="267">
        <f t="shared" si="44"/>
        <v>0.86808901828717</v>
      </c>
      <c r="I143" s="267">
        <f t="shared" si="44"/>
        <v>1.4594871573505976</v>
      </c>
      <c r="J143" s="267">
        <f t="shared" si="44"/>
        <v>2.289474149270307</v>
      </c>
      <c r="K143" s="267">
        <f t="shared" si="44"/>
        <v>3.4090243113414527</v>
      </c>
      <c r="L143" s="267">
        <f t="shared" si="44"/>
        <v>4.8599518767120955</v>
      </c>
      <c r="M143" s="267">
        <f t="shared" si="44"/>
        <v>6.667565024679563</v>
      </c>
      <c r="N143" s="267">
        <f t="shared" si="44"/>
        <v>8.8363597504964275</v>
      </c>
      <c r="O143" s="267">
        <f t="shared" si="44"/>
        <v>11.186735514408186</v>
      </c>
      <c r="P143" s="267">
        <f t="shared" si="44"/>
        <v>13.180394293600866</v>
      </c>
      <c r="Q143" s="267">
        <f t="shared" si="44"/>
        <v>13.180394293600866</v>
      </c>
      <c r="R143" s="267">
        <f t="shared" si="44"/>
        <v>13.180394293600866</v>
      </c>
      <c r="S143" s="267">
        <f t="shared" si="44"/>
        <v>13.180394293600866</v>
      </c>
      <c r="T143" s="267">
        <f t="shared" si="44"/>
        <v>13.180394293600866</v>
      </c>
      <c r="U143" s="267">
        <f t="shared" si="44"/>
        <v>13.180394293600866</v>
      </c>
      <c r="V143" s="267">
        <f t="shared" si="44"/>
        <v>13.180394293600866</v>
      </c>
      <c r="W143" s="267">
        <f t="shared" si="44"/>
        <v>13.180394293600866</v>
      </c>
      <c r="X143" s="267">
        <f t="shared" si="44"/>
        <v>13.180394293600866</v>
      </c>
      <c r="Y143" s="267">
        <f>SUM(Y109:Y140)</f>
        <v>13.180394293600866</v>
      </c>
      <c r="Z143" s="267"/>
      <c r="AB143" s="24"/>
      <c r="AC143" s="24"/>
      <c r="AD143" s="24"/>
      <c r="AE143" s="24"/>
      <c r="AF143" s="24"/>
      <c r="AG143" s="24"/>
      <c r="AH143" s="24"/>
      <c r="AI143" s="24"/>
      <c r="AJ143" s="24"/>
    </row>
    <row r="145" spans="15:15">
      <c r="O145" s="345"/>
    </row>
  </sheetData>
  <mergeCells count="1">
    <mergeCell ref="B1:S5"/>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C1:F14"/>
  <sheetViews>
    <sheetView tabSelected="1" zoomScaleNormal="100" zoomScaleSheetLayoutView="90" workbookViewId="0">
      <selection activeCell="D18" sqref="D18"/>
    </sheetView>
  </sheetViews>
  <sheetFormatPr defaultRowHeight="15"/>
  <cols>
    <col min="1" max="1" width="4" style="1" customWidth="1"/>
    <col min="2" max="2" width="4.28515625" style="1" customWidth="1"/>
    <col min="3" max="3" width="28.140625" style="1" customWidth="1"/>
    <col min="4" max="4" width="73.42578125" style="1" customWidth="1"/>
    <col min="5" max="5" width="55.140625" style="1" customWidth="1"/>
    <col min="6" max="6" width="61.42578125" style="1" customWidth="1"/>
    <col min="7" max="16384" width="9.140625" style="1"/>
  </cols>
  <sheetData>
    <row r="1" spans="3:6" ht="15.75" thickBot="1"/>
    <row r="2" spans="3:6" ht="19.5" thickBot="1">
      <c r="C2" s="2" t="s">
        <v>0</v>
      </c>
      <c r="D2" s="52" t="str">
        <f>[1]MLIST!$B$85</f>
        <v>Water Cooler Controls</v>
      </c>
      <c r="E2" s="3"/>
      <c r="F2" s="4"/>
    </row>
    <row r="3" spans="3:6">
      <c r="C3" s="5" t="s">
        <v>1</v>
      </c>
      <c r="D3" s="5" t="s">
        <v>2</v>
      </c>
      <c r="E3" s="5" t="s">
        <v>3</v>
      </c>
      <c r="F3" s="5" t="s">
        <v>4</v>
      </c>
    </row>
    <row r="4" spans="3:6" ht="60">
      <c r="C4" s="6" t="s">
        <v>5</v>
      </c>
      <c r="D4" s="7" t="s">
        <v>1403</v>
      </c>
      <c r="E4" s="8"/>
      <c r="F4" s="9" t="s">
        <v>1393</v>
      </c>
    </row>
    <row r="5" spans="3:6" ht="30">
      <c r="C5" s="6" t="s">
        <v>6</v>
      </c>
      <c r="D5" s="10" t="s">
        <v>1394</v>
      </c>
      <c r="E5" s="11"/>
      <c r="F5" s="9"/>
    </row>
    <row r="6" spans="3:6" ht="45">
      <c r="C6" s="6" t="s">
        <v>42</v>
      </c>
      <c r="D6" s="10" t="s">
        <v>1395</v>
      </c>
      <c r="E6" s="11"/>
      <c r="F6" s="9"/>
    </row>
    <row r="7" spans="3:6">
      <c r="C7" s="6" t="s">
        <v>7</v>
      </c>
      <c r="D7" s="10" t="s">
        <v>1396</v>
      </c>
      <c r="E7" s="10" t="s">
        <v>1402</v>
      </c>
      <c r="F7" s="9"/>
    </row>
    <row r="8" spans="3:6">
      <c r="C8" s="6" t="s">
        <v>8</v>
      </c>
      <c r="D8" s="10" t="s">
        <v>1404</v>
      </c>
      <c r="E8" s="10"/>
      <c r="F8" s="9"/>
    </row>
    <row r="9" spans="3:6">
      <c r="C9" s="6" t="s">
        <v>43</v>
      </c>
      <c r="D9" s="10" t="s">
        <v>1397</v>
      </c>
      <c r="E9" s="12"/>
      <c r="F9" s="9"/>
    </row>
    <row r="10" spans="3:6">
      <c r="C10" s="6" t="s">
        <v>9</v>
      </c>
      <c r="D10" s="10"/>
      <c r="E10" s="12"/>
      <c r="F10" s="9"/>
    </row>
    <row r="11" spans="3:6">
      <c r="C11" s="6" t="s">
        <v>10</v>
      </c>
      <c r="D11" s="10" t="s">
        <v>752</v>
      </c>
      <c r="E11" s="10"/>
      <c r="F11" s="9"/>
    </row>
    <row r="12" spans="3:6" ht="30">
      <c r="C12" s="6" t="s">
        <v>11</v>
      </c>
      <c r="D12" s="13" t="s">
        <v>1398</v>
      </c>
      <c r="E12" s="12" t="s">
        <v>1399</v>
      </c>
      <c r="F12" s="9"/>
    </row>
    <row r="13" spans="3:6" ht="30">
      <c r="C13" s="6" t="s">
        <v>12</v>
      </c>
      <c r="D13" s="13" t="s">
        <v>1400</v>
      </c>
      <c r="E13" s="14"/>
      <c r="F13" s="9"/>
    </row>
    <row r="14" spans="3:6">
      <c r="C14" s="6" t="s">
        <v>13</v>
      </c>
      <c r="D14" s="13" t="s">
        <v>1401</v>
      </c>
      <c r="E14" s="12" t="str">
        <f>'SC-NR'!C42</f>
        <v>LO5Med</v>
      </c>
      <c r="F14" s="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EA12"/>
  <sheetViews>
    <sheetView workbookViewId="0">
      <selection sqref="A1:EA12"/>
    </sheetView>
  </sheetViews>
  <sheetFormatPr defaultRowHeight="12.75"/>
  <sheetData>
    <row r="1" spans="1:131" ht="13.5" thickBot="1">
      <c r="A1" s="121" t="s">
        <v>770</v>
      </c>
      <c r="B1" s="122"/>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23"/>
      <c r="B2" s="124"/>
      <c r="C2" s="125"/>
      <c r="D2" s="125"/>
      <c r="E2" s="125"/>
      <c r="F2" s="125"/>
      <c r="G2" s="125"/>
      <c r="H2" s="125"/>
      <c r="I2" s="125"/>
      <c r="J2" s="125"/>
      <c r="K2" s="125"/>
      <c r="L2" s="125"/>
      <c r="M2" s="125"/>
      <c r="N2" s="125"/>
      <c r="O2" s="126" t="s">
        <v>771</v>
      </c>
      <c r="P2" s="127"/>
      <c r="Q2" s="127"/>
      <c r="R2" s="127"/>
      <c r="S2" s="127"/>
      <c r="T2" s="127"/>
      <c r="U2" s="127"/>
      <c r="V2" s="127"/>
      <c r="W2" s="127"/>
      <c r="X2" s="127"/>
      <c r="Y2" s="127"/>
      <c r="Z2" s="128"/>
      <c r="AA2" s="125"/>
      <c r="AB2" s="126" t="s">
        <v>772</v>
      </c>
      <c r="AC2" s="127"/>
      <c r="AD2" s="127"/>
      <c r="AE2" s="127"/>
      <c r="AF2" s="127"/>
      <c r="AG2" s="127"/>
      <c r="AH2" s="127"/>
      <c r="AI2" s="127"/>
      <c r="AJ2" s="127"/>
      <c r="AK2" s="127"/>
      <c r="AL2" s="127"/>
      <c r="AM2" s="128"/>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191.25">
      <c r="A3" s="129" t="s">
        <v>81</v>
      </c>
      <c r="B3" s="130" t="s">
        <v>82</v>
      </c>
      <c r="C3" s="131" t="s">
        <v>773</v>
      </c>
      <c r="D3" s="131" t="s">
        <v>774</v>
      </c>
      <c r="E3" s="131" t="s">
        <v>775</v>
      </c>
      <c r="F3" s="131" t="s">
        <v>776</v>
      </c>
      <c r="G3" s="131" t="s">
        <v>777</v>
      </c>
      <c r="H3" s="131" t="s">
        <v>778</v>
      </c>
      <c r="I3" s="131" t="s">
        <v>779</v>
      </c>
      <c r="J3" s="131" t="s">
        <v>780</v>
      </c>
      <c r="K3" s="131" t="s">
        <v>781</v>
      </c>
      <c r="L3" s="131" t="s">
        <v>782</v>
      </c>
      <c r="M3" s="131" t="s">
        <v>783</v>
      </c>
      <c r="N3" s="131" t="s">
        <v>784</v>
      </c>
      <c r="O3" s="131" t="s">
        <v>785</v>
      </c>
      <c r="P3" s="131" t="s">
        <v>786</v>
      </c>
      <c r="Q3" s="131" t="s">
        <v>787</v>
      </c>
      <c r="R3" s="131" t="s">
        <v>788</v>
      </c>
      <c r="S3" s="131" t="s">
        <v>789</v>
      </c>
      <c r="T3" s="131" t="s">
        <v>790</v>
      </c>
      <c r="U3" s="131" t="s">
        <v>791</v>
      </c>
      <c r="V3" s="131" t="s">
        <v>792</v>
      </c>
      <c r="W3" s="131" t="s">
        <v>793</v>
      </c>
      <c r="X3" s="131" t="s">
        <v>794</v>
      </c>
      <c r="Y3" s="131" t="s">
        <v>795</v>
      </c>
      <c r="Z3" s="131" t="s">
        <v>796</v>
      </c>
      <c r="AA3" s="131"/>
      <c r="AB3" s="131" t="s">
        <v>785</v>
      </c>
      <c r="AC3" s="131" t="s">
        <v>786</v>
      </c>
      <c r="AD3" s="131" t="s">
        <v>787</v>
      </c>
      <c r="AE3" s="131" t="s">
        <v>788</v>
      </c>
      <c r="AF3" s="131" t="s">
        <v>789</v>
      </c>
      <c r="AG3" s="131" t="s">
        <v>790</v>
      </c>
      <c r="AH3" s="131" t="s">
        <v>791</v>
      </c>
      <c r="AI3" s="131" t="s">
        <v>792</v>
      </c>
      <c r="AJ3" s="131" t="s">
        <v>793</v>
      </c>
      <c r="AK3" s="131" t="s">
        <v>794</v>
      </c>
      <c r="AL3" s="131" t="s">
        <v>795</v>
      </c>
      <c r="AM3" s="131" t="s">
        <v>796</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128</v>
      </c>
      <c r="B4" s="24"/>
      <c r="C4" s="91">
        <v>445.84863540993149</v>
      </c>
      <c r="D4" s="91">
        <v>25.3475</v>
      </c>
      <c r="E4" s="91">
        <v>5.0695000000000006</v>
      </c>
      <c r="F4" s="91">
        <v>30.417000000000002</v>
      </c>
      <c r="G4" s="91">
        <v>79.369533808869022</v>
      </c>
      <c r="H4" s="91">
        <v>292.3182536683762</v>
      </c>
      <c r="I4" s="91">
        <v>597.63089721024335</v>
      </c>
      <c r="J4" s="91">
        <v>-9.3957035462286385</v>
      </c>
      <c r="K4" s="91">
        <v>0.10466811963389859</v>
      </c>
      <c r="L4" s="132">
        <v>3.6830032840096076</v>
      </c>
      <c r="M4" s="91">
        <v>4.2355864852411687</v>
      </c>
      <c r="N4" s="91">
        <v>0.10204059760720337</v>
      </c>
      <c r="O4" s="91">
        <v>12.974740891749928</v>
      </c>
      <c r="P4" s="91">
        <v>11.853670993966499</v>
      </c>
      <c r="Q4" s="91">
        <v>13.802802818057812</v>
      </c>
      <c r="R4" s="91">
        <v>12.716077273705038</v>
      </c>
      <c r="S4" s="91">
        <v>13.223660706304363</v>
      </c>
      <c r="T4" s="91">
        <v>13.232424075209925</v>
      </c>
      <c r="U4" s="91">
        <v>12.785121278004642</v>
      </c>
      <c r="V4" s="91">
        <v>13.765685165785888</v>
      </c>
      <c r="W4" s="91">
        <v>12.207748936141698</v>
      </c>
      <c r="X4" s="91">
        <v>13.716680312823001</v>
      </c>
      <c r="Y4" s="91">
        <v>12.300138150033556</v>
      </c>
      <c r="Z4" s="91">
        <v>12.930967361722436</v>
      </c>
      <c r="AA4" s="91"/>
      <c r="AB4" s="91">
        <v>25.327279565666053</v>
      </c>
      <c r="AC4" s="91">
        <v>22.581510717873979</v>
      </c>
      <c r="AD4" s="91">
        <v>24.115961941056451</v>
      </c>
      <c r="AE4" s="91">
        <v>23.758160274993649</v>
      </c>
      <c r="AF4" s="91">
        <v>24.460800103795048</v>
      </c>
      <c r="AG4" s="91">
        <v>23.238573116651239</v>
      </c>
      <c r="AH4" s="91">
        <v>24.994310923846641</v>
      </c>
      <c r="AI4" s="91">
        <v>24.009780865872504</v>
      </c>
      <c r="AJ4" s="91">
        <v>24.186148521093781</v>
      </c>
      <c r="AK4" s="91">
        <v>23.975305327790792</v>
      </c>
      <c r="AL4" s="91">
        <v>24.459672897487867</v>
      </c>
      <c r="AM4" s="45">
        <v>25.231413190298714</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126</v>
      </c>
      <c r="B5" s="24"/>
      <c r="C5" s="91">
        <v>308.57418713897891</v>
      </c>
      <c r="D5" s="91">
        <v>25.3475</v>
      </c>
      <c r="E5" s="91">
        <v>5.0695000000000006</v>
      </c>
      <c r="F5" s="91">
        <v>30.417000000000002</v>
      </c>
      <c r="G5" s="91">
        <v>79.369533808869022</v>
      </c>
      <c r="H5" s="91">
        <v>202.31500188100787</v>
      </c>
      <c r="I5" s="91">
        <v>863.49711383989518</v>
      </c>
      <c r="J5" s="91">
        <v>-7.794814848697146</v>
      </c>
      <c r="K5" s="91">
        <v>5.9319579004578644</v>
      </c>
      <c r="L5" s="132">
        <v>2.549025957090862</v>
      </c>
      <c r="M5" s="91">
        <v>2.9314716989958596</v>
      </c>
      <c r="N5" s="91">
        <v>7.0622834659722342E-2</v>
      </c>
      <c r="O5" s="91">
        <v>8.9798864592900838</v>
      </c>
      <c r="P5" s="91">
        <v>8.2039880826662888</v>
      </c>
      <c r="Q5" s="91">
        <v>9.5529924767084342</v>
      </c>
      <c r="R5" s="91">
        <v>8.8008640078537503</v>
      </c>
      <c r="S5" s="91">
        <v>9.1521651730474947</v>
      </c>
      <c r="T5" s="91">
        <v>9.1582303467900292</v>
      </c>
      <c r="U5" s="91">
        <v>8.8486497266190032</v>
      </c>
      <c r="V5" s="91">
        <v>9.5273031542149713</v>
      </c>
      <c r="W5" s="91">
        <v>8.4490472900138602</v>
      </c>
      <c r="X5" s="91">
        <v>9.4933866375590785</v>
      </c>
      <c r="Y5" s="91">
        <v>8.512990351207435</v>
      </c>
      <c r="Z5" s="91">
        <v>8.9495905687710557</v>
      </c>
      <c r="AA5" s="91"/>
      <c r="AB5" s="91">
        <v>17.529143488868876</v>
      </c>
      <c r="AC5" s="91">
        <v>15.628782417896993</v>
      </c>
      <c r="AD5" s="91">
        <v>16.690784185520652</v>
      </c>
      <c r="AE5" s="91">
        <v>16.443147769271921</v>
      </c>
      <c r="AF5" s="91">
        <v>16.929448492889733</v>
      </c>
      <c r="AG5" s="91">
        <v>16.083538762313886</v>
      </c>
      <c r="AH5" s="91">
        <v>17.298694139399124</v>
      </c>
      <c r="AI5" s="91">
        <v>16.617295704538076</v>
      </c>
      <c r="AJ5" s="91">
        <v>16.73936068696754</v>
      </c>
      <c r="AK5" s="91">
        <v>16.593435003181522</v>
      </c>
      <c r="AL5" s="91">
        <v>16.928668347471866</v>
      </c>
      <c r="AM5" s="45">
        <v>17.46279386591727</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t="s">
        <v>114</v>
      </c>
      <c r="B6" s="24"/>
      <c r="C6" s="91">
        <v>281.58861183785149</v>
      </c>
      <c r="D6" s="91">
        <v>25.3475</v>
      </c>
      <c r="E6" s="91">
        <v>5.0695000000000006</v>
      </c>
      <c r="F6" s="91">
        <v>30.417000000000002</v>
      </c>
      <c r="G6" s="91">
        <v>79.369533808869022</v>
      </c>
      <c r="H6" s="91">
        <v>184.62205494844821</v>
      </c>
      <c r="I6" s="91">
        <v>946.24892058288515</v>
      </c>
      <c r="J6" s="91">
        <v>-7.2965325404198937</v>
      </c>
      <c r="K6" s="91">
        <v>7.7457225971958037</v>
      </c>
      <c r="L6" s="132">
        <v>2.3261073372692271</v>
      </c>
      <c r="M6" s="91">
        <v>2.6751072538365275</v>
      </c>
      <c r="N6" s="91">
        <v>6.4446693225602134E-2</v>
      </c>
      <c r="O6" s="91">
        <v>8.1945731947894291</v>
      </c>
      <c r="P6" s="91">
        <v>7.4865290488209482</v>
      </c>
      <c r="Q6" s="91">
        <v>8.7175596745628301</v>
      </c>
      <c r="R6" s="91">
        <v>8.03120669918213</v>
      </c>
      <c r="S6" s="91">
        <v>8.3517857092448615</v>
      </c>
      <c r="T6" s="91">
        <v>8.3573204685536382</v>
      </c>
      <c r="U6" s="91">
        <v>8.0748134387397741</v>
      </c>
      <c r="V6" s="91">
        <v>8.6941169468121409</v>
      </c>
      <c r="W6" s="91">
        <v>7.7101572228263366</v>
      </c>
      <c r="X6" s="91">
        <v>8.6631665133618974</v>
      </c>
      <c r="Y6" s="91">
        <v>7.7685083052843513</v>
      </c>
      <c r="Z6" s="91">
        <v>8.1669267547720654</v>
      </c>
      <c r="AA6" s="91"/>
      <c r="AB6" s="91">
        <v>15.996176567789089</v>
      </c>
      <c r="AC6" s="91">
        <v>14.262006769183568</v>
      </c>
      <c r="AD6" s="91">
        <v>15.23113385750934</v>
      </c>
      <c r="AE6" s="91">
        <v>15.005153857890727</v>
      </c>
      <c r="AF6" s="91">
        <v>15.448926381344242</v>
      </c>
      <c r="AG6" s="91">
        <v>14.676993547358681</v>
      </c>
      <c r="AH6" s="91">
        <v>15.785880583482092</v>
      </c>
      <c r="AI6" s="91">
        <v>15.164072125814213</v>
      </c>
      <c r="AJ6" s="91">
        <v>15.275462223848706</v>
      </c>
      <c r="AK6" s="91">
        <v>15.142298101762607</v>
      </c>
      <c r="AL6" s="91">
        <v>15.448214461571286</v>
      </c>
      <c r="AM6" s="45">
        <v>15.935629383346559</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row r="7" spans="1:131">
      <c r="A7" s="24" t="s">
        <v>125</v>
      </c>
      <c r="B7" s="24"/>
      <c r="C7" s="91">
        <v>254.25105077192674</v>
      </c>
      <c r="D7" s="91">
        <v>25.3475</v>
      </c>
      <c r="E7" s="91">
        <v>5.0695000000000006</v>
      </c>
      <c r="F7" s="91">
        <v>30.417000000000002</v>
      </c>
      <c r="G7" s="91">
        <v>79.369533808869022</v>
      </c>
      <c r="H7" s="91">
        <v>166.69833044720286</v>
      </c>
      <c r="I7" s="91">
        <v>1047.9914210424201</v>
      </c>
      <c r="J7" s="91">
        <v>-6.6838995360876767</v>
      </c>
      <c r="K7" s="91">
        <v>9.9757277506117585</v>
      </c>
      <c r="L7" s="132">
        <v>2.1002810832760042</v>
      </c>
      <c r="M7" s="91">
        <v>2.415398924609899</v>
      </c>
      <c r="N7" s="91">
        <v>5.8189993424949925E-2</v>
      </c>
      <c r="O7" s="91">
        <v>7.3990167137952882</v>
      </c>
      <c r="P7" s="91">
        <v>6.7597118536645802</v>
      </c>
      <c r="Q7" s="91">
        <v>7.8712299228240203</v>
      </c>
      <c r="R7" s="91">
        <v>7.251510382136531</v>
      </c>
      <c r="S7" s="91">
        <v>7.5409665133056727</v>
      </c>
      <c r="T7" s="91">
        <v>7.5459639397315552</v>
      </c>
      <c r="U7" s="91">
        <v>7.290883634062121</v>
      </c>
      <c r="V7" s="91">
        <v>7.8500630932257947</v>
      </c>
      <c r="W7" s="91">
        <v>6.9616294591102799</v>
      </c>
      <c r="X7" s="91">
        <v>7.8221174310230124</v>
      </c>
      <c r="Y7" s="91">
        <v>7.0143156239796616</v>
      </c>
      <c r="Z7" s="91">
        <v>7.3740542823296105</v>
      </c>
      <c r="AA7" s="91"/>
      <c r="AB7" s="91">
        <v>14.443214425999564</v>
      </c>
      <c r="AC7" s="91">
        <v>12.877403612008662</v>
      </c>
      <c r="AD7" s="91">
        <v>13.75244461217614</v>
      </c>
      <c r="AE7" s="91">
        <v>13.548403504187169</v>
      </c>
      <c r="AF7" s="91">
        <v>13.949093111822071</v>
      </c>
      <c r="AG7" s="91">
        <v>13.252102090469274</v>
      </c>
      <c r="AH7" s="91">
        <v>14.253334676835703</v>
      </c>
      <c r="AI7" s="91">
        <v>13.691893456933084</v>
      </c>
      <c r="AJ7" s="91">
        <v>13.79246943295006</v>
      </c>
      <c r="AK7" s="91">
        <v>13.672233327716485</v>
      </c>
      <c r="AL7" s="91">
        <v>13.948450307593738</v>
      </c>
      <c r="AM7" s="45">
        <v>14.388545364046662</v>
      </c>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row>
    <row r="8" spans="1:131">
      <c r="A8" s="24" t="s">
        <v>116</v>
      </c>
      <c r="B8" s="24"/>
      <c r="C8" s="91">
        <v>234.65717653154292</v>
      </c>
      <c r="D8" s="91">
        <v>25.3475</v>
      </c>
      <c r="E8" s="91">
        <v>5.0695000000000006</v>
      </c>
      <c r="F8" s="91">
        <v>30.417000000000002</v>
      </c>
      <c r="G8" s="91">
        <v>79.369533808869022</v>
      </c>
      <c r="H8" s="91">
        <v>153.85171245704004</v>
      </c>
      <c r="I8" s="91">
        <v>1135.4987046994622</v>
      </c>
      <c r="J8" s="91">
        <v>-6.1569825658379917</v>
      </c>
      <c r="K8" s="91">
        <v>11.893723599300836</v>
      </c>
      <c r="L8" s="132">
        <v>1.9384227810576875</v>
      </c>
      <c r="M8" s="91">
        <v>2.2292560448637735</v>
      </c>
      <c r="N8" s="91">
        <v>5.3705577688001778E-2</v>
      </c>
      <c r="O8" s="91">
        <v>6.8288109956578573</v>
      </c>
      <c r="P8" s="91">
        <v>6.2387742073507901</v>
      </c>
      <c r="Q8" s="91">
        <v>7.2646330621356912</v>
      </c>
      <c r="R8" s="91">
        <v>6.6926722493184414</v>
      </c>
      <c r="S8" s="91">
        <v>6.9598214243707179</v>
      </c>
      <c r="T8" s="91">
        <v>6.9644337237946985</v>
      </c>
      <c r="U8" s="91">
        <v>6.729011198949812</v>
      </c>
      <c r="V8" s="91">
        <v>7.2450974556767838</v>
      </c>
      <c r="W8" s="91">
        <v>6.4251310190219471</v>
      </c>
      <c r="X8" s="91">
        <v>7.2193054278015802</v>
      </c>
      <c r="Y8" s="91">
        <v>6.4737569210702928</v>
      </c>
      <c r="Z8" s="91">
        <v>6.8057722956433881</v>
      </c>
      <c r="AA8" s="91"/>
      <c r="AB8" s="91">
        <v>13.330147139824239</v>
      </c>
      <c r="AC8" s="91">
        <v>11.885005640986305</v>
      </c>
      <c r="AD8" s="91">
        <v>12.69261154792445</v>
      </c>
      <c r="AE8" s="91">
        <v>12.504294881575605</v>
      </c>
      <c r="AF8" s="91">
        <v>12.874105317786867</v>
      </c>
      <c r="AG8" s="91">
        <v>12.230827956132233</v>
      </c>
      <c r="AH8" s="91">
        <v>13.154900486235075</v>
      </c>
      <c r="AI8" s="91">
        <v>12.636726771511844</v>
      </c>
      <c r="AJ8" s="91">
        <v>12.729551853207255</v>
      </c>
      <c r="AK8" s="91">
        <v>12.618581751468838</v>
      </c>
      <c r="AL8" s="91">
        <v>12.873512051309405</v>
      </c>
      <c r="AM8" s="45">
        <v>13.279691152788798</v>
      </c>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row>
    <row r="9" spans="1:131">
      <c r="A9" s="24" t="s">
        <v>1187</v>
      </c>
      <c r="B9" s="24"/>
      <c r="C9" s="91">
        <v>204.15174358244232</v>
      </c>
      <c r="D9" s="91">
        <v>25.3475</v>
      </c>
      <c r="E9" s="91">
        <v>5.0695000000000006</v>
      </c>
      <c r="F9" s="91">
        <v>30.417000000000002</v>
      </c>
      <c r="G9" s="91">
        <v>79.369533808869022</v>
      </c>
      <c r="H9" s="91">
        <v>133.85098983762484</v>
      </c>
      <c r="I9" s="91">
        <v>1305.1709249419107</v>
      </c>
      <c r="J9" s="91">
        <v>-5.1353170713852698</v>
      </c>
      <c r="K9" s="91">
        <v>15.61262104946398</v>
      </c>
      <c r="L9" s="132">
        <v>1.6864278195201881</v>
      </c>
      <c r="M9" s="91">
        <v>1.9394527590314821</v>
      </c>
      <c r="N9" s="91">
        <v>4.672385258856155E-2</v>
      </c>
      <c r="O9" s="91">
        <v>5.9410655662223366</v>
      </c>
      <c r="P9" s="91">
        <v>5.4277335603951871</v>
      </c>
      <c r="Q9" s="91">
        <v>6.3202307640580511</v>
      </c>
      <c r="R9" s="91">
        <v>5.8226248569070442</v>
      </c>
      <c r="S9" s="91">
        <v>6.0550446392025243</v>
      </c>
      <c r="T9" s="91">
        <v>6.0590573397013872</v>
      </c>
      <c r="U9" s="91">
        <v>5.8542397430863362</v>
      </c>
      <c r="V9" s="91">
        <v>6.3032347864388019</v>
      </c>
      <c r="W9" s="91">
        <v>5.5898639865490942</v>
      </c>
      <c r="X9" s="91">
        <v>6.2807957221873751</v>
      </c>
      <c r="Y9" s="91">
        <v>5.6321685213311552</v>
      </c>
      <c r="Z9" s="91">
        <v>5.9210218972097479</v>
      </c>
      <c r="AA9" s="91"/>
      <c r="AB9" s="91">
        <v>11.597228011647088</v>
      </c>
      <c r="AC9" s="91">
        <v>10.339954907658086</v>
      </c>
      <c r="AD9" s="91">
        <v>11.042572046694271</v>
      </c>
      <c r="AE9" s="91">
        <v>10.878736546970776</v>
      </c>
      <c r="AF9" s="91">
        <v>11.200471626474576</v>
      </c>
      <c r="AG9" s="91">
        <v>10.640820321835042</v>
      </c>
      <c r="AH9" s="91">
        <v>11.444763423024515</v>
      </c>
      <c r="AI9" s="91">
        <v>10.993952291215304</v>
      </c>
      <c r="AJ9" s="91">
        <v>11.074710112290312</v>
      </c>
      <c r="AK9" s="91">
        <v>10.978166123777889</v>
      </c>
      <c r="AL9" s="91">
        <v>11.199955484639181</v>
      </c>
      <c r="AM9" s="45">
        <v>11.553331302926255</v>
      </c>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row>
    <row r="10" spans="1:131">
      <c r="A10" s="24" t="s">
        <v>768</v>
      </c>
      <c r="B10" s="24"/>
      <c r="C10" s="91">
        <v>111.06931305508533</v>
      </c>
      <c r="D10" s="91">
        <v>35</v>
      </c>
      <c r="E10" s="91">
        <v>7</v>
      </c>
      <c r="F10" s="91">
        <v>42</v>
      </c>
      <c r="G10" s="91">
        <v>109.59399085947</v>
      </c>
      <c r="H10" s="91">
        <v>66.680292266337602</v>
      </c>
      <c r="I10" s="91">
        <v>3312.5261143690373</v>
      </c>
      <c r="J10" s="91">
        <v>12.815184705152744</v>
      </c>
      <c r="K10" s="91">
        <v>65.473488327480865</v>
      </c>
      <c r="L10" s="133">
        <v>0.60843018621194567</v>
      </c>
      <c r="M10" s="91">
        <v>1.0551671458543821</v>
      </c>
      <c r="N10" s="91">
        <v>1.3949886066046142E-2</v>
      </c>
      <c r="O10" s="91">
        <v>5.3641399878552374</v>
      </c>
      <c r="P10" s="91">
        <v>5.0401693710903936</v>
      </c>
      <c r="Q10" s="91">
        <v>5.7167179277601674</v>
      </c>
      <c r="R10" s="91">
        <v>5.2087805863980474</v>
      </c>
      <c r="S10" s="91">
        <v>5.3424663338480851</v>
      </c>
      <c r="T10" s="91">
        <v>5.3254396754000659</v>
      </c>
      <c r="U10" s="91">
        <v>5.0990937629965147</v>
      </c>
      <c r="V10" s="91">
        <v>5.8167770663145859</v>
      </c>
      <c r="W10" s="91">
        <v>5.010064331621825</v>
      </c>
      <c r="X10" s="91">
        <v>5.6919413373768943</v>
      </c>
      <c r="Y10" s="91">
        <v>4.9189608367330706</v>
      </c>
      <c r="Z10" s="91">
        <v>5.0083606146428075</v>
      </c>
      <c r="AA10" s="91"/>
      <c r="AB10" s="91">
        <v>4.3185293174031427</v>
      </c>
      <c r="AC10" s="91">
        <v>3.8845367448518475</v>
      </c>
      <c r="AD10" s="91">
        <v>3.8636029515698511</v>
      </c>
      <c r="AE10" s="91">
        <v>3.8823510334606928</v>
      </c>
      <c r="AF10" s="91">
        <v>3.9325040032764611</v>
      </c>
      <c r="AG10" s="91">
        <v>3.6455570650523441</v>
      </c>
      <c r="AH10" s="91">
        <v>4.0987618813389446</v>
      </c>
      <c r="AI10" s="91">
        <v>3.9061103476828927</v>
      </c>
      <c r="AJ10" s="91">
        <v>4.0851882183342516</v>
      </c>
      <c r="AK10" s="91">
        <v>3.8323190863909438</v>
      </c>
      <c r="AL10" s="91">
        <v>4.0305557774311866</v>
      </c>
      <c r="AM10" s="45">
        <v>4.0463847962550705</v>
      </c>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row>
    <row r="11" spans="1:131">
      <c r="A11" s="24" t="s">
        <v>1382</v>
      </c>
      <c r="B11" s="24"/>
      <c r="C11" s="91">
        <v>37.545148245046867</v>
      </c>
      <c r="D11" s="91">
        <v>25.3475</v>
      </c>
      <c r="E11" s="91">
        <v>5.0695000000000006</v>
      </c>
      <c r="F11" s="91">
        <v>30.417000000000002</v>
      </c>
      <c r="G11" s="91">
        <v>79.369533808869022</v>
      </c>
      <c r="H11" s="91">
        <v>24.61627399312642</v>
      </c>
      <c r="I11" s="91">
        <v>7096.8669043716382</v>
      </c>
      <c r="J11" s="91">
        <v>29.738841633491642</v>
      </c>
      <c r="K11" s="91">
        <v>142.55575516560936</v>
      </c>
      <c r="L11" s="133">
        <v>0.31014764496923014</v>
      </c>
      <c r="M11" s="91">
        <v>0.35668096717820408</v>
      </c>
      <c r="N11" s="91">
        <v>8.5928924300802852E-3</v>
      </c>
      <c r="O11" s="91">
        <v>1.0926097593052573</v>
      </c>
      <c r="P11" s="91">
        <v>0.99820387317612636</v>
      </c>
      <c r="Q11" s="91">
        <v>1.1623412899417105</v>
      </c>
      <c r="R11" s="91">
        <v>1.0708275598909507</v>
      </c>
      <c r="S11" s="91">
        <v>1.113571427899315</v>
      </c>
      <c r="T11" s="91">
        <v>1.1143093958071517</v>
      </c>
      <c r="U11" s="91">
        <v>1.07664179183197</v>
      </c>
      <c r="V11" s="91">
        <v>1.1592155929082852</v>
      </c>
      <c r="W11" s="91">
        <v>1.0280209630435115</v>
      </c>
      <c r="X11" s="91">
        <v>1.1550888684482528</v>
      </c>
      <c r="Y11" s="91">
        <v>1.0358011073712468</v>
      </c>
      <c r="Z11" s="91">
        <v>1.088923567302942</v>
      </c>
      <c r="AA11" s="91"/>
      <c r="AB11" s="91">
        <v>2.1328235423718782</v>
      </c>
      <c r="AC11" s="91">
        <v>1.9016009025578089</v>
      </c>
      <c r="AD11" s="91">
        <v>2.0308178476679117</v>
      </c>
      <c r="AE11" s="91">
        <v>2.000687181052097</v>
      </c>
      <c r="AF11" s="91">
        <v>2.059856850845899</v>
      </c>
      <c r="AG11" s="91">
        <v>1.9569324729811572</v>
      </c>
      <c r="AH11" s="91">
        <v>2.1047840777976119</v>
      </c>
      <c r="AI11" s="91">
        <v>2.0218762834418951</v>
      </c>
      <c r="AJ11" s="91">
        <v>2.0367282965131608</v>
      </c>
      <c r="AK11" s="91">
        <v>2.0189730802350141</v>
      </c>
      <c r="AL11" s="91">
        <v>2.0597619282095048</v>
      </c>
      <c r="AM11" s="45">
        <v>2.1247505844462076</v>
      </c>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row>
    <row r="12" spans="1:131">
      <c r="A12" s="24"/>
      <c r="B12" s="24"/>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4"/>
  <dimension ref="A1:EA108"/>
  <sheetViews>
    <sheetView topLeftCell="A85" workbookViewId="0">
      <selection activeCell="C37" sqref="C37"/>
    </sheetView>
  </sheetViews>
  <sheetFormatPr defaultRowHeight="12.75"/>
  <cols>
    <col min="1" max="1" width="53.85546875" customWidth="1"/>
    <col min="2" max="2" width="53.28515625" customWidth="1"/>
    <col min="3" max="3" width="17.42578125" bestFit="1" customWidth="1"/>
    <col min="4" max="4" width="12.140625" bestFit="1" customWidth="1"/>
    <col min="5" max="5" width="12.5703125" customWidth="1"/>
    <col min="6" max="6" width="13.7109375" customWidth="1"/>
    <col min="7" max="7" width="37"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5" t="s">
        <v>14</v>
      </c>
      <c r="B1" s="16"/>
      <c r="C1" s="16"/>
      <c r="D1" s="16"/>
      <c r="E1" s="16"/>
      <c r="F1" s="16"/>
      <c r="G1" s="16"/>
      <c r="H1" s="17"/>
      <c r="I1" s="18"/>
      <c r="J1" s="18"/>
      <c r="K1" s="18"/>
      <c r="L1" s="18"/>
      <c r="M1" s="18"/>
      <c r="N1" s="19"/>
      <c r="O1" s="20" t="e">
        <v>#REF!</v>
      </c>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05">
      <c r="A2" s="23" t="s">
        <v>15</v>
      </c>
      <c r="B2" s="17" t="str">
        <f>'7PSourceSummary'!D2</f>
        <v>Water Cooler Controls</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05">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05">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05">
      <c r="A6" s="29" t="s">
        <v>17</v>
      </c>
      <c r="B6" s="30"/>
      <c r="C6" s="30"/>
      <c r="D6" s="30"/>
      <c r="E6" s="30"/>
      <c r="F6" s="30"/>
      <c r="G6" s="31"/>
      <c r="H6" s="32"/>
      <c r="I6" s="365" t="s">
        <v>18</v>
      </c>
      <c r="J6" s="366"/>
      <c r="K6" s="366"/>
      <c r="L6" s="366"/>
      <c r="M6" s="366"/>
      <c r="N6" s="367"/>
      <c r="O6" s="368" t="s">
        <v>19</v>
      </c>
      <c r="P6" s="369"/>
      <c r="Q6" s="33" t="s">
        <v>20</v>
      </c>
      <c r="R6" s="370" t="s">
        <v>21</v>
      </c>
      <c r="S6" s="370"/>
      <c r="T6" s="370"/>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05"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40"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05" ht="15">
      <c r="A8" s="45" t="str">
        <f>MMap!A13</f>
        <v>Timer on ES1.7 Hot &amp; Cold Water Cooler</v>
      </c>
      <c r="B8" s="45" t="str">
        <f>MMap!B13</f>
        <v>Timer on ES1.7 Hot &amp; Cold Water Cooler</v>
      </c>
      <c r="C8" s="91">
        <f>MMap!C13</f>
        <v>262.8</v>
      </c>
      <c r="D8" s="92">
        <f>MMap!D13</f>
        <v>6</v>
      </c>
      <c r="E8" s="47">
        <f>MMap!E13</f>
        <v>25.3475</v>
      </c>
      <c r="F8" s="47"/>
      <c r="G8" s="88" t="s">
        <v>115</v>
      </c>
      <c r="H8" s="46"/>
      <c r="I8" s="46"/>
      <c r="J8" s="46"/>
      <c r="K8" s="46"/>
      <c r="L8" s="46"/>
      <c r="M8" s="46"/>
      <c r="N8" s="46"/>
      <c r="O8" s="24"/>
      <c r="P8" s="48"/>
      <c r="Q8" s="49"/>
      <c r="R8" s="46"/>
      <c r="S8" s="46"/>
      <c r="T8" s="46"/>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05" ht="15">
      <c r="A9" s="45" t="str">
        <f>MMap!A14</f>
        <v>Timer on ES Qualifying 1.7 Hot &amp; Cold Water Cooler</v>
      </c>
      <c r="B9" s="45" t="str">
        <f>MMap!B14</f>
        <v>Timer on ES Qualifying 1.7 Hot &amp; Cold Water Cooler</v>
      </c>
      <c r="C9" s="91">
        <f>MMap!C14</f>
        <v>219</v>
      </c>
      <c r="D9" s="92">
        <f>MMap!D14</f>
        <v>6</v>
      </c>
      <c r="E9" s="47">
        <f>MMap!E14</f>
        <v>25.3475</v>
      </c>
      <c r="F9" s="47"/>
      <c r="G9" s="88" t="s">
        <v>115</v>
      </c>
      <c r="H9" s="24"/>
      <c r="I9" s="24"/>
      <c r="J9" s="24"/>
      <c r="K9" s="24"/>
      <c r="L9" s="24"/>
      <c r="M9" s="24"/>
      <c r="N9" s="24"/>
      <c r="O9" s="24"/>
      <c r="P9" s="48"/>
      <c r="Q9" s="50"/>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0" spans="1:105" ht="15">
      <c r="A10" s="45" t="str">
        <f>MMap!A15</f>
        <v>Timer on Non-Compliant ES1.7 Water Cooler</v>
      </c>
      <c r="B10" s="45" t="str">
        <f>MMap!B15</f>
        <v>Timer on Non-Compliant ES1.7 Water Cooler</v>
      </c>
      <c r="C10" s="91">
        <f>MMap!C15</f>
        <v>416.09999999999997</v>
      </c>
      <c r="D10" s="92">
        <f>MMap!D15</f>
        <v>6</v>
      </c>
      <c r="E10" s="47">
        <f>MMap!E15</f>
        <v>25.3475</v>
      </c>
      <c r="F10" s="47"/>
      <c r="G10" s="88" t="s">
        <v>115</v>
      </c>
      <c r="H10" s="24"/>
      <c r="I10" s="24"/>
      <c r="J10" s="24"/>
      <c r="K10" s="24"/>
      <c r="L10" s="24"/>
      <c r="M10" s="24"/>
      <c r="N10" s="24"/>
      <c r="O10" s="24"/>
      <c r="P10" s="48"/>
      <c r="Q10" s="50"/>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row>
    <row r="11" spans="1:105" ht="15">
      <c r="A11" s="45" t="str">
        <f>MMap!A20</f>
        <v>Timer on ES 2.0 Cold Only Water Cooler</v>
      </c>
      <c r="B11" s="45" t="str">
        <f>MMap!B20</f>
        <v>Timer on ES 2.0 Cold Only Water Cooler</v>
      </c>
      <c r="C11" s="91">
        <f>MMap!C20</f>
        <v>35.04</v>
      </c>
      <c r="D11" s="92">
        <f>MMap!D20</f>
        <v>6</v>
      </c>
      <c r="E11" s="47">
        <f>MMap!E20</f>
        <v>25.3475</v>
      </c>
      <c r="F11" s="47"/>
      <c r="G11" s="88" t="s">
        <v>115</v>
      </c>
      <c r="H11" s="24"/>
      <c r="I11" s="24"/>
      <c r="J11" s="24"/>
      <c r="K11" s="24"/>
      <c r="L11" s="24"/>
      <c r="M11" s="24"/>
      <c r="N11" s="24"/>
      <c r="O11" s="24"/>
      <c r="P11" s="24"/>
      <c r="Q11" s="90"/>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row>
    <row r="12" spans="1:105" ht="15">
      <c r="A12" s="45" t="str">
        <f>MMap!A16</f>
        <v>Timer on Stock Average Hot &amp; Cold Water Cooler</v>
      </c>
      <c r="B12" s="45" t="str">
        <f>MMap!B16</f>
        <v>Timer on Stock Average Hot &amp; Cold Water Cooler</v>
      </c>
      <c r="C12" s="91">
        <f>MMap!C16</f>
        <v>287.98500000000001</v>
      </c>
      <c r="D12" s="92">
        <f>MMap!D16</f>
        <v>6</v>
      </c>
      <c r="E12" s="47">
        <f>MMap!E16</f>
        <v>25.3475</v>
      </c>
      <c r="F12" s="47"/>
      <c r="G12" s="88" t="s">
        <v>115</v>
      </c>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row>
    <row r="13" spans="1:105" ht="15">
      <c r="A13" s="45" t="str">
        <f>MMap!A17</f>
        <v>Timer on Market Average Hot &amp; Cold Water Cooler</v>
      </c>
      <c r="B13" s="45" t="str">
        <f>MMap!B17</f>
        <v>Timer on Market Average Hot &amp; Cold Water Cooler</v>
      </c>
      <c r="C13" s="91">
        <f>MMap!C17</f>
        <v>237.28649999999999</v>
      </c>
      <c r="D13" s="92">
        <f>MMap!D17</f>
        <v>6</v>
      </c>
      <c r="E13" s="47">
        <f>MMap!E17</f>
        <v>25.3475</v>
      </c>
      <c r="F13" s="47"/>
      <c r="G13" s="88" t="s">
        <v>115</v>
      </c>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row>
    <row r="14" spans="1:105" ht="15">
      <c r="A14" s="45" t="str">
        <f>MMap!A18</f>
        <v>Timer on ES 2.0 Hot &amp; Cold Water Cooler</v>
      </c>
      <c r="B14" s="45" t="str">
        <f>MMap!B18</f>
        <v>Timer on ES 2.0 Hot &amp; Cold Water Cooler</v>
      </c>
      <c r="C14" s="91">
        <f>MMap!C18</f>
        <v>190.53</v>
      </c>
      <c r="D14" s="92">
        <f>MMap!D18</f>
        <v>6</v>
      </c>
      <c r="E14" s="47">
        <f>MMap!E18</f>
        <v>25.3475</v>
      </c>
      <c r="F14" s="47"/>
      <c r="G14" s="88" t="s">
        <v>115</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row>
    <row r="15" spans="1:105" ht="15">
      <c r="A15" s="45" t="str">
        <f>MMap!A19</f>
        <v>Market Average to ES 2.0 Upgrade</v>
      </c>
      <c r="B15" s="45" t="str">
        <f>MMap!B19</f>
        <v>Market Average to ES 2.0 Upgrade</v>
      </c>
      <c r="C15" s="91">
        <f>MMap!C19</f>
        <v>103.47750000000003</v>
      </c>
      <c r="D15" s="92">
        <f>MMap!D19</f>
        <v>6</v>
      </c>
      <c r="E15" s="47">
        <f>MMap!E19</f>
        <v>35</v>
      </c>
      <c r="F15" s="47"/>
      <c r="G15" s="88" t="s">
        <v>1390</v>
      </c>
      <c r="O15" s="24"/>
    </row>
    <row r="18" spans="1:131">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134" t="s">
        <v>797</v>
      </c>
      <c r="B19" s="135"/>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t="s">
        <v>798</v>
      </c>
      <c r="B20" s="24" t="s">
        <v>799</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t="s">
        <v>800</v>
      </c>
      <c r="B21" s="24" t="s">
        <v>1391</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ht="13.5" thickBot="1">
      <c r="A23" s="121" t="s">
        <v>801</v>
      </c>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22"/>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c r="B24" s="137" t="s">
        <v>802</v>
      </c>
      <c r="C24" s="138"/>
      <c r="D24" s="138" t="s">
        <v>802</v>
      </c>
      <c r="E24" s="139"/>
      <c r="F24" s="24"/>
      <c r="G24" s="137" t="s">
        <v>803</v>
      </c>
      <c r="H24" s="138"/>
      <c r="I24" s="138"/>
      <c r="J24" s="138"/>
      <c r="K24" s="138"/>
      <c r="L24" s="138"/>
      <c r="M24" s="138"/>
      <c r="N24" s="138"/>
      <c r="O24" s="139"/>
      <c r="P24" s="24"/>
      <c r="Q24" s="137" t="s">
        <v>804</v>
      </c>
      <c r="R24" s="138"/>
      <c r="S24" s="138"/>
      <c r="T24" s="138"/>
      <c r="U24" s="139"/>
      <c r="V24" s="24"/>
      <c r="W24" s="137" t="s">
        <v>805</v>
      </c>
      <c r="X24" s="139"/>
      <c r="Y24" s="24"/>
      <c r="Z24" s="137" t="s">
        <v>806</v>
      </c>
      <c r="AA24" s="138"/>
      <c r="AB24" s="139"/>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c r="B25" s="140" t="s">
        <v>807</v>
      </c>
      <c r="C25" s="141" t="s">
        <v>808</v>
      </c>
      <c r="D25" s="141" t="s">
        <v>807</v>
      </c>
      <c r="E25" s="142" t="s">
        <v>808</v>
      </c>
      <c r="F25" s="24"/>
      <c r="G25" s="140" t="s">
        <v>809</v>
      </c>
      <c r="H25" s="141" t="s">
        <v>1389</v>
      </c>
      <c r="I25" s="141"/>
      <c r="J25" s="141"/>
      <c r="K25" s="141" t="s">
        <v>810</v>
      </c>
      <c r="L25" s="141"/>
      <c r="M25" s="141"/>
      <c r="N25" s="141"/>
      <c r="O25" s="142"/>
      <c r="P25" s="24"/>
      <c r="Q25" s="140"/>
      <c r="R25" s="141" t="s">
        <v>811</v>
      </c>
      <c r="S25" s="141" t="s">
        <v>812</v>
      </c>
      <c r="T25" s="141" t="s">
        <v>813</v>
      </c>
      <c r="U25" s="142" t="s">
        <v>814</v>
      </c>
      <c r="V25" s="24"/>
      <c r="W25" s="140" t="s">
        <v>815</v>
      </c>
      <c r="X25" s="142">
        <v>20</v>
      </c>
      <c r="Y25" s="24"/>
      <c r="Z25" s="140"/>
      <c r="AA25" s="141" t="s">
        <v>808</v>
      </c>
      <c r="AB25" s="142" t="s">
        <v>816</v>
      </c>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c r="B26" s="140" t="s">
        <v>817</v>
      </c>
      <c r="C26" s="141" t="s">
        <v>818</v>
      </c>
      <c r="D26" s="141" t="s">
        <v>817</v>
      </c>
      <c r="E26" s="142" t="s">
        <v>818</v>
      </c>
      <c r="F26" s="24"/>
      <c r="G26" s="140" t="s">
        <v>819</v>
      </c>
      <c r="H26" s="141" t="s">
        <v>820</v>
      </c>
      <c r="I26" s="141"/>
      <c r="J26" s="141"/>
      <c r="K26" s="141" t="s">
        <v>821</v>
      </c>
      <c r="L26" s="141"/>
      <c r="M26" s="141"/>
      <c r="N26" s="141"/>
      <c r="O26" s="142"/>
      <c r="P26" s="24"/>
      <c r="Q26" s="140" t="s">
        <v>822</v>
      </c>
      <c r="R26" s="141">
        <v>6.8012888465852586E-2</v>
      </c>
      <c r="S26" s="141">
        <v>4.387844424080023E-2</v>
      </c>
      <c r="T26" s="141">
        <v>5.3289007766645871E-2</v>
      </c>
      <c r="U26" s="142">
        <v>5.447903102274565E-2</v>
      </c>
      <c r="V26" s="24"/>
      <c r="W26" s="140" t="s">
        <v>823</v>
      </c>
      <c r="X26" s="142">
        <v>2016</v>
      </c>
      <c r="Y26" s="24"/>
      <c r="Z26" s="140" t="s">
        <v>824</v>
      </c>
      <c r="AA26" s="141">
        <v>4.03890184699085E-3</v>
      </c>
      <c r="AB26" s="142">
        <v>0.01</v>
      </c>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c r="A27" s="24"/>
      <c r="B27" s="140" t="s">
        <v>825</v>
      </c>
      <c r="C27" s="141" t="s">
        <v>826</v>
      </c>
      <c r="D27" s="141" t="s">
        <v>825</v>
      </c>
      <c r="E27" s="142" t="s">
        <v>826</v>
      </c>
      <c r="F27" s="24"/>
      <c r="G27" s="140" t="s">
        <v>827</v>
      </c>
      <c r="H27" s="141" t="s">
        <v>828</v>
      </c>
      <c r="I27" s="141"/>
      <c r="J27" s="141"/>
      <c r="K27" s="141" t="s">
        <v>829</v>
      </c>
      <c r="L27" s="141"/>
      <c r="M27" s="141"/>
      <c r="N27" s="141"/>
      <c r="O27" s="142"/>
      <c r="P27" s="24"/>
      <c r="Q27" s="140" t="s">
        <v>830</v>
      </c>
      <c r="R27" s="141">
        <v>12</v>
      </c>
      <c r="S27" s="141">
        <v>12</v>
      </c>
      <c r="T27" s="141">
        <v>1</v>
      </c>
      <c r="U27" s="142">
        <v>1</v>
      </c>
      <c r="V27" s="24"/>
      <c r="W27" s="140" t="s">
        <v>831</v>
      </c>
      <c r="X27" s="142">
        <v>2016</v>
      </c>
      <c r="Y27" s="24"/>
      <c r="Z27" s="140" t="s">
        <v>832</v>
      </c>
      <c r="AA27" s="141">
        <v>26</v>
      </c>
      <c r="AB27" s="142">
        <v>0</v>
      </c>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ht="13.5" thickBot="1">
      <c r="A28" s="24"/>
      <c r="B28" s="143" t="s">
        <v>833</v>
      </c>
      <c r="C28" s="144" t="s">
        <v>826</v>
      </c>
      <c r="D28" s="144" t="s">
        <v>833</v>
      </c>
      <c r="E28" s="145" t="s">
        <v>826</v>
      </c>
      <c r="F28" s="24"/>
      <c r="G28" s="140" t="s">
        <v>834</v>
      </c>
      <c r="H28" s="141" t="s">
        <v>835</v>
      </c>
      <c r="I28" s="141"/>
      <c r="J28" s="141"/>
      <c r="K28" s="141" t="s">
        <v>821</v>
      </c>
      <c r="L28" s="141"/>
      <c r="M28" s="141"/>
      <c r="N28" s="141"/>
      <c r="O28" s="142"/>
      <c r="P28" s="24"/>
      <c r="Q28" s="140"/>
      <c r="R28" s="141" t="s">
        <v>811</v>
      </c>
      <c r="S28" s="141" t="s">
        <v>812</v>
      </c>
      <c r="T28" s="141" t="s">
        <v>813</v>
      </c>
      <c r="U28" s="142" t="s">
        <v>814</v>
      </c>
      <c r="V28" s="24"/>
      <c r="W28" s="140" t="s">
        <v>836</v>
      </c>
      <c r="X28" s="142">
        <v>2012</v>
      </c>
      <c r="Y28" s="24"/>
      <c r="Z28" s="140" t="s">
        <v>837</v>
      </c>
      <c r="AA28" s="141">
        <v>0.9</v>
      </c>
      <c r="AB28" s="142" t="s">
        <v>838</v>
      </c>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row r="29" spans="1:131">
      <c r="A29" s="24"/>
      <c r="B29" s="24"/>
      <c r="C29" s="24"/>
      <c r="D29" s="24"/>
      <c r="E29" s="24"/>
      <c r="F29" s="24"/>
      <c r="G29" s="140" t="s">
        <v>839</v>
      </c>
      <c r="H29" s="141" t="s">
        <v>828</v>
      </c>
      <c r="I29" s="141"/>
      <c r="J29" s="141"/>
      <c r="K29" s="141"/>
      <c r="L29" s="141"/>
      <c r="M29" s="141"/>
      <c r="N29" s="141"/>
      <c r="O29" s="142"/>
      <c r="P29" s="24"/>
      <c r="Q29" s="140" t="s">
        <v>840</v>
      </c>
      <c r="R29" s="141">
        <v>0.35</v>
      </c>
      <c r="S29" s="141">
        <v>0.19500000000000001</v>
      </c>
      <c r="T29" s="141">
        <v>0.45499999999999996</v>
      </c>
      <c r="U29" s="142">
        <v>0</v>
      </c>
      <c r="V29" s="24"/>
      <c r="W29" s="140" t="s">
        <v>841</v>
      </c>
      <c r="X29" s="142">
        <v>0.04</v>
      </c>
      <c r="Y29" s="24"/>
      <c r="Z29" s="140" t="s">
        <v>842</v>
      </c>
      <c r="AA29" s="141">
        <v>4.7399348199455904E-2</v>
      </c>
      <c r="AB29" s="142">
        <v>0</v>
      </c>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row>
    <row r="30" spans="1:131">
      <c r="A30" s="24"/>
      <c r="B30" s="24" t="s">
        <v>843</v>
      </c>
      <c r="C30" s="24" t="s">
        <v>808</v>
      </c>
      <c r="D30" s="24"/>
      <c r="E30" s="24"/>
      <c r="F30" s="24"/>
      <c r="G30" s="140" t="s">
        <v>844</v>
      </c>
      <c r="H30" s="141" t="s">
        <v>845</v>
      </c>
      <c r="I30" s="141"/>
      <c r="J30" s="141"/>
      <c r="K30" s="141" t="s">
        <v>846</v>
      </c>
      <c r="L30" s="141"/>
      <c r="M30" s="141"/>
      <c r="N30" s="141"/>
      <c r="O30" s="142"/>
      <c r="P30" s="24"/>
      <c r="Q30" s="140" t="s">
        <v>847</v>
      </c>
      <c r="R30" s="141">
        <v>1</v>
      </c>
      <c r="S30" s="141">
        <v>0</v>
      </c>
      <c r="T30" s="141">
        <v>0</v>
      </c>
      <c r="U30" s="142">
        <v>0</v>
      </c>
      <c r="V30" s="24"/>
      <c r="W30" s="140" t="s">
        <v>848</v>
      </c>
      <c r="X30" s="142">
        <v>0</v>
      </c>
      <c r="Y30" s="24"/>
      <c r="Z30" s="140" t="s">
        <v>849</v>
      </c>
      <c r="AA30" s="141">
        <v>31</v>
      </c>
      <c r="AB30" s="142">
        <v>0</v>
      </c>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row>
    <row r="31" spans="1:131">
      <c r="A31" s="24"/>
      <c r="B31" s="24" t="s">
        <v>850</v>
      </c>
      <c r="C31" s="24" t="s">
        <v>851</v>
      </c>
      <c r="D31" s="24"/>
      <c r="E31" s="24"/>
      <c r="F31" s="24"/>
      <c r="G31" s="140" t="s">
        <v>852</v>
      </c>
      <c r="H31" s="141" t="s">
        <v>846</v>
      </c>
      <c r="I31" s="141"/>
      <c r="J31" s="141"/>
      <c r="K31" s="141" t="s">
        <v>853</v>
      </c>
      <c r="L31" s="141"/>
      <c r="M31" s="141"/>
      <c r="N31" s="141"/>
      <c r="O31" s="142"/>
      <c r="P31" s="24"/>
      <c r="Q31" s="140" t="s">
        <v>854</v>
      </c>
      <c r="R31" s="141">
        <v>1</v>
      </c>
      <c r="S31" s="141">
        <v>0</v>
      </c>
      <c r="T31" s="141">
        <v>0</v>
      </c>
      <c r="U31" s="142">
        <v>0</v>
      </c>
      <c r="V31" s="24"/>
      <c r="W31" s="140" t="s">
        <v>855</v>
      </c>
      <c r="X31" s="142">
        <v>0.2</v>
      </c>
      <c r="Y31" s="24"/>
      <c r="Z31" s="140" t="s">
        <v>856</v>
      </c>
      <c r="AA31" s="141">
        <v>0.7</v>
      </c>
      <c r="AB31" s="142" t="s">
        <v>838</v>
      </c>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row>
    <row r="32" spans="1:131">
      <c r="A32" s="24"/>
      <c r="B32" s="24" t="s">
        <v>857</v>
      </c>
      <c r="C32" s="24" t="s">
        <v>858</v>
      </c>
      <c r="D32" s="24"/>
      <c r="E32" s="24"/>
      <c r="F32" s="24"/>
      <c r="G32" s="140" t="s">
        <v>859</v>
      </c>
      <c r="H32" s="141" t="s">
        <v>853</v>
      </c>
      <c r="I32" s="141"/>
      <c r="J32" s="141"/>
      <c r="K32" s="141" t="s">
        <v>860</v>
      </c>
      <c r="L32" s="141"/>
      <c r="M32" s="141"/>
      <c r="N32" s="141"/>
      <c r="O32" s="142"/>
      <c r="P32" s="24"/>
      <c r="Q32" s="140" t="s">
        <v>861</v>
      </c>
      <c r="R32" s="141"/>
      <c r="S32" s="141">
        <v>0.3</v>
      </c>
      <c r="T32" s="141">
        <v>0.7</v>
      </c>
      <c r="U32" s="142">
        <v>0</v>
      </c>
      <c r="V32" s="24"/>
      <c r="W32" s="140" t="s">
        <v>862</v>
      </c>
      <c r="X32" s="142">
        <v>0</v>
      </c>
      <c r="Y32" s="24"/>
      <c r="Z32" s="140" t="s">
        <v>863</v>
      </c>
      <c r="AA32" s="141">
        <v>0</v>
      </c>
      <c r="AB32" s="142">
        <v>0</v>
      </c>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row>
    <row r="33" spans="1:131" ht="13.5" thickBot="1">
      <c r="A33" s="24"/>
      <c r="B33" s="24" t="s">
        <v>864</v>
      </c>
      <c r="C33" s="24" t="s">
        <v>865</v>
      </c>
      <c r="D33" s="24"/>
      <c r="E33" s="24"/>
      <c r="F33" s="24"/>
      <c r="G33" s="143" t="s">
        <v>866</v>
      </c>
      <c r="H33" s="144" t="s">
        <v>860</v>
      </c>
      <c r="I33" s="144"/>
      <c r="J33" s="144"/>
      <c r="K33" s="144"/>
      <c r="L33" s="144"/>
      <c r="M33" s="144"/>
      <c r="N33" s="144"/>
      <c r="O33" s="145"/>
      <c r="P33" s="24"/>
      <c r="Q33" s="143" t="s">
        <v>867</v>
      </c>
      <c r="R33" s="144"/>
      <c r="S33" s="144">
        <v>20</v>
      </c>
      <c r="T33" s="144"/>
      <c r="U33" s="145"/>
      <c r="V33" s="24"/>
      <c r="W33" s="143" t="s">
        <v>868</v>
      </c>
      <c r="X33" s="145">
        <v>2018</v>
      </c>
      <c r="Y33" s="24"/>
      <c r="Z33" s="143" t="s">
        <v>869</v>
      </c>
      <c r="AA33" s="144">
        <v>0</v>
      </c>
      <c r="AB33" s="145">
        <v>0</v>
      </c>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ht="13.5" thickBot="1">
      <c r="A41" s="121" t="s">
        <v>870</v>
      </c>
      <c r="B41" s="122"/>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ht="26.25" thickBot="1">
      <c r="A42" s="146" t="s">
        <v>871</v>
      </c>
      <c r="B42" s="147"/>
      <c r="C42" s="148" t="s">
        <v>872</v>
      </c>
      <c r="D42" s="149"/>
      <c r="E42" s="149"/>
      <c r="F42" s="149"/>
      <c r="G42" s="149"/>
      <c r="H42" s="149"/>
      <c r="I42" s="149"/>
      <c r="J42" s="149"/>
      <c r="K42" s="150"/>
      <c r="L42" s="148" t="s">
        <v>83</v>
      </c>
      <c r="M42" s="149"/>
      <c r="N42" s="149"/>
      <c r="O42" s="149"/>
      <c r="P42" s="149"/>
      <c r="Q42" s="150"/>
      <c r="R42" s="148" t="s">
        <v>873</v>
      </c>
      <c r="S42" s="149"/>
      <c r="T42" s="149"/>
      <c r="U42" s="150"/>
      <c r="V42" s="148" t="s">
        <v>874</v>
      </c>
      <c r="W42" s="149"/>
      <c r="X42" s="149"/>
      <c r="Y42" s="150"/>
      <c r="Z42" s="148" t="s">
        <v>875</v>
      </c>
      <c r="AA42" s="149"/>
      <c r="AB42" s="149"/>
      <c r="AC42" s="150"/>
      <c r="AD42" s="148" t="s">
        <v>876</v>
      </c>
      <c r="AE42" s="149"/>
      <c r="AF42" s="149"/>
      <c r="AG42" s="150"/>
      <c r="AH42" s="148" t="s">
        <v>877</v>
      </c>
      <c r="AI42" s="149"/>
      <c r="AJ42" s="149"/>
      <c r="AK42" s="149"/>
      <c r="AL42" s="150"/>
      <c r="AM42" s="148" t="s">
        <v>878</v>
      </c>
      <c r="AN42" s="149"/>
      <c r="AO42" s="149"/>
      <c r="AP42" s="149"/>
      <c r="AQ42" s="149"/>
      <c r="AR42" s="149"/>
      <c r="AS42" s="150"/>
      <c r="AT42" s="148" t="s">
        <v>879</v>
      </c>
      <c r="AU42" s="149"/>
      <c r="AV42" s="149"/>
      <c r="AW42" s="149"/>
      <c r="AX42" s="149"/>
      <c r="AY42" s="149"/>
      <c r="AZ42" s="150"/>
      <c r="BA42" s="148" t="s">
        <v>880</v>
      </c>
      <c r="BB42" s="149"/>
      <c r="BC42" s="149"/>
      <c r="BD42" s="149"/>
      <c r="BE42" s="149"/>
      <c r="BF42" s="150"/>
      <c r="BG42" s="148" t="s">
        <v>881</v>
      </c>
      <c r="BH42" s="150"/>
      <c r="BI42" s="148" t="s">
        <v>882</v>
      </c>
      <c r="BJ42" s="149"/>
      <c r="BK42" s="149"/>
      <c r="BL42" s="149"/>
      <c r="BM42" s="150"/>
      <c r="BN42" s="148" t="s">
        <v>883</v>
      </c>
      <c r="BO42" s="149"/>
      <c r="BP42" s="149"/>
      <c r="BQ42" s="149"/>
      <c r="BR42" s="149"/>
      <c r="BS42" s="149"/>
      <c r="BT42" s="149"/>
      <c r="BU42" s="149"/>
      <c r="BV42" s="149"/>
      <c r="BW42" s="149"/>
      <c r="BX42" s="149"/>
      <c r="BY42" s="149"/>
      <c r="BZ42" s="149"/>
      <c r="CA42" s="149"/>
      <c r="CB42" s="149"/>
      <c r="CC42" s="150"/>
      <c r="CD42" s="148" t="s">
        <v>884</v>
      </c>
      <c r="CE42" s="150"/>
      <c r="CF42" s="148" t="s">
        <v>885</v>
      </c>
      <c r="CG42" s="149"/>
      <c r="CH42" s="149"/>
      <c r="CI42" s="149"/>
      <c r="CJ42" s="149"/>
      <c r="CK42" s="150"/>
      <c r="CL42" s="151"/>
      <c r="CM42" s="148" t="s">
        <v>19</v>
      </c>
      <c r="CN42" s="149"/>
      <c r="CO42" s="149"/>
      <c r="CP42" s="150"/>
      <c r="CQ42" s="148" t="s">
        <v>886</v>
      </c>
      <c r="CR42" s="149"/>
      <c r="CS42" s="149"/>
      <c r="CT42" s="149"/>
      <c r="CU42" s="150"/>
      <c r="CV42" s="148" t="s">
        <v>887</v>
      </c>
      <c r="CW42" s="150"/>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ht="127.5">
      <c r="A43" s="129" t="s">
        <v>81</v>
      </c>
      <c r="B43" s="130" t="s">
        <v>82</v>
      </c>
      <c r="C43" s="131" t="s">
        <v>11</v>
      </c>
      <c r="D43" s="131" t="s">
        <v>888</v>
      </c>
      <c r="E43" s="131" t="s">
        <v>889</v>
      </c>
      <c r="F43" s="131" t="s">
        <v>890</v>
      </c>
      <c r="G43" s="131" t="s">
        <v>891</v>
      </c>
      <c r="H43" s="131" t="s">
        <v>892</v>
      </c>
      <c r="I43" s="131" t="s">
        <v>893</v>
      </c>
      <c r="J43" s="131" t="s">
        <v>894</v>
      </c>
      <c r="K43" s="131" t="s">
        <v>895</v>
      </c>
      <c r="L43" s="131" t="s">
        <v>896</v>
      </c>
      <c r="M43" s="131" t="s">
        <v>897</v>
      </c>
      <c r="N43" s="131" t="s">
        <v>898</v>
      </c>
      <c r="O43" s="131" t="s">
        <v>899</v>
      </c>
      <c r="P43" s="131" t="s">
        <v>900</v>
      </c>
      <c r="Q43" s="131" t="s">
        <v>901</v>
      </c>
      <c r="R43" s="131" t="s">
        <v>902</v>
      </c>
      <c r="S43" s="131" t="s">
        <v>903</v>
      </c>
      <c r="T43" s="131" t="s">
        <v>904</v>
      </c>
      <c r="U43" s="131" t="s">
        <v>811</v>
      </c>
      <c r="V43" s="131" t="s">
        <v>902</v>
      </c>
      <c r="W43" s="131" t="s">
        <v>903</v>
      </c>
      <c r="X43" s="131" t="s">
        <v>904</v>
      </c>
      <c r="Y43" s="131" t="s">
        <v>811</v>
      </c>
      <c r="Z43" s="131" t="s">
        <v>902</v>
      </c>
      <c r="AA43" s="131" t="s">
        <v>903</v>
      </c>
      <c r="AB43" s="131" t="s">
        <v>904</v>
      </c>
      <c r="AC43" s="131" t="s">
        <v>811</v>
      </c>
      <c r="AD43" s="131" t="s">
        <v>902</v>
      </c>
      <c r="AE43" s="131" t="s">
        <v>903</v>
      </c>
      <c r="AF43" s="131" t="s">
        <v>904</v>
      </c>
      <c r="AG43" s="131" t="s">
        <v>811</v>
      </c>
      <c r="AH43" s="131" t="s">
        <v>902</v>
      </c>
      <c r="AI43" s="131" t="s">
        <v>903</v>
      </c>
      <c r="AJ43" s="131" t="s">
        <v>904</v>
      </c>
      <c r="AK43" s="131" t="s">
        <v>811</v>
      </c>
      <c r="AL43" s="131" t="s">
        <v>905</v>
      </c>
      <c r="AM43" s="131" t="s">
        <v>906</v>
      </c>
      <c r="AN43" s="131" t="s">
        <v>907</v>
      </c>
      <c r="AO43" s="131" t="s">
        <v>908</v>
      </c>
      <c r="AP43" s="131" t="s">
        <v>909</v>
      </c>
      <c r="AQ43" s="131" t="s">
        <v>910</v>
      </c>
      <c r="AR43" s="131" t="s">
        <v>911</v>
      </c>
      <c r="AS43" s="131" t="s">
        <v>912</v>
      </c>
      <c r="AT43" s="131" t="s">
        <v>913</v>
      </c>
      <c r="AU43" s="131" t="s">
        <v>914</v>
      </c>
      <c r="AV43" s="131" t="s">
        <v>915</v>
      </c>
      <c r="AW43" s="131" t="s">
        <v>916</v>
      </c>
      <c r="AX43" s="131" t="s">
        <v>917</v>
      </c>
      <c r="AY43" s="131" t="s">
        <v>918</v>
      </c>
      <c r="AZ43" s="131" t="s">
        <v>919</v>
      </c>
      <c r="BA43" s="131" t="s">
        <v>920</v>
      </c>
      <c r="BB43" s="131" t="s">
        <v>921</v>
      </c>
      <c r="BC43" s="131" t="s">
        <v>922</v>
      </c>
      <c r="BD43" s="131" t="s">
        <v>923</v>
      </c>
      <c r="BE43" s="131" t="s">
        <v>924</v>
      </c>
      <c r="BF43" s="131" t="s">
        <v>925</v>
      </c>
      <c r="BG43" s="131" t="s">
        <v>926</v>
      </c>
      <c r="BH43" s="131" t="s">
        <v>927</v>
      </c>
      <c r="BI43" s="131" t="s">
        <v>928</v>
      </c>
      <c r="BJ43" s="131" t="s">
        <v>929</v>
      </c>
      <c r="BK43" s="131" t="s">
        <v>930</v>
      </c>
      <c r="BL43" s="131" t="s">
        <v>931</v>
      </c>
      <c r="BM43" s="131" t="s">
        <v>932</v>
      </c>
      <c r="BN43" s="131" t="s">
        <v>933</v>
      </c>
      <c r="BO43" s="131" t="s">
        <v>934</v>
      </c>
      <c r="BP43" s="131" t="s">
        <v>935</v>
      </c>
      <c r="BQ43" s="131" t="s">
        <v>936</v>
      </c>
      <c r="BR43" s="131" t="s">
        <v>937</v>
      </c>
      <c r="BS43" s="131" t="s">
        <v>938</v>
      </c>
      <c r="BT43" s="131" t="s">
        <v>939</v>
      </c>
      <c r="BU43" s="131" t="s">
        <v>940</v>
      </c>
      <c r="BV43" s="131" t="s">
        <v>941</v>
      </c>
      <c r="BW43" s="131" t="s">
        <v>942</v>
      </c>
      <c r="BX43" s="131" t="s">
        <v>943</v>
      </c>
      <c r="BY43" s="131" t="s">
        <v>944</v>
      </c>
      <c r="BZ43" s="131" t="s">
        <v>945</v>
      </c>
      <c r="CA43" s="131" t="s">
        <v>946</v>
      </c>
      <c r="CB43" s="131" t="s">
        <v>947</v>
      </c>
      <c r="CC43" s="131" t="s">
        <v>948</v>
      </c>
      <c r="CD43" s="131" t="s">
        <v>782</v>
      </c>
      <c r="CE43" s="131" t="s">
        <v>781</v>
      </c>
      <c r="CF43" s="131" t="s">
        <v>949</v>
      </c>
      <c r="CG43" s="131" t="s">
        <v>950</v>
      </c>
      <c r="CH43" s="131" t="s">
        <v>951</v>
      </c>
      <c r="CI43" s="131" t="s">
        <v>952</v>
      </c>
      <c r="CJ43" s="131" t="s">
        <v>953</v>
      </c>
      <c r="CK43" s="131" t="s">
        <v>954</v>
      </c>
      <c r="CL43" s="131"/>
      <c r="CM43" s="131" t="s">
        <v>955</v>
      </c>
      <c r="CN43" s="131" t="s">
        <v>956</v>
      </c>
      <c r="CO43" s="131" t="s">
        <v>957</v>
      </c>
      <c r="CP43" s="131" t="s">
        <v>958</v>
      </c>
      <c r="CQ43" s="131" t="s">
        <v>959</v>
      </c>
      <c r="CR43" s="131" t="s">
        <v>960</v>
      </c>
      <c r="CS43" s="131" t="s">
        <v>961</v>
      </c>
      <c r="CT43" s="131" t="s">
        <v>962</v>
      </c>
      <c r="CU43" s="131" t="s">
        <v>963</v>
      </c>
      <c r="CV43" s="131" t="s">
        <v>964</v>
      </c>
      <c r="CW43" s="152" t="s">
        <v>965</v>
      </c>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c r="A44" s="24" t="s">
        <v>114</v>
      </c>
      <c r="B44" s="24" t="s">
        <v>114</v>
      </c>
      <c r="C44" s="45">
        <v>6</v>
      </c>
      <c r="D44" s="45">
        <v>262.8</v>
      </c>
      <c r="E44" s="45">
        <v>0</v>
      </c>
      <c r="F44" s="45">
        <v>25.3475</v>
      </c>
      <c r="G44" s="45">
        <v>0</v>
      </c>
      <c r="H44" s="45">
        <v>0</v>
      </c>
      <c r="I44" s="45" t="s">
        <v>115</v>
      </c>
      <c r="J44" s="45"/>
      <c r="K44" s="45"/>
      <c r="L44" s="45">
        <v>281.58861183785149</v>
      </c>
      <c r="M44" s="45">
        <v>6.4446693225602134E-2</v>
      </c>
      <c r="N44" s="45">
        <v>6.3981545894605446E-2</v>
      </c>
      <c r="O44" s="45">
        <v>0</v>
      </c>
      <c r="P44" s="45">
        <v>0</v>
      </c>
      <c r="Q44" s="45">
        <v>0</v>
      </c>
      <c r="R44" s="45">
        <v>5.0546301046338105</v>
      </c>
      <c r="S44" s="45">
        <v>11.680481366909714</v>
      </c>
      <c r="T44" s="45">
        <v>0</v>
      </c>
      <c r="U44" s="45">
        <v>57.564922337325491</v>
      </c>
      <c r="V44" s="45" t="s">
        <v>966</v>
      </c>
      <c r="W44" s="45" t="s">
        <v>966</v>
      </c>
      <c r="X44" s="45" t="s">
        <v>966</v>
      </c>
      <c r="Y44" s="45" t="s">
        <v>966</v>
      </c>
      <c r="Z44" s="45">
        <v>0</v>
      </c>
      <c r="AA44" s="45">
        <v>0</v>
      </c>
      <c r="AB44" s="45">
        <v>0</v>
      </c>
      <c r="AC44" s="45">
        <v>0</v>
      </c>
      <c r="AD44" s="45">
        <v>0</v>
      </c>
      <c r="AE44" s="45">
        <v>0</v>
      </c>
      <c r="AF44" s="45">
        <v>0</v>
      </c>
      <c r="AG44" s="45">
        <v>0</v>
      </c>
      <c r="AH44" s="45">
        <v>5.0546301046338105</v>
      </c>
      <c r="AI44" s="45">
        <v>11.680481366909714</v>
      </c>
      <c r="AJ44" s="45">
        <v>0</v>
      </c>
      <c r="AK44" s="45">
        <v>57.564922337325491</v>
      </c>
      <c r="AL44" s="45">
        <v>74.300033808869017</v>
      </c>
      <c r="AM44" s="45">
        <v>134.89448078424979</v>
      </c>
      <c r="AN44" s="45">
        <v>22.772141412538733</v>
      </c>
      <c r="AO44" s="45">
        <v>0</v>
      </c>
      <c r="AP44" s="45">
        <v>0</v>
      </c>
      <c r="AQ44" s="45">
        <v>157.66662219678852</v>
      </c>
      <c r="AR44" s="45">
        <v>5.0546301046338105</v>
      </c>
      <c r="AS44" s="132">
        <v>31.192514374543119</v>
      </c>
      <c r="AT44" s="45">
        <v>134.89448078424979</v>
      </c>
      <c r="AU44" s="45">
        <v>26.955432751659675</v>
      </c>
      <c r="AV44" s="45">
        <v>0</v>
      </c>
      <c r="AW44" s="45">
        <v>0</v>
      </c>
      <c r="AX44" s="45">
        <v>161.84991353590948</v>
      </c>
      <c r="AY44" s="45">
        <v>11.680481366909714</v>
      </c>
      <c r="AZ44" s="132">
        <v>13.85644208075389</v>
      </c>
      <c r="BA44" s="45">
        <v>134.89448078424979</v>
      </c>
      <c r="BB44" s="45">
        <v>49.727574164198408</v>
      </c>
      <c r="BC44" s="45">
        <v>0</v>
      </c>
      <c r="BD44" s="45">
        <v>0</v>
      </c>
      <c r="BE44" s="45">
        <v>184.62205494844821</v>
      </c>
      <c r="BF44" s="45">
        <v>16.735111471543526</v>
      </c>
      <c r="BG44" s="45">
        <v>-8.6212405279211204</v>
      </c>
      <c r="BH44" s="132">
        <v>11.032018236770071</v>
      </c>
      <c r="BI44" s="45">
        <v>1.3208223441113645</v>
      </c>
      <c r="BJ44" s="45">
        <v>3.0522195412968784</v>
      </c>
      <c r="BK44" s="45">
        <v>0</v>
      </c>
      <c r="BL44" s="45">
        <v>15.042255137615697</v>
      </c>
      <c r="BM44" s="45">
        <v>19.415297023023939</v>
      </c>
      <c r="BN44" s="45">
        <v>134.89448078424979</v>
      </c>
      <c r="BO44" s="45">
        <v>0</v>
      </c>
      <c r="BP44" s="45">
        <v>49.727574164198408</v>
      </c>
      <c r="BQ44" s="45">
        <v>0</v>
      </c>
      <c r="BR44" s="45">
        <v>0</v>
      </c>
      <c r="BS44" s="45">
        <v>0</v>
      </c>
      <c r="BT44" s="45">
        <v>0</v>
      </c>
      <c r="BU44" s="45">
        <v>0</v>
      </c>
      <c r="BV44" s="45">
        <v>0</v>
      </c>
      <c r="BW44" s="45">
        <v>0</v>
      </c>
      <c r="BX44" s="45">
        <v>74.300033808869017</v>
      </c>
      <c r="BY44" s="45"/>
      <c r="BZ44" s="45">
        <v>0</v>
      </c>
      <c r="CA44" s="45">
        <v>0</v>
      </c>
      <c r="CB44" s="45">
        <v>184.62205494844821</v>
      </c>
      <c r="CC44" s="45">
        <v>74.300033808869017</v>
      </c>
      <c r="CD44" s="132">
        <v>2.4848179130493251</v>
      </c>
      <c r="CE44" s="45">
        <v>6.4210146096945779</v>
      </c>
      <c r="CF44" s="45">
        <v>2.6751072538365275</v>
      </c>
      <c r="CG44" s="45">
        <v>0</v>
      </c>
      <c r="CH44" s="45">
        <v>2.6751072538365275</v>
      </c>
      <c r="CI44" s="45">
        <v>0.13375459062297945</v>
      </c>
      <c r="CJ44" s="45">
        <v>0</v>
      </c>
      <c r="CK44" s="45">
        <v>0.13375459062297945</v>
      </c>
      <c r="CL44" s="45"/>
      <c r="CM44" s="45">
        <v>0</v>
      </c>
      <c r="CN44" s="45"/>
      <c r="CO44" s="45">
        <v>0</v>
      </c>
      <c r="CP44" s="45">
        <v>0</v>
      </c>
      <c r="CQ44" s="45">
        <v>0</v>
      </c>
      <c r="CR44" s="45">
        <v>0</v>
      </c>
      <c r="CS44" s="45">
        <v>0</v>
      </c>
      <c r="CT44" s="45">
        <v>0</v>
      </c>
      <c r="CU44" s="45">
        <v>0</v>
      </c>
      <c r="CV44" s="45">
        <v>9999</v>
      </c>
      <c r="CW44" s="132">
        <v>9999</v>
      </c>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t="s">
        <v>116</v>
      </c>
      <c r="B45" s="24" t="s">
        <v>116</v>
      </c>
      <c r="C45" s="45">
        <v>6</v>
      </c>
      <c r="D45" s="45">
        <v>219</v>
      </c>
      <c r="E45" s="45">
        <v>0</v>
      </c>
      <c r="F45" s="45">
        <v>25.3475</v>
      </c>
      <c r="G45" s="45">
        <v>0</v>
      </c>
      <c r="H45" s="45">
        <v>0</v>
      </c>
      <c r="I45" s="45" t="s">
        <v>115</v>
      </c>
      <c r="J45" s="45"/>
      <c r="K45" s="45"/>
      <c r="L45" s="45">
        <v>234.65717653154292</v>
      </c>
      <c r="M45" s="45">
        <v>5.3705577688001778E-2</v>
      </c>
      <c r="N45" s="45">
        <v>5.3317954912171207E-2</v>
      </c>
      <c r="O45" s="45">
        <v>0</v>
      </c>
      <c r="P45" s="45">
        <v>0</v>
      </c>
      <c r="Q45" s="45">
        <v>0</v>
      </c>
      <c r="R45" s="45">
        <v>5.0546301046338105</v>
      </c>
      <c r="S45" s="45">
        <v>11.680481366909714</v>
      </c>
      <c r="T45" s="45">
        <v>0</v>
      </c>
      <c r="U45" s="45">
        <v>57.564922337325491</v>
      </c>
      <c r="V45" s="45" t="s">
        <v>966</v>
      </c>
      <c r="W45" s="45" t="s">
        <v>966</v>
      </c>
      <c r="X45" s="45" t="s">
        <v>966</v>
      </c>
      <c r="Y45" s="45" t="s">
        <v>966</v>
      </c>
      <c r="Z45" s="45">
        <v>0</v>
      </c>
      <c r="AA45" s="45">
        <v>0</v>
      </c>
      <c r="AB45" s="45">
        <v>0</v>
      </c>
      <c r="AC45" s="45">
        <v>0</v>
      </c>
      <c r="AD45" s="45">
        <v>0</v>
      </c>
      <c r="AE45" s="45">
        <v>0</v>
      </c>
      <c r="AF45" s="45">
        <v>0</v>
      </c>
      <c r="AG45" s="45">
        <v>0</v>
      </c>
      <c r="AH45" s="45">
        <v>5.0546301046338105</v>
      </c>
      <c r="AI45" s="45">
        <v>11.680481366909714</v>
      </c>
      <c r="AJ45" s="45">
        <v>0</v>
      </c>
      <c r="AK45" s="45">
        <v>57.564922337325491</v>
      </c>
      <c r="AL45" s="45">
        <v>74.300033808869017</v>
      </c>
      <c r="AM45" s="45">
        <v>112.41206732020802</v>
      </c>
      <c r="AN45" s="45">
        <v>18.97678451044894</v>
      </c>
      <c r="AO45" s="45">
        <v>0</v>
      </c>
      <c r="AP45" s="45">
        <v>0</v>
      </c>
      <c r="AQ45" s="45">
        <v>131.38885183065696</v>
      </c>
      <c r="AR45" s="45">
        <v>5.0546301046338105</v>
      </c>
      <c r="AS45" s="132">
        <v>25.993761978785905</v>
      </c>
      <c r="AT45" s="45">
        <v>112.41206732020802</v>
      </c>
      <c r="AU45" s="45">
        <v>22.462860626383062</v>
      </c>
      <c r="AV45" s="45">
        <v>0</v>
      </c>
      <c r="AW45" s="45">
        <v>0</v>
      </c>
      <c r="AX45" s="45">
        <v>134.87492794659107</v>
      </c>
      <c r="AY45" s="45">
        <v>11.680481366909714</v>
      </c>
      <c r="AZ45" s="132">
        <v>11.547035067294894</v>
      </c>
      <c r="BA45" s="45">
        <v>112.41206732020802</v>
      </c>
      <c r="BB45" s="45">
        <v>41.439645136831999</v>
      </c>
      <c r="BC45" s="45">
        <v>0</v>
      </c>
      <c r="BD45" s="45">
        <v>0</v>
      </c>
      <c r="BE45" s="45">
        <v>153.85171245704001</v>
      </c>
      <c r="BF45" s="45">
        <v>16.735111471543526</v>
      </c>
      <c r="BG45" s="45">
        <v>-7.7466321508394627</v>
      </c>
      <c r="BH45" s="132">
        <v>9.1933485306417158</v>
      </c>
      <c r="BI45" s="45">
        <v>1.5849868129336373</v>
      </c>
      <c r="BJ45" s="45">
        <v>3.6626634495562538</v>
      </c>
      <c r="BK45" s="45">
        <v>0</v>
      </c>
      <c r="BL45" s="45">
        <v>18.050706165138834</v>
      </c>
      <c r="BM45" s="45">
        <v>23.298356427628725</v>
      </c>
      <c r="BN45" s="45">
        <v>112.41206732020802</v>
      </c>
      <c r="BO45" s="45">
        <v>0</v>
      </c>
      <c r="BP45" s="45">
        <v>41.439645136831999</v>
      </c>
      <c r="BQ45" s="45">
        <v>0</v>
      </c>
      <c r="BR45" s="45">
        <v>0</v>
      </c>
      <c r="BS45" s="45">
        <v>0</v>
      </c>
      <c r="BT45" s="45">
        <v>0</v>
      </c>
      <c r="BU45" s="45">
        <v>0</v>
      </c>
      <c r="BV45" s="45">
        <v>0</v>
      </c>
      <c r="BW45" s="45">
        <v>0</v>
      </c>
      <c r="BX45" s="45">
        <v>74.300033808869017</v>
      </c>
      <c r="BY45" s="45"/>
      <c r="BZ45" s="45">
        <v>0</v>
      </c>
      <c r="CA45" s="45">
        <v>0</v>
      </c>
      <c r="CB45" s="45">
        <v>153.85171245704004</v>
      </c>
      <c r="CC45" s="45">
        <v>74.300033808869017</v>
      </c>
      <c r="CD45" s="132">
        <v>2.0706815942077692</v>
      </c>
      <c r="CE45" s="45">
        <v>10.304074014299365</v>
      </c>
      <c r="CF45" s="45">
        <v>2.2292560448637735</v>
      </c>
      <c r="CG45" s="45">
        <v>0</v>
      </c>
      <c r="CH45" s="45">
        <v>2.2292560448637735</v>
      </c>
      <c r="CI45" s="45">
        <v>0.11146215885248288</v>
      </c>
      <c r="CJ45" s="45">
        <v>0</v>
      </c>
      <c r="CK45" s="45">
        <v>0.11146215885248288</v>
      </c>
      <c r="CL45" s="45"/>
      <c r="CM45" s="45">
        <v>0</v>
      </c>
      <c r="CN45" s="45"/>
      <c r="CO45" s="45">
        <v>0</v>
      </c>
      <c r="CP45" s="45">
        <v>0</v>
      </c>
      <c r="CQ45" s="45">
        <v>0</v>
      </c>
      <c r="CR45" s="45">
        <v>0</v>
      </c>
      <c r="CS45" s="45">
        <v>0</v>
      </c>
      <c r="CT45" s="45">
        <v>0</v>
      </c>
      <c r="CU45" s="45">
        <v>0</v>
      </c>
      <c r="CV45" s="45">
        <v>9999</v>
      </c>
      <c r="CW45" s="132">
        <v>9999</v>
      </c>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t="s">
        <v>128</v>
      </c>
      <c r="B46" s="24" t="s">
        <v>128</v>
      </c>
      <c r="C46" s="45">
        <v>6</v>
      </c>
      <c r="D46" s="45">
        <v>416.09999999999997</v>
      </c>
      <c r="E46" s="45">
        <v>0</v>
      </c>
      <c r="F46" s="45">
        <v>25.3475</v>
      </c>
      <c r="G46" s="45">
        <v>0</v>
      </c>
      <c r="H46" s="45">
        <v>0</v>
      </c>
      <c r="I46" s="45" t="s">
        <v>115</v>
      </c>
      <c r="J46" s="45"/>
      <c r="K46" s="45"/>
      <c r="L46" s="45">
        <v>445.84863540993149</v>
      </c>
      <c r="M46" s="45">
        <v>0.10204059760720337</v>
      </c>
      <c r="N46" s="45">
        <v>0.10130411433312529</v>
      </c>
      <c r="O46" s="45">
        <v>0</v>
      </c>
      <c r="P46" s="45">
        <v>0</v>
      </c>
      <c r="Q46" s="45">
        <v>0</v>
      </c>
      <c r="R46" s="45">
        <v>5.0546301046338105</v>
      </c>
      <c r="S46" s="45">
        <v>11.680481366909714</v>
      </c>
      <c r="T46" s="45">
        <v>0</v>
      </c>
      <c r="U46" s="45">
        <v>57.564922337325491</v>
      </c>
      <c r="V46" s="45" t="s">
        <v>966</v>
      </c>
      <c r="W46" s="45" t="s">
        <v>966</v>
      </c>
      <c r="X46" s="45" t="s">
        <v>966</v>
      </c>
      <c r="Y46" s="45" t="s">
        <v>966</v>
      </c>
      <c r="Z46" s="45">
        <v>0</v>
      </c>
      <c r="AA46" s="45">
        <v>0</v>
      </c>
      <c r="AB46" s="45">
        <v>0</v>
      </c>
      <c r="AC46" s="45">
        <v>0</v>
      </c>
      <c r="AD46" s="45">
        <v>0</v>
      </c>
      <c r="AE46" s="45">
        <v>0</v>
      </c>
      <c r="AF46" s="45">
        <v>0</v>
      </c>
      <c r="AG46" s="45">
        <v>0</v>
      </c>
      <c r="AH46" s="45">
        <v>5.0546301046338105</v>
      </c>
      <c r="AI46" s="45">
        <v>11.680481366909714</v>
      </c>
      <c r="AJ46" s="45">
        <v>0</v>
      </c>
      <c r="AK46" s="45">
        <v>57.564922337325491</v>
      </c>
      <c r="AL46" s="45">
        <v>74.300033808869017</v>
      </c>
      <c r="AM46" s="45">
        <v>213.58292790839536</v>
      </c>
      <c r="AN46" s="45">
        <v>36.055890569852991</v>
      </c>
      <c r="AO46" s="45">
        <v>0</v>
      </c>
      <c r="AP46" s="45">
        <v>0</v>
      </c>
      <c r="AQ46" s="45">
        <v>249.63881847824837</v>
      </c>
      <c r="AR46" s="45">
        <v>5.0546301046338105</v>
      </c>
      <c r="AS46" s="132">
        <v>49.388147759693247</v>
      </c>
      <c r="AT46" s="45">
        <v>213.58292790839536</v>
      </c>
      <c r="AU46" s="45">
        <v>42.679435190127819</v>
      </c>
      <c r="AV46" s="45">
        <v>0</v>
      </c>
      <c r="AW46" s="45">
        <v>0</v>
      </c>
      <c r="AX46" s="45">
        <v>256.26236309852317</v>
      </c>
      <c r="AY46" s="45">
        <v>11.680481366909714</v>
      </c>
      <c r="AZ46" s="132">
        <v>21.939366627860313</v>
      </c>
      <c r="BA46" s="45">
        <v>213.58292790839536</v>
      </c>
      <c r="BB46" s="45">
        <v>78.73532575998081</v>
      </c>
      <c r="BC46" s="45">
        <v>0</v>
      </c>
      <c r="BD46" s="45">
        <v>0</v>
      </c>
      <c r="BE46" s="45">
        <v>292.31825366837614</v>
      </c>
      <c r="BF46" s="45">
        <v>16.735111471543526</v>
      </c>
      <c r="BG46" s="45">
        <v>-10.232361222545205</v>
      </c>
      <c r="BH46" s="132">
        <v>17.467362208219271</v>
      </c>
      <c r="BI46" s="45">
        <v>0.83420358575454601</v>
      </c>
      <c r="BJ46" s="45">
        <v>1.9277176050296077</v>
      </c>
      <c r="BK46" s="45">
        <v>0</v>
      </c>
      <c r="BL46" s="45">
        <v>9.5003716658625468</v>
      </c>
      <c r="BM46" s="45">
        <v>12.262292856646701</v>
      </c>
      <c r="BN46" s="45">
        <v>213.58292790839536</v>
      </c>
      <c r="BO46" s="45">
        <v>0</v>
      </c>
      <c r="BP46" s="45">
        <v>78.73532575998081</v>
      </c>
      <c r="BQ46" s="45">
        <v>0</v>
      </c>
      <c r="BR46" s="45">
        <v>0</v>
      </c>
      <c r="BS46" s="45">
        <v>0</v>
      </c>
      <c r="BT46" s="45">
        <v>0</v>
      </c>
      <c r="BU46" s="45">
        <v>0</v>
      </c>
      <c r="BV46" s="45">
        <v>0</v>
      </c>
      <c r="BW46" s="45">
        <v>0</v>
      </c>
      <c r="BX46" s="45">
        <v>74.300033808869017</v>
      </c>
      <c r="BY46" s="45"/>
      <c r="BZ46" s="45">
        <v>0</v>
      </c>
      <c r="CA46" s="45">
        <v>0</v>
      </c>
      <c r="CB46" s="45">
        <v>292.3182536683762</v>
      </c>
      <c r="CC46" s="45">
        <v>74.300033808869017</v>
      </c>
      <c r="CD46" s="132">
        <v>3.9342950289947631</v>
      </c>
      <c r="CE46" s="45">
        <v>-0.73198955668266552</v>
      </c>
      <c r="CF46" s="45">
        <v>4.2355864852411687</v>
      </c>
      <c r="CG46" s="45">
        <v>0</v>
      </c>
      <c r="CH46" s="45">
        <v>4.2355864852411687</v>
      </c>
      <c r="CI46" s="45">
        <v>0.21177810181971746</v>
      </c>
      <c r="CJ46" s="45">
        <v>0</v>
      </c>
      <c r="CK46" s="45">
        <v>0.21177810181971746</v>
      </c>
      <c r="CL46" s="45"/>
      <c r="CM46" s="45">
        <v>0</v>
      </c>
      <c r="CN46" s="45"/>
      <c r="CO46" s="45">
        <v>0</v>
      </c>
      <c r="CP46" s="45">
        <v>0</v>
      </c>
      <c r="CQ46" s="45">
        <v>0</v>
      </c>
      <c r="CR46" s="45">
        <v>0</v>
      </c>
      <c r="CS46" s="45">
        <v>0</v>
      </c>
      <c r="CT46" s="45">
        <v>0</v>
      </c>
      <c r="CU46" s="45">
        <v>0</v>
      </c>
      <c r="CV46" s="45">
        <v>9999</v>
      </c>
      <c r="CW46" s="132">
        <v>9999</v>
      </c>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t="s">
        <v>1382</v>
      </c>
      <c r="B47" s="24" t="s">
        <v>1382</v>
      </c>
      <c r="C47" s="45">
        <v>6</v>
      </c>
      <c r="D47" s="45">
        <v>35.04</v>
      </c>
      <c r="E47" s="45">
        <v>0</v>
      </c>
      <c r="F47" s="45">
        <v>25.3475</v>
      </c>
      <c r="G47" s="45">
        <v>0</v>
      </c>
      <c r="H47" s="45">
        <v>0</v>
      </c>
      <c r="I47" s="45" t="s">
        <v>115</v>
      </c>
      <c r="J47" s="45"/>
      <c r="K47" s="45"/>
      <c r="L47" s="45">
        <v>37.545148245046867</v>
      </c>
      <c r="M47" s="45">
        <v>8.5928924300802852E-3</v>
      </c>
      <c r="N47" s="45">
        <v>8.5308727859473923E-3</v>
      </c>
      <c r="O47" s="45">
        <v>0</v>
      </c>
      <c r="P47" s="45">
        <v>0</v>
      </c>
      <c r="Q47" s="45">
        <v>0</v>
      </c>
      <c r="R47" s="45">
        <v>5.0546301046338105</v>
      </c>
      <c r="S47" s="45">
        <v>11.680481366909714</v>
      </c>
      <c r="T47" s="45">
        <v>0</v>
      </c>
      <c r="U47" s="45">
        <v>57.564922337325491</v>
      </c>
      <c r="V47" s="45" t="s">
        <v>966</v>
      </c>
      <c r="W47" s="45" t="s">
        <v>966</v>
      </c>
      <c r="X47" s="45" t="s">
        <v>966</v>
      </c>
      <c r="Y47" s="45" t="s">
        <v>966</v>
      </c>
      <c r="Z47" s="45">
        <v>0</v>
      </c>
      <c r="AA47" s="45">
        <v>0</v>
      </c>
      <c r="AB47" s="45">
        <v>0</v>
      </c>
      <c r="AC47" s="45">
        <v>0</v>
      </c>
      <c r="AD47" s="45">
        <v>0</v>
      </c>
      <c r="AE47" s="45">
        <v>0</v>
      </c>
      <c r="AF47" s="45">
        <v>0</v>
      </c>
      <c r="AG47" s="45">
        <v>0</v>
      </c>
      <c r="AH47" s="45">
        <v>5.0546301046338105</v>
      </c>
      <c r="AI47" s="45">
        <v>11.680481366909714</v>
      </c>
      <c r="AJ47" s="45">
        <v>0</v>
      </c>
      <c r="AK47" s="45">
        <v>57.564922337325491</v>
      </c>
      <c r="AL47" s="45">
        <v>74.300033808869017</v>
      </c>
      <c r="AM47" s="45">
        <v>17.985930771233296</v>
      </c>
      <c r="AN47" s="45">
        <v>3.036285521671831</v>
      </c>
      <c r="AO47" s="45">
        <v>0</v>
      </c>
      <c r="AP47" s="45">
        <v>0</v>
      </c>
      <c r="AQ47" s="45">
        <v>21.022216292905128</v>
      </c>
      <c r="AR47" s="45">
        <v>5.0546301046338105</v>
      </c>
      <c r="AS47" s="132">
        <v>4.1590019166057477</v>
      </c>
      <c r="AT47" s="45">
        <v>17.985930771233296</v>
      </c>
      <c r="AU47" s="45">
        <v>3.5940577002212906</v>
      </c>
      <c r="AV47" s="45">
        <v>0</v>
      </c>
      <c r="AW47" s="45">
        <v>0</v>
      </c>
      <c r="AX47" s="45">
        <v>21.579988471454588</v>
      </c>
      <c r="AY47" s="45">
        <v>11.680481366909714</v>
      </c>
      <c r="AZ47" s="132">
        <v>1.8475256107671845</v>
      </c>
      <c r="BA47" s="45">
        <v>17.985930771233296</v>
      </c>
      <c r="BB47" s="45">
        <v>6.6303432218931215</v>
      </c>
      <c r="BC47" s="45">
        <v>0</v>
      </c>
      <c r="BD47" s="45">
        <v>0</v>
      </c>
      <c r="BE47" s="45">
        <v>24.61627399312642</v>
      </c>
      <c r="BF47" s="45">
        <v>16.735111471543526</v>
      </c>
      <c r="BG47" s="45">
        <v>19.80353172723246</v>
      </c>
      <c r="BH47" s="132">
        <v>1.4709357649026757</v>
      </c>
      <c r="BI47" s="45">
        <v>9.9061675808352323</v>
      </c>
      <c r="BJ47" s="45">
        <v>22.891646559726585</v>
      </c>
      <c r="BK47" s="45">
        <v>0</v>
      </c>
      <c r="BL47" s="45">
        <v>112.81691353211772</v>
      </c>
      <c r="BM47" s="45">
        <v>145.61472767267955</v>
      </c>
      <c r="BN47" s="45">
        <v>17.985930771233296</v>
      </c>
      <c r="BO47" s="45">
        <v>0</v>
      </c>
      <c r="BP47" s="45">
        <v>6.6303432218931215</v>
      </c>
      <c r="BQ47" s="45">
        <v>0</v>
      </c>
      <c r="BR47" s="45">
        <v>0</v>
      </c>
      <c r="BS47" s="45">
        <v>0</v>
      </c>
      <c r="BT47" s="45">
        <v>0</v>
      </c>
      <c r="BU47" s="45">
        <v>0</v>
      </c>
      <c r="BV47" s="45">
        <v>0</v>
      </c>
      <c r="BW47" s="45">
        <v>0</v>
      </c>
      <c r="BX47" s="45">
        <v>74.300033808869017</v>
      </c>
      <c r="BY47" s="45"/>
      <c r="BZ47" s="45">
        <v>0</v>
      </c>
      <c r="CA47" s="45">
        <v>0</v>
      </c>
      <c r="CB47" s="45">
        <v>24.61627399312642</v>
      </c>
      <c r="CC47" s="45">
        <v>74.300033808869017</v>
      </c>
      <c r="CD47" s="133">
        <v>0.33130905507324326</v>
      </c>
      <c r="CE47" s="45">
        <v>132.62044525935016</v>
      </c>
      <c r="CF47" s="45">
        <v>0.35668096717820408</v>
      </c>
      <c r="CG47" s="45">
        <v>0</v>
      </c>
      <c r="CH47" s="45">
        <v>0.35668096717820408</v>
      </c>
      <c r="CI47" s="45">
        <v>1.7833945416397257E-2</v>
      </c>
      <c r="CJ47" s="45">
        <v>0</v>
      </c>
      <c r="CK47" s="45">
        <v>1.7833945416397257E-2</v>
      </c>
      <c r="CL47" s="45"/>
      <c r="CM47" s="45">
        <v>0</v>
      </c>
      <c r="CN47" s="45"/>
      <c r="CO47" s="45">
        <v>0</v>
      </c>
      <c r="CP47" s="45">
        <v>0</v>
      </c>
      <c r="CQ47" s="45">
        <v>0</v>
      </c>
      <c r="CR47" s="45">
        <v>0</v>
      </c>
      <c r="CS47" s="45">
        <v>0</v>
      </c>
      <c r="CT47" s="45">
        <v>0</v>
      </c>
      <c r="CU47" s="45">
        <v>0</v>
      </c>
      <c r="CV47" s="45">
        <v>9999</v>
      </c>
      <c r="CW47" s="132">
        <v>9999</v>
      </c>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t="s">
        <v>126</v>
      </c>
      <c r="B48" s="24" t="s">
        <v>126</v>
      </c>
      <c r="C48" s="45">
        <v>6</v>
      </c>
      <c r="D48" s="45">
        <v>287.98500000000001</v>
      </c>
      <c r="E48" s="45">
        <v>0</v>
      </c>
      <c r="F48" s="45">
        <v>25.3475</v>
      </c>
      <c r="G48" s="45">
        <v>0</v>
      </c>
      <c r="H48" s="45">
        <v>0</v>
      </c>
      <c r="I48" s="45" t="s">
        <v>115</v>
      </c>
      <c r="J48" s="45"/>
      <c r="K48" s="45"/>
      <c r="L48" s="45">
        <v>308.57418713897891</v>
      </c>
      <c r="M48" s="45">
        <v>7.0622834659722342E-2</v>
      </c>
      <c r="N48" s="45">
        <v>7.0113110709505141E-2</v>
      </c>
      <c r="O48" s="45">
        <v>0</v>
      </c>
      <c r="P48" s="45">
        <v>0</v>
      </c>
      <c r="Q48" s="45">
        <v>0</v>
      </c>
      <c r="R48" s="45">
        <v>5.0546301046338105</v>
      </c>
      <c r="S48" s="45">
        <v>11.680481366909714</v>
      </c>
      <c r="T48" s="45">
        <v>0</v>
      </c>
      <c r="U48" s="45">
        <v>57.564922337325491</v>
      </c>
      <c r="V48" s="45" t="s">
        <v>966</v>
      </c>
      <c r="W48" s="45" t="s">
        <v>966</v>
      </c>
      <c r="X48" s="45" t="s">
        <v>966</v>
      </c>
      <c r="Y48" s="45" t="s">
        <v>966</v>
      </c>
      <c r="Z48" s="45">
        <v>0</v>
      </c>
      <c r="AA48" s="45">
        <v>0</v>
      </c>
      <c r="AB48" s="45">
        <v>0</v>
      </c>
      <c r="AC48" s="45">
        <v>0</v>
      </c>
      <c r="AD48" s="45">
        <v>0</v>
      </c>
      <c r="AE48" s="45">
        <v>0</v>
      </c>
      <c r="AF48" s="45">
        <v>0</v>
      </c>
      <c r="AG48" s="45">
        <v>0</v>
      </c>
      <c r="AH48" s="45">
        <v>5.0546301046338105</v>
      </c>
      <c r="AI48" s="45">
        <v>11.680481366909714</v>
      </c>
      <c r="AJ48" s="45">
        <v>0</v>
      </c>
      <c r="AK48" s="45">
        <v>57.564922337325491</v>
      </c>
      <c r="AL48" s="45">
        <v>74.300033808869017</v>
      </c>
      <c r="AM48" s="45">
        <v>147.82186852607379</v>
      </c>
      <c r="AN48" s="45">
        <v>24.954471631240352</v>
      </c>
      <c r="AO48" s="45">
        <v>0</v>
      </c>
      <c r="AP48" s="45">
        <v>0</v>
      </c>
      <c r="AQ48" s="45">
        <v>172.77634015731414</v>
      </c>
      <c r="AR48" s="45">
        <v>5.0546301046338105</v>
      </c>
      <c r="AS48" s="132">
        <v>34.181797002103508</v>
      </c>
      <c r="AT48" s="45">
        <v>147.82186852607379</v>
      </c>
      <c r="AU48" s="45">
        <v>29.538661723693732</v>
      </c>
      <c r="AV48" s="45">
        <v>0</v>
      </c>
      <c r="AW48" s="45">
        <v>0</v>
      </c>
      <c r="AX48" s="45">
        <v>177.36053024976752</v>
      </c>
      <c r="AY48" s="45">
        <v>11.680481366909714</v>
      </c>
      <c r="AZ48" s="132">
        <v>15.184351113492809</v>
      </c>
      <c r="BA48" s="45">
        <v>147.82186852607379</v>
      </c>
      <c r="BB48" s="45">
        <v>54.493133354934088</v>
      </c>
      <c r="BC48" s="45">
        <v>0</v>
      </c>
      <c r="BD48" s="45">
        <v>0</v>
      </c>
      <c r="BE48" s="45">
        <v>202.31500188100787</v>
      </c>
      <c r="BF48" s="45">
        <v>16.735111471543526</v>
      </c>
      <c r="BG48" s="45">
        <v>-9.0036738486982646</v>
      </c>
      <c r="BH48" s="132">
        <v>12.089253317793872</v>
      </c>
      <c r="BI48" s="45">
        <v>1.2053131657290017</v>
      </c>
      <c r="BJ48" s="45">
        <v>2.7852953989020945</v>
      </c>
      <c r="BK48" s="45">
        <v>0</v>
      </c>
      <c r="BL48" s="45">
        <v>13.726772749155009</v>
      </c>
      <c r="BM48" s="45">
        <v>17.717381313786106</v>
      </c>
      <c r="BN48" s="45">
        <v>147.82186852607379</v>
      </c>
      <c r="BO48" s="45">
        <v>0</v>
      </c>
      <c r="BP48" s="45">
        <v>54.493133354934088</v>
      </c>
      <c r="BQ48" s="45">
        <v>0</v>
      </c>
      <c r="BR48" s="45">
        <v>0</v>
      </c>
      <c r="BS48" s="45">
        <v>0</v>
      </c>
      <c r="BT48" s="45">
        <v>0</v>
      </c>
      <c r="BU48" s="45">
        <v>0</v>
      </c>
      <c r="BV48" s="45">
        <v>0</v>
      </c>
      <c r="BW48" s="45">
        <v>0</v>
      </c>
      <c r="BX48" s="45">
        <v>74.300033808869017</v>
      </c>
      <c r="BY48" s="45"/>
      <c r="BZ48" s="45">
        <v>0</v>
      </c>
      <c r="CA48" s="45">
        <v>0</v>
      </c>
      <c r="CB48" s="45">
        <v>202.31500188100787</v>
      </c>
      <c r="CC48" s="45">
        <v>74.300033808869017</v>
      </c>
      <c r="CD48" s="132">
        <v>2.7229462963832192</v>
      </c>
      <c r="CE48" s="45">
        <v>4.723098900456745</v>
      </c>
      <c r="CF48" s="45">
        <v>2.9314716989958596</v>
      </c>
      <c r="CG48" s="45">
        <v>0</v>
      </c>
      <c r="CH48" s="45">
        <v>2.9314716989958596</v>
      </c>
      <c r="CI48" s="45">
        <v>0.14657273889101499</v>
      </c>
      <c r="CJ48" s="45">
        <v>0</v>
      </c>
      <c r="CK48" s="45">
        <v>0.14657273889101499</v>
      </c>
      <c r="CL48" s="45"/>
      <c r="CM48" s="45">
        <v>0</v>
      </c>
      <c r="CN48" s="45"/>
      <c r="CO48" s="45">
        <v>0</v>
      </c>
      <c r="CP48" s="45">
        <v>0</v>
      </c>
      <c r="CQ48" s="45">
        <v>0</v>
      </c>
      <c r="CR48" s="45">
        <v>0</v>
      </c>
      <c r="CS48" s="45">
        <v>0</v>
      </c>
      <c r="CT48" s="45">
        <v>0</v>
      </c>
      <c r="CU48" s="45">
        <v>0</v>
      </c>
      <c r="CV48" s="45">
        <v>9999</v>
      </c>
      <c r="CW48" s="132">
        <v>9999</v>
      </c>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c r="A49" s="24" t="s">
        <v>125</v>
      </c>
      <c r="B49" s="24" t="s">
        <v>125</v>
      </c>
      <c r="C49" s="45">
        <v>6</v>
      </c>
      <c r="D49" s="45">
        <v>237.28649999999999</v>
      </c>
      <c r="E49" s="45">
        <v>0</v>
      </c>
      <c r="F49" s="45">
        <v>25.3475</v>
      </c>
      <c r="G49" s="45">
        <v>0</v>
      </c>
      <c r="H49" s="45">
        <v>0</v>
      </c>
      <c r="I49" s="45" t="s">
        <v>115</v>
      </c>
      <c r="J49" s="45"/>
      <c r="K49" s="45"/>
      <c r="L49" s="45">
        <v>254.25105077192674</v>
      </c>
      <c r="M49" s="45">
        <v>5.8189993424949925E-2</v>
      </c>
      <c r="N49" s="45">
        <v>5.7770004147337503E-2</v>
      </c>
      <c r="O49" s="45">
        <v>0</v>
      </c>
      <c r="P49" s="45">
        <v>0</v>
      </c>
      <c r="Q49" s="45">
        <v>0</v>
      </c>
      <c r="R49" s="45">
        <v>5.0546301046338105</v>
      </c>
      <c r="S49" s="45">
        <v>11.680481366909714</v>
      </c>
      <c r="T49" s="45">
        <v>0</v>
      </c>
      <c r="U49" s="45">
        <v>57.564922337325491</v>
      </c>
      <c r="V49" s="45" t="s">
        <v>966</v>
      </c>
      <c r="W49" s="45" t="s">
        <v>966</v>
      </c>
      <c r="X49" s="45" t="s">
        <v>966</v>
      </c>
      <c r="Y49" s="45" t="s">
        <v>966</v>
      </c>
      <c r="Z49" s="45">
        <v>0</v>
      </c>
      <c r="AA49" s="45">
        <v>0</v>
      </c>
      <c r="AB49" s="45">
        <v>0</v>
      </c>
      <c r="AC49" s="45">
        <v>0</v>
      </c>
      <c r="AD49" s="45">
        <v>0</v>
      </c>
      <c r="AE49" s="45">
        <v>0</v>
      </c>
      <c r="AF49" s="45">
        <v>0</v>
      </c>
      <c r="AG49" s="45">
        <v>0</v>
      </c>
      <c r="AH49" s="45">
        <v>5.0546301046338105</v>
      </c>
      <c r="AI49" s="45">
        <v>11.680481366909714</v>
      </c>
      <c r="AJ49" s="45">
        <v>0</v>
      </c>
      <c r="AK49" s="45">
        <v>57.564922337325491</v>
      </c>
      <c r="AL49" s="45">
        <v>74.300033808869017</v>
      </c>
      <c r="AM49" s="45">
        <v>121.79847494144539</v>
      </c>
      <c r="AN49" s="45">
        <v>20.561346017071429</v>
      </c>
      <c r="AO49" s="45">
        <v>0</v>
      </c>
      <c r="AP49" s="45">
        <v>0</v>
      </c>
      <c r="AQ49" s="45">
        <v>142.35982095851682</v>
      </c>
      <c r="AR49" s="45">
        <v>5.0546301046338105</v>
      </c>
      <c r="AS49" s="132">
        <v>28.164241104014529</v>
      </c>
      <c r="AT49" s="45">
        <v>121.79847494144539</v>
      </c>
      <c r="AU49" s="45">
        <v>24.33850948868605</v>
      </c>
      <c r="AV49" s="45">
        <v>0</v>
      </c>
      <c r="AW49" s="45">
        <v>0</v>
      </c>
      <c r="AX49" s="45">
        <v>146.13698443013143</v>
      </c>
      <c r="AY49" s="45">
        <v>11.680481366909714</v>
      </c>
      <c r="AZ49" s="132">
        <v>12.51121249541402</v>
      </c>
      <c r="BA49" s="45">
        <v>121.79847494144539</v>
      </c>
      <c r="BB49" s="45">
        <v>44.899855505757479</v>
      </c>
      <c r="BC49" s="45">
        <v>0</v>
      </c>
      <c r="BD49" s="45">
        <v>0</v>
      </c>
      <c r="BE49" s="45">
        <v>166.69833044720286</v>
      </c>
      <c r="BF49" s="45">
        <v>16.735111471543526</v>
      </c>
      <c r="BG49" s="45">
        <v>-8.1510426694531333</v>
      </c>
      <c r="BH49" s="132">
        <v>9.9609931329503016</v>
      </c>
      <c r="BI49" s="45">
        <v>1.4628396981390284</v>
      </c>
      <c r="BJ49" s="45">
        <v>3.3804000457371979</v>
      </c>
      <c r="BK49" s="45">
        <v>0</v>
      </c>
      <c r="BL49" s="45">
        <v>16.659627286699433</v>
      </c>
      <c r="BM49" s="45">
        <v>21.502867030575661</v>
      </c>
      <c r="BN49" s="45">
        <v>121.79847494144539</v>
      </c>
      <c r="BO49" s="45">
        <v>0</v>
      </c>
      <c r="BP49" s="45">
        <v>44.899855505757479</v>
      </c>
      <c r="BQ49" s="45">
        <v>0</v>
      </c>
      <c r="BR49" s="45">
        <v>0</v>
      </c>
      <c r="BS49" s="45">
        <v>0</v>
      </c>
      <c r="BT49" s="45">
        <v>0</v>
      </c>
      <c r="BU49" s="45">
        <v>0</v>
      </c>
      <c r="BV49" s="45">
        <v>0</v>
      </c>
      <c r="BW49" s="45">
        <v>0</v>
      </c>
      <c r="BX49" s="45">
        <v>74.300033808869017</v>
      </c>
      <c r="BY49" s="45"/>
      <c r="BZ49" s="45">
        <v>0</v>
      </c>
      <c r="CA49" s="45">
        <v>0</v>
      </c>
      <c r="CB49" s="45">
        <v>166.69833044720286</v>
      </c>
      <c r="CC49" s="45">
        <v>74.300033808869017</v>
      </c>
      <c r="CD49" s="132">
        <v>2.2435835073241175</v>
      </c>
      <c r="CE49" s="45">
        <v>8.5085846172463011</v>
      </c>
      <c r="CF49" s="45">
        <v>2.415398924609899</v>
      </c>
      <c r="CG49" s="45">
        <v>0</v>
      </c>
      <c r="CH49" s="45">
        <v>2.415398924609899</v>
      </c>
      <c r="CI49" s="45">
        <v>0.1207692491166652</v>
      </c>
      <c r="CJ49" s="45">
        <v>0</v>
      </c>
      <c r="CK49" s="45">
        <v>0.1207692491166652</v>
      </c>
      <c r="CL49" s="45"/>
      <c r="CM49" s="45">
        <v>0</v>
      </c>
      <c r="CN49" s="45"/>
      <c r="CO49" s="45">
        <v>0</v>
      </c>
      <c r="CP49" s="45">
        <v>0</v>
      </c>
      <c r="CQ49" s="45">
        <v>0</v>
      </c>
      <c r="CR49" s="45">
        <v>0</v>
      </c>
      <c r="CS49" s="45">
        <v>0</v>
      </c>
      <c r="CT49" s="45">
        <v>0</v>
      </c>
      <c r="CU49" s="45">
        <v>0</v>
      </c>
      <c r="CV49" s="45">
        <v>9999</v>
      </c>
      <c r="CW49" s="132">
        <v>9999</v>
      </c>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c r="A50" s="24" t="s">
        <v>1187</v>
      </c>
      <c r="B50" s="24" t="s">
        <v>1187</v>
      </c>
      <c r="C50" s="45">
        <v>6</v>
      </c>
      <c r="D50" s="45">
        <v>190.53</v>
      </c>
      <c r="E50" s="45">
        <v>0</v>
      </c>
      <c r="F50" s="45">
        <v>25.3475</v>
      </c>
      <c r="G50" s="45">
        <v>0</v>
      </c>
      <c r="H50" s="45">
        <v>0</v>
      </c>
      <c r="I50" s="45" t="s">
        <v>115</v>
      </c>
      <c r="J50" s="45"/>
      <c r="K50" s="45"/>
      <c r="L50" s="45">
        <v>204.15174358244232</v>
      </c>
      <c r="M50" s="45">
        <v>4.672385258856155E-2</v>
      </c>
      <c r="N50" s="45">
        <v>4.6386620773588953E-2</v>
      </c>
      <c r="O50" s="45">
        <v>0</v>
      </c>
      <c r="P50" s="45">
        <v>0</v>
      </c>
      <c r="Q50" s="45">
        <v>0</v>
      </c>
      <c r="R50" s="45">
        <v>5.0546301046338105</v>
      </c>
      <c r="S50" s="45">
        <v>11.680481366909714</v>
      </c>
      <c r="T50" s="45">
        <v>0</v>
      </c>
      <c r="U50" s="45">
        <v>57.564922337325491</v>
      </c>
      <c r="V50" s="45" t="s">
        <v>966</v>
      </c>
      <c r="W50" s="45" t="s">
        <v>966</v>
      </c>
      <c r="X50" s="45" t="s">
        <v>966</v>
      </c>
      <c r="Y50" s="45" t="s">
        <v>966</v>
      </c>
      <c r="Z50" s="45">
        <v>0</v>
      </c>
      <c r="AA50" s="45">
        <v>0</v>
      </c>
      <c r="AB50" s="45">
        <v>0</v>
      </c>
      <c r="AC50" s="45">
        <v>0</v>
      </c>
      <c r="AD50" s="45">
        <v>0</v>
      </c>
      <c r="AE50" s="45">
        <v>0</v>
      </c>
      <c r="AF50" s="45">
        <v>0</v>
      </c>
      <c r="AG50" s="45">
        <v>0</v>
      </c>
      <c r="AH50" s="45">
        <v>5.0546301046338105</v>
      </c>
      <c r="AI50" s="45">
        <v>11.680481366909714</v>
      </c>
      <c r="AJ50" s="45">
        <v>0</v>
      </c>
      <c r="AK50" s="45">
        <v>57.564922337325491</v>
      </c>
      <c r="AL50" s="45">
        <v>74.300033808869017</v>
      </c>
      <c r="AM50" s="45">
        <v>97.79849856858101</v>
      </c>
      <c r="AN50" s="45">
        <v>16.509802524090578</v>
      </c>
      <c r="AO50" s="45">
        <v>0</v>
      </c>
      <c r="AP50" s="45">
        <v>0</v>
      </c>
      <c r="AQ50" s="45">
        <v>114.30830109267158</v>
      </c>
      <c r="AR50" s="45">
        <v>5.0546301046338105</v>
      </c>
      <c r="AS50" s="132">
        <v>22.614572921543743</v>
      </c>
      <c r="AT50" s="45">
        <v>97.79849856858101</v>
      </c>
      <c r="AU50" s="45">
        <v>19.54268874495326</v>
      </c>
      <c r="AV50" s="45">
        <v>0</v>
      </c>
      <c r="AW50" s="45">
        <v>0</v>
      </c>
      <c r="AX50" s="45">
        <v>117.34118731353428</v>
      </c>
      <c r="AY50" s="45">
        <v>11.680481366909714</v>
      </c>
      <c r="AZ50" s="132">
        <v>10.045920508546562</v>
      </c>
      <c r="BA50" s="45">
        <v>97.79849856858101</v>
      </c>
      <c r="BB50" s="45">
        <v>36.052491269043841</v>
      </c>
      <c r="BC50" s="45">
        <v>0</v>
      </c>
      <c r="BD50" s="45">
        <v>0</v>
      </c>
      <c r="BE50" s="45">
        <v>133.85098983762487</v>
      </c>
      <c r="BF50" s="45">
        <v>16.735111471543526</v>
      </c>
      <c r="BG50" s="45">
        <v>-6.9625005024214444</v>
      </c>
      <c r="BH50" s="132">
        <v>7.9982132216582968</v>
      </c>
      <c r="BI50" s="45">
        <v>1.8218239229122268</v>
      </c>
      <c r="BJ50" s="45">
        <v>4.2099579879956943</v>
      </c>
      <c r="BK50" s="45">
        <v>0</v>
      </c>
      <c r="BL50" s="45">
        <v>20.747938120849238</v>
      </c>
      <c r="BM50" s="45">
        <v>26.779720031757162</v>
      </c>
      <c r="BN50" s="45">
        <v>97.79849856858101</v>
      </c>
      <c r="BO50" s="45">
        <v>0</v>
      </c>
      <c r="BP50" s="45">
        <v>36.052491269043841</v>
      </c>
      <c r="BQ50" s="45">
        <v>0</v>
      </c>
      <c r="BR50" s="45">
        <v>0</v>
      </c>
      <c r="BS50" s="45">
        <v>0</v>
      </c>
      <c r="BT50" s="45">
        <v>0</v>
      </c>
      <c r="BU50" s="45">
        <v>0</v>
      </c>
      <c r="BV50" s="45">
        <v>0</v>
      </c>
      <c r="BW50" s="45">
        <v>0</v>
      </c>
      <c r="BX50" s="45">
        <v>74.300033808869017</v>
      </c>
      <c r="BY50" s="45"/>
      <c r="BZ50" s="45">
        <v>0</v>
      </c>
      <c r="CA50" s="45">
        <v>0</v>
      </c>
      <c r="CB50" s="45">
        <v>133.85098983762484</v>
      </c>
      <c r="CC50" s="45">
        <v>74.300033808869017</v>
      </c>
      <c r="CD50" s="132">
        <v>1.8014929869607592</v>
      </c>
      <c r="CE50" s="45">
        <v>13.785437618427805</v>
      </c>
      <c r="CF50" s="45">
        <v>1.9394527590314821</v>
      </c>
      <c r="CG50" s="45">
        <v>0</v>
      </c>
      <c r="CH50" s="45">
        <v>1.9394527590314821</v>
      </c>
      <c r="CI50" s="45">
        <v>9.6972078201660122E-2</v>
      </c>
      <c r="CJ50" s="45">
        <v>0</v>
      </c>
      <c r="CK50" s="45">
        <v>9.6972078201660122E-2</v>
      </c>
      <c r="CL50" s="45"/>
      <c r="CM50" s="45">
        <v>0</v>
      </c>
      <c r="CN50" s="45"/>
      <c r="CO50" s="45">
        <v>0</v>
      </c>
      <c r="CP50" s="45">
        <v>0</v>
      </c>
      <c r="CQ50" s="45">
        <v>0</v>
      </c>
      <c r="CR50" s="45">
        <v>0</v>
      </c>
      <c r="CS50" s="45">
        <v>0</v>
      </c>
      <c r="CT50" s="45">
        <v>0</v>
      </c>
      <c r="CU50" s="45">
        <v>0</v>
      </c>
      <c r="CV50" s="45">
        <v>9999</v>
      </c>
      <c r="CW50" s="132">
        <v>9999</v>
      </c>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c r="A51" s="24" t="s">
        <v>768</v>
      </c>
      <c r="B51" s="24" t="s">
        <v>768</v>
      </c>
      <c r="C51" s="45">
        <v>6</v>
      </c>
      <c r="D51" s="45">
        <v>103.47750000000003</v>
      </c>
      <c r="E51" s="45">
        <v>0</v>
      </c>
      <c r="F51" s="45">
        <v>35</v>
      </c>
      <c r="G51" s="45">
        <v>0</v>
      </c>
      <c r="H51" s="45">
        <v>0</v>
      </c>
      <c r="I51" s="45" t="s">
        <v>1390</v>
      </c>
      <c r="J51" s="45"/>
      <c r="K51" s="45"/>
      <c r="L51" s="45">
        <v>111.06931305508533</v>
      </c>
      <c r="M51" s="45">
        <v>1.3949886066046142E-2</v>
      </c>
      <c r="N51" s="45">
        <v>1.3849202044158241E-2</v>
      </c>
      <c r="O51" s="45">
        <v>0</v>
      </c>
      <c r="P51" s="45">
        <v>0</v>
      </c>
      <c r="Q51" s="45">
        <v>0</v>
      </c>
      <c r="R51" s="45">
        <v>6.9794675475760286</v>
      </c>
      <c r="S51" s="45">
        <v>16.128487931426765</v>
      </c>
      <c r="T51" s="45">
        <v>0</v>
      </c>
      <c r="U51" s="45">
        <v>79.4860353804672</v>
      </c>
      <c r="V51" s="45" t="s">
        <v>966</v>
      </c>
      <c r="W51" s="45" t="s">
        <v>966</v>
      </c>
      <c r="X51" s="45" t="s">
        <v>966</v>
      </c>
      <c r="Y51" s="45" t="s">
        <v>966</v>
      </c>
      <c r="Z51" s="45">
        <v>0</v>
      </c>
      <c r="AA51" s="45">
        <v>0</v>
      </c>
      <c r="AB51" s="45">
        <v>0</v>
      </c>
      <c r="AC51" s="45">
        <v>0</v>
      </c>
      <c r="AD51" s="45">
        <v>0</v>
      </c>
      <c r="AE51" s="45">
        <v>0</v>
      </c>
      <c r="AF51" s="45">
        <v>0</v>
      </c>
      <c r="AG51" s="45">
        <v>0</v>
      </c>
      <c r="AH51" s="45">
        <v>6.9794675475760286</v>
      </c>
      <c r="AI51" s="45">
        <v>16.128487931426765</v>
      </c>
      <c r="AJ51" s="45">
        <v>0</v>
      </c>
      <c r="AK51" s="45">
        <v>79.4860353804672</v>
      </c>
      <c r="AL51" s="45">
        <v>102.59399085947</v>
      </c>
      <c r="AM51" s="45">
        <v>55.916450722085173</v>
      </c>
      <c r="AN51" s="45">
        <v>4.9291711069297968</v>
      </c>
      <c r="AO51" s="45">
        <v>0</v>
      </c>
      <c r="AP51" s="45">
        <v>0</v>
      </c>
      <c r="AQ51" s="45">
        <v>60.845621829014974</v>
      </c>
      <c r="AR51" s="45">
        <v>6.9794675475760286</v>
      </c>
      <c r="AS51" s="132">
        <v>8.7178028143632069</v>
      </c>
      <c r="AT51" s="45">
        <v>55.916450722085173</v>
      </c>
      <c r="AU51" s="45">
        <v>5.8346704373226261</v>
      </c>
      <c r="AV51" s="45">
        <v>0</v>
      </c>
      <c r="AW51" s="45">
        <v>0</v>
      </c>
      <c r="AX51" s="45">
        <v>61.751121159407802</v>
      </c>
      <c r="AY51" s="45">
        <v>16.128487931426765</v>
      </c>
      <c r="AZ51" s="132">
        <v>3.8286987237708865</v>
      </c>
      <c r="BA51" s="45">
        <v>55.916450722085173</v>
      </c>
      <c r="BB51" s="45">
        <v>10.763841544252422</v>
      </c>
      <c r="BC51" s="45">
        <v>0</v>
      </c>
      <c r="BD51" s="45">
        <v>0</v>
      </c>
      <c r="BE51" s="45">
        <v>66.680292266337602</v>
      </c>
      <c r="BF51" s="45">
        <v>23.107955479002793</v>
      </c>
      <c r="BG51" s="45">
        <v>8.1777899276686217</v>
      </c>
      <c r="BH51" s="132">
        <v>2.8855989586325421</v>
      </c>
      <c r="BI51" s="45">
        <v>4.6237923363927136</v>
      </c>
      <c r="BJ51" s="45">
        <v>10.68488081455917</v>
      </c>
      <c r="BK51" s="45">
        <v>0</v>
      </c>
      <c r="BL51" s="45">
        <v>52.658303622328127</v>
      </c>
      <c r="BM51" s="45">
        <v>67.96697677328001</v>
      </c>
      <c r="BN51" s="45">
        <v>55.916450722085173</v>
      </c>
      <c r="BO51" s="45">
        <v>0</v>
      </c>
      <c r="BP51" s="45">
        <v>10.763841544252422</v>
      </c>
      <c r="BQ51" s="45">
        <v>0</v>
      </c>
      <c r="BR51" s="45">
        <v>0</v>
      </c>
      <c r="BS51" s="45">
        <v>0</v>
      </c>
      <c r="BT51" s="45">
        <v>0</v>
      </c>
      <c r="BU51" s="45">
        <v>0</v>
      </c>
      <c r="BV51" s="45">
        <v>0</v>
      </c>
      <c r="BW51" s="45">
        <v>0</v>
      </c>
      <c r="BX51" s="45">
        <v>102.59399085947</v>
      </c>
      <c r="BY51" s="45"/>
      <c r="BZ51" s="45">
        <v>0</v>
      </c>
      <c r="CA51" s="45">
        <v>0</v>
      </c>
      <c r="CB51" s="45">
        <v>66.680292266337602</v>
      </c>
      <c r="CC51" s="45">
        <v>102.59399085947</v>
      </c>
      <c r="CD51" s="133">
        <v>0.64994344900447587</v>
      </c>
      <c r="CE51" s="45">
        <v>60.83609354999674</v>
      </c>
      <c r="CF51" s="45">
        <v>1.0551671458543821</v>
      </c>
      <c r="CG51" s="45">
        <v>0</v>
      </c>
      <c r="CH51" s="45">
        <v>1.0551671458543821</v>
      </c>
      <c r="CI51" s="45">
        <v>5.2757923701165527E-2</v>
      </c>
      <c r="CJ51" s="45">
        <v>0</v>
      </c>
      <c r="CK51" s="45">
        <v>5.2757923701165527E-2</v>
      </c>
      <c r="CL51" s="45"/>
      <c r="CM51" s="45">
        <v>0</v>
      </c>
      <c r="CN51" s="45"/>
      <c r="CO51" s="45">
        <v>0</v>
      </c>
      <c r="CP51" s="45">
        <v>0</v>
      </c>
      <c r="CQ51" s="45">
        <v>0</v>
      </c>
      <c r="CR51" s="45">
        <v>0</v>
      </c>
      <c r="CS51" s="45">
        <v>0</v>
      </c>
      <c r="CT51" s="45">
        <v>0</v>
      </c>
      <c r="CU51" s="45">
        <v>0</v>
      </c>
      <c r="CV51" s="45">
        <v>9999</v>
      </c>
      <c r="CW51" s="132">
        <v>9999</v>
      </c>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4"/>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4"/>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ht="13.5" thickBot="1">
      <c r="A54" s="121" t="s">
        <v>967</v>
      </c>
      <c r="B54" s="122"/>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ht="26.25" thickBot="1">
      <c r="A55" s="146" t="s">
        <v>871</v>
      </c>
      <c r="B55" s="147"/>
      <c r="C55" s="148" t="s">
        <v>872</v>
      </c>
      <c r="D55" s="149"/>
      <c r="E55" s="149"/>
      <c r="F55" s="149"/>
      <c r="G55" s="149"/>
      <c r="H55" s="149"/>
      <c r="I55" s="149"/>
      <c r="J55" s="149"/>
      <c r="K55" s="150"/>
      <c r="L55" s="148" t="s">
        <v>83</v>
      </c>
      <c r="M55" s="149"/>
      <c r="N55" s="149"/>
      <c r="O55" s="149"/>
      <c r="P55" s="149"/>
      <c r="Q55" s="150"/>
      <c r="R55" s="148" t="s">
        <v>873</v>
      </c>
      <c r="S55" s="149"/>
      <c r="T55" s="149"/>
      <c r="U55" s="150"/>
      <c r="V55" s="148" t="s">
        <v>874</v>
      </c>
      <c r="W55" s="149"/>
      <c r="X55" s="149"/>
      <c r="Y55" s="150"/>
      <c r="Z55" s="148" t="s">
        <v>875</v>
      </c>
      <c r="AA55" s="149"/>
      <c r="AB55" s="149"/>
      <c r="AC55" s="150"/>
      <c r="AD55" s="148" t="s">
        <v>876</v>
      </c>
      <c r="AE55" s="149"/>
      <c r="AF55" s="149"/>
      <c r="AG55" s="150"/>
      <c r="AH55" s="148" t="s">
        <v>877</v>
      </c>
      <c r="AI55" s="149"/>
      <c r="AJ55" s="149"/>
      <c r="AK55" s="149"/>
      <c r="AL55" s="150"/>
      <c r="AM55" s="148" t="s">
        <v>878</v>
      </c>
      <c r="AN55" s="149"/>
      <c r="AO55" s="149"/>
      <c r="AP55" s="149"/>
      <c r="AQ55" s="149"/>
      <c r="AR55" s="149"/>
      <c r="AS55" s="150"/>
      <c r="AT55" s="148" t="s">
        <v>879</v>
      </c>
      <c r="AU55" s="149"/>
      <c r="AV55" s="149"/>
      <c r="AW55" s="149"/>
      <c r="AX55" s="149"/>
      <c r="AY55" s="149"/>
      <c r="AZ55" s="150"/>
      <c r="BA55" s="148" t="s">
        <v>880</v>
      </c>
      <c r="BB55" s="149"/>
      <c r="BC55" s="149"/>
      <c r="BD55" s="149"/>
      <c r="BE55" s="149"/>
      <c r="BF55" s="150"/>
      <c r="BG55" s="148" t="s">
        <v>881</v>
      </c>
      <c r="BH55" s="150"/>
      <c r="BI55" s="148" t="s">
        <v>882</v>
      </c>
      <c r="BJ55" s="149"/>
      <c r="BK55" s="149"/>
      <c r="BL55" s="149"/>
      <c r="BM55" s="150"/>
      <c r="BN55" s="148" t="s">
        <v>883</v>
      </c>
      <c r="BO55" s="149"/>
      <c r="BP55" s="149"/>
      <c r="BQ55" s="149"/>
      <c r="BR55" s="149"/>
      <c r="BS55" s="149"/>
      <c r="BT55" s="149"/>
      <c r="BU55" s="149"/>
      <c r="BV55" s="149"/>
      <c r="BW55" s="149"/>
      <c r="BX55" s="149"/>
      <c r="BY55" s="149"/>
      <c r="BZ55" s="149"/>
      <c r="CA55" s="149"/>
      <c r="CB55" s="149"/>
      <c r="CC55" s="150"/>
      <c r="CD55" s="148" t="s">
        <v>884</v>
      </c>
      <c r="CE55" s="150"/>
      <c r="CF55" s="148" t="s">
        <v>885</v>
      </c>
      <c r="CG55" s="149"/>
      <c r="CH55" s="149"/>
      <c r="CI55" s="149"/>
      <c r="CJ55" s="149"/>
      <c r="CK55" s="150"/>
      <c r="CL55" s="151"/>
      <c r="CM55" s="148" t="s">
        <v>19</v>
      </c>
      <c r="CN55" s="149"/>
      <c r="CO55" s="149"/>
      <c r="CP55" s="150"/>
      <c r="CQ55" s="148" t="s">
        <v>886</v>
      </c>
      <c r="CR55" s="149"/>
      <c r="CS55" s="149"/>
      <c r="CT55" s="149"/>
      <c r="CU55" s="150"/>
      <c r="CV55" s="148" t="s">
        <v>887</v>
      </c>
      <c r="CW55" s="150"/>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ht="127.5">
      <c r="A56" s="129" t="s">
        <v>81</v>
      </c>
      <c r="B56" s="130" t="s">
        <v>82</v>
      </c>
      <c r="C56" s="131" t="s">
        <v>11</v>
      </c>
      <c r="D56" s="131" t="s">
        <v>888</v>
      </c>
      <c r="E56" s="131" t="s">
        <v>889</v>
      </c>
      <c r="F56" s="131" t="s">
        <v>890</v>
      </c>
      <c r="G56" s="131" t="s">
        <v>891</v>
      </c>
      <c r="H56" s="131" t="s">
        <v>892</v>
      </c>
      <c r="I56" s="131" t="s">
        <v>893</v>
      </c>
      <c r="J56" s="131" t="s">
        <v>894</v>
      </c>
      <c r="K56" s="131" t="s">
        <v>895</v>
      </c>
      <c r="L56" s="131" t="s">
        <v>896</v>
      </c>
      <c r="M56" s="131" t="s">
        <v>897</v>
      </c>
      <c r="N56" s="131" t="s">
        <v>898</v>
      </c>
      <c r="O56" s="131" t="s">
        <v>899</v>
      </c>
      <c r="P56" s="131" t="s">
        <v>900</v>
      </c>
      <c r="Q56" s="131" t="s">
        <v>901</v>
      </c>
      <c r="R56" s="131" t="s">
        <v>902</v>
      </c>
      <c r="S56" s="131" t="s">
        <v>903</v>
      </c>
      <c r="T56" s="131" t="s">
        <v>904</v>
      </c>
      <c r="U56" s="131" t="s">
        <v>811</v>
      </c>
      <c r="V56" s="131" t="s">
        <v>902</v>
      </c>
      <c r="W56" s="131" t="s">
        <v>903</v>
      </c>
      <c r="X56" s="131" t="s">
        <v>904</v>
      </c>
      <c r="Y56" s="131" t="s">
        <v>811</v>
      </c>
      <c r="Z56" s="131" t="s">
        <v>902</v>
      </c>
      <c r="AA56" s="131" t="s">
        <v>903</v>
      </c>
      <c r="AB56" s="131" t="s">
        <v>904</v>
      </c>
      <c r="AC56" s="131" t="s">
        <v>811</v>
      </c>
      <c r="AD56" s="131" t="s">
        <v>902</v>
      </c>
      <c r="AE56" s="131" t="s">
        <v>903</v>
      </c>
      <c r="AF56" s="131" t="s">
        <v>904</v>
      </c>
      <c r="AG56" s="131" t="s">
        <v>811</v>
      </c>
      <c r="AH56" s="131" t="s">
        <v>902</v>
      </c>
      <c r="AI56" s="131" t="s">
        <v>903</v>
      </c>
      <c r="AJ56" s="131" t="s">
        <v>904</v>
      </c>
      <c r="AK56" s="131" t="s">
        <v>811</v>
      </c>
      <c r="AL56" s="131" t="s">
        <v>905</v>
      </c>
      <c r="AM56" s="131" t="s">
        <v>906</v>
      </c>
      <c r="AN56" s="131" t="s">
        <v>907</v>
      </c>
      <c r="AO56" s="131" t="s">
        <v>908</v>
      </c>
      <c r="AP56" s="131" t="s">
        <v>909</v>
      </c>
      <c r="AQ56" s="131" t="s">
        <v>910</v>
      </c>
      <c r="AR56" s="131" t="s">
        <v>911</v>
      </c>
      <c r="AS56" s="131" t="s">
        <v>912</v>
      </c>
      <c r="AT56" s="131" t="s">
        <v>913</v>
      </c>
      <c r="AU56" s="131" t="s">
        <v>914</v>
      </c>
      <c r="AV56" s="131" t="s">
        <v>915</v>
      </c>
      <c r="AW56" s="131" t="s">
        <v>916</v>
      </c>
      <c r="AX56" s="131" t="s">
        <v>917</v>
      </c>
      <c r="AY56" s="131" t="s">
        <v>918</v>
      </c>
      <c r="AZ56" s="131" t="s">
        <v>919</v>
      </c>
      <c r="BA56" s="131" t="s">
        <v>920</v>
      </c>
      <c r="BB56" s="131" t="s">
        <v>921</v>
      </c>
      <c r="BC56" s="131" t="s">
        <v>922</v>
      </c>
      <c r="BD56" s="131" t="s">
        <v>923</v>
      </c>
      <c r="BE56" s="131" t="s">
        <v>924</v>
      </c>
      <c r="BF56" s="131" t="s">
        <v>925</v>
      </c>
      <c r="BG56" s="131" t="s">
        <v>926</v>
      </c>
      <c r="BH56" s="131" t="s">
        <v>927</v>
      </c>
      <c r="BI56" s="131" t="s">
        <v>928</v>
      </c>
      <c r="BJ56" s="131" t="s">
        <v>929</v>
      </c>
      <c r="BK56" s="131" t="s">
        <v>930</v>
      </c>
      <c r="BL56" s="131" t="s">
        <v>931</v>
      </c>
      <c r="BM56" s="131" t="s">
        <v>932</v>
      </c>
      <c r="BN56" s="131" t="s">
        <v>933</v>
      </c>
      <c r="BO56" s="131" t="s">
        <v>934</v>
      </c>
      <c r="BP56" s="131" t="s">
        <v>935</v>
      </c>
      <c r="BQ56" s="131" t="s">
        <v>936</v>
      </c>
      <c r="BR56" s="131" t="s">
        <v>937</v>
      </c>
      <c r="BS56" s="131" t="s">
        <v>938</v>
      </c>
      <c r="BT56" s="131" t="s">
        <v>939</v>
      </c>
      <c r="BU56" s="131" t="s">
        <v>940</v>
      </c>
      <c r="BV56" s="131" t="s">
        <v>941</v>
      </c>
      <c r="BW56" s="131" t="s">
        <v>942</v>
      </c>
      <c r="BX56" s="131" t="s">
        <v>943</v>
      </c>
      <c r="BY56" s="131" t="s">
        <v>944</v>
      </c>
      <c r="BZ56" s="131" t="s">
        <v>945</v>
      </c>
      <c r="CA56" s="131" t="s">
        <v>946</v>
      </c>
      <c r="CB56" s="131" t="s">
        <v>947</v>
      </c>
      <c r="CC56" s="131" t="s">
        <v>948</v>
      </c>
      <c r="CD56" s="131" t="s">
        <v>782</v>
      </c>
      <c r="CE56" s="131" t="s">
        <v>781</v>
      </c>
      <c r="CF56" s="131" t="s">
        <v>949</v>
      </c>
      <c r="CG56" s="131" t="s">
        <v>950</v>
      </c>
      <c r="CH56" s="131" t="s">
        <v>951</v>
      </c>
      <c r="CI56" s="131" t="s">
        <v>952</v>
      </c>
      <c r="CJ56" s="131" t="s">
        <v>953</v>
      </c>
      <c r="CK56" s="131" t="s">
        <v>954</v>
      </c>
      <c r="CL56" s="131"/>
      <c r="CM56" s="131" t="s">
        <v>955</v>
      </c>
      <c r="CN56" s="131" t="s">
        <v>956</v>
      </c>
      <c r="CO56" s="131" t="s">
        <v>957</v>
      </c>
      <c r="CP56" s="131" t="s">
        <v>958</v>
      </c>
      <c r="CQ56" s="131" t="s">
        <v>959</v>
      </c>
      <c r="CR56" s="131" t="s">
        <v>960</v>
      </c>
      <c r="CS56" s="131" t="s">
        <v>961</v>
      </c>
      <c r="CT56" s="131" t="s">
        <v>962</v>
      </c>
      <c r="CU56" s="131" t="s">
        <v>963</v>
      </c>
      <c r="CV56" s="131" t="s">
        <v>964</v>
      </c>
      <c r="CW56" s="131" t="s">
        <v>965</v>
      </c>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c r="A57" s="24" t="s">
        <v>128</v>
      </c>
      <c r="B57" s="24"/>
      <c r="C57" s="45">
        <v>6</v>
      </c>
      <c r="D57" s="45">
        <v>416.09999999999997</v>
      </c>
      <c r="E57" s="45">
        <v>0</v>
      </c>
      <c r="F57" s="45">
        <v>25.3475</v>
      </c>
      <c r="G57" s="45">
        <v>0</v>
      </c>
      <c r="H57" s="45">
        <v>0</v>
      </c>
      <c r="I57" s="45"/>
      <c r="J57" s="45"/>
      <c r="K57" s="45"/>
      <c r="L57" s="45">
        <v>445.84863540993149</v>
      </c>
      <c r="M57" s="45">
        <v>0.10204059760720337</v>
      </c>
      <c r="N57" s="45">
        <v>0.10130411433312529</v>
      </c>
      <c r="O57" s="45">
        <v>0</v>
      </c>
      <c r="P57" s="45">
        <v>0</v>
      </c>
      <c r="Q57" s="45">
        <v>0</v>
      </c>
      <c r="R57" s="45">
        <v>5.0546301046338105</v>
      </c>
      <c r="S57" s="45">
        <v>11.680481366909714</v>
      </c>
      <c r="T57" s="45">
        <v>0</v>
      </c>
      <c r="U57" s="45">
        <v>57.564922337325491</v>
      </c>
      <c r="V57" s="45">
        <v>1.52085</v>
      </c>
      <c r="W57" s="45">
        <v>3.5486499999999999</v>
      </c>
      <c r="X57" s="45">
        <v>0</v>
      </c>
      <c r="Y57" s="45">
        <v>0</v>
      </c>
      <c r="Z57" s="45">
        <v>0</v>
      </c>
      <c r="AA57" s="45">
        <v>0</v>
      </c>
      <c r="AB57" s="45">
        <v>0</v>
      </c>
      <c r="AC57" s="45">
        <v>0</v>
      </c>
      <c r="AD57" s="45">
        <v>0</v>
      </c>
      <c r="AE57" s="45">
        <v>0</v>
      </c>
      <c r="AF57" s="45">
        <v>0</v>
      </c>
      <c r="AG57" s="45">
        <v>0</v>
      </c>
      <c r="AH57" s="45">
        <v>6.5754801046338107</v>
      </c>
      <c r="AI57" s="45">
        <v>15.229131366909714</v>
      </c>
      <c r="AJ57" s="45">
        <v>0</v>
      </c>
      <c r="AK57" s="45">
        <v>57.564922337325491</v>
      </c>
      <c r="AL57" s="45">
        <v>79.369533808869022</v>
      </c>
      <c r="AM57" s="45">
        <v>213.58292790839536</v>
      </c>
      <c r="AN57" s="45">
        <v>36.055890569852991</v>
      </c>
      <c r="AO57" s="45">
        <v>0</v>
      </c>
      <c r="AP57" s="45">
        <v>0</v>
      </c>
      <c r="AQ57" s="45">
        <v>249.63881847824837</v>
      </c>
      <c r="AR57" s="45">
        <v>6.5754801046338107</v>
      </c>
      <c r="AS57" s="132">
        <v>37.965108935897355</v>
      </c>
      <c r="AT57" s="45">
        <v>213.58292790839536</v>
      </c>
      <c r="AU57" s="45">
        <v>42.679435190127819</v>
      </c>
      <c r="AV57" s="45">
        <v>0</v>
      </c>
      <c r="AW57" s="45">
        <v>0</v>
      </c>
      <c r="AX57" s="45">
        <v>256.26236309852317</v>
      </c>
      <c r="AY57" s="45">
        <v>15.229131366909714</v>
      </c>
      <c r="AZ57" s="132">
        <v>16.827116197535549</v>
      </c>
      <c r="BA57" s="45">
        <v>213.58292790839536</v>
      </c>
      <c r="BB57" s="45">
        <v>78.73532575998081</v>
      </c>
      <c r="BC57" s="45">
        <v>0</v>
      </c>
      <c r="BD57" s="45">
        <v>0</v>
      </c>
      <c r="BE57" s="45">
        <v>292.31825366837614</v>
      </c>
      <c r="BF57" s="45">
        <v>21.804611471543524</v>
      </c>
      <c r="BG57" s="45">
        <v>-9.3957035462286385</v>
      </c>
      <c r="BH57" s="132">
        <v>13.406258306866464</v>
      </c>
      <c r="BI57" s="45">
        <v>1.085200888649515</v>
      </c>
      <c r="BJ57" s="45">
        <v>2.513377978451202</v>
      </c>
      <c r="BK57" s="45">
        <v>0</v>
      </c>
      <c r="BL57" s="45">
        <v>9.5003716658625468</v>
      </c>
      <c r="BM57" s="45">
        <v>13.098950532963263</v>
      </c>
      <c r="BN57" s="45">
        <v>213.58292790839536</v>
      </c>
      <c r="BO57" s="45">
        <v>0</v>
      </c>
      <c r="BP57" s="45">
        <v>78.73532575998081</v>
      </c>
      <c r="BQ57" s="45">
        <v>0</v>
      </c>
      <c r="BR57" s="45">
        <v>0</v>
      </c>
      <c r="BS57" s="45">
        <v>0</v>
      </c>
      <c r="BT57" s="45">
        <v>0</v>
      </c>
      <c r="BU57" s="45">
        <v>0</v>
      </c>
      <c r="BV57" s="45">
        <v>0</v>
      </c>
      <c r="BW57" s="45">
        <v>0</v>
      </c>
      <c r="BX57" s="45">
        <v>74.300033808869017</v>
      </c>
      <c r="BY57" s="45">
        <v>5.0695000000000006</v>
      </c>
      <c r="BZ57" s="45">
        <v>0</v>
      </c>
      <c r="CA57" s="45">
        <v>0</v>
      </c>
      <c r="CB57" s="45">
        <v>292.3182536683762</v>
      </c>
      <c r="CC57" s="45">
        <v>79.369533808869022</v>
      </c>
      <c r="CD57" s="132">
        <v>3.6830032840096076</v>
      </c>
      <c r="CE57" s="45">
        <v>0.10466811963389859</v>
      </c>
      <c r="CF57" s="45">
        <v>4.2355864852411687</v>
      </c>
      <c r="CG57" s="45">
        <v>0</v>
      </c>
      <c r="CH57" s="45">
        <v>4.2355864852411687</v>
      </c>
      <c r="CI57" s="45">
        <v>0.21177810181971746</v>
      </c>
      <c r="CJ57" s="45">
        <v>0</v>
      </c>
      <c r="CK57" s="45">
        <v>0.21177810181971746</v>
      </c>
      <c r="CL57" s="45"/>
      <c r="CM57" s="45">
        <v>0</v>
      </c>
      <c r="CN57" s="45"/>
      <c r="CO57" s="45">
        <v>0</v>
      </c>
      <c r="CP57" s="45">
        <v>0</v>
      </c>
      <c r="CQ57" s="45">
        <v>0</v>
      </c>
      <c r="CR57" s="45">
        <v>0</v>
      </c>
      <c r="CS57" s="45">
        <v>0</v>
      </c>
      <c r="CT57" s="45">
        <v>0</v>
      </c>
      <c r="CU57" s="45">
        <v>0</v>
      </c>
      <c r="CV57" s="45">
        <v>9999</v>
      </c>
      <c r="CW57" s="132">
        <v>9999</v>
      </c>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c r="A58" s="24" t="s">
        <v>126</v>
      </c>
      <c r="B58" s="24"/>
      <c r="C58" s="45">
        <v>6</v>
      </c>
      <c r="D58" s="45">
        <v>287.98500000000001</v>
      </c>
      <c r="E58" s="45">
        <v>0</v>
      </c>
      <c r="F58" s="45">
        <v>25.3475</v>
      </c>
      <c r="G58" s="45">
        <v>0</v>
      </c>
      <c r="H58" s="45">
        <v>0</v>
      </c>
      <c r="I58" s="45"/>
      <c r="J58" s="45"/>
      <c r="K58" s="45"/>
      <c r="L58" s="45">
        <v>308.57418713897891</v>
      </c>
      <c r="M58" s="45">
        <v>7.0622834659722342E-2</v>
      </c>
      <c r="N58" s="45">
        <v>7.0113110709505141E-2</v>
      </c>
      <c r="O58" s="45">
        <v>0</v>
      </c>
      <c r="P58" s="45">
        <v>0</v>
      </c>
      <c r="Q58" s="45">
        <v>0</v>
      </c>
      <c r="R58" s="45">
        <v>5.0546301046338105</v>
      </c>
      <c r="S58" s="45">
        <v>11.680481366909714</v>
      </c>
      <c r="T58" s="45">
        <v>0</v>
      </c>
      <c r="U58" s="45">
        <v>57.564922337325491</v>
      </c>
      <c r="V58" s="45">
        <v>1.52085</v>
      </c>
      <c r="W58" s="45">
        <v>3.5486499999999999</v>
      </c>
      <c r="X58" s="45">
        <v>0</v>
      </c>
      <c r="Y58" s="45">
        <v>0</v>
      </c>
      <c r="Z58" s="45">
        <v>0</v>
      </c>
      <c r="AA58" s="45">
        <v>0</v>
      </c>
      <c r="AB58" s="45">
        <v>0</v>
      </c>
      <c r="AC58" s="45">
        <v>0</v>
      </c>
      <c r="AD58" s="45">
        <v>0</v>
      </c>
      <c r="AE58" s="45">
        <v>0</v>
      </c>
      <c r="AF58" s="45">
        <v>0</v>
      </c>
      <c r="AG58" s="45">
        <v>0</v>
      </c>
      <c r="AH58" s="45">
        <v>6.5754801046338107</v>
      </c>
      <c r="AI58" s="45">
        <v>15.229131366909714</v>
      </c>
      <c r="AJ58" s="45">
        <v>0</v>
      </c>
      <c r="AK58" s="45">
        <v>57.564922337325491</v>
      </c>
      <c r="AL58" s="45">
        <v>79.369533808869022</v>
      </c>
      <c r="AM58" s="45">
        <v>147.82186852607379</v>
      </c>
      <c r="AN58" s="45">
        <v>24.954471631240352</v>
      </c>
      <c r="AO58" s="45">
        <v>0</v>
      </c>
      <c r="AP58" s="45">
        <v>0</v>
      </c>
      <c r="AQ58" s="45">
        <v>172.77634015731414</v>
      </c>
      <c r="AR58" s="45">
        <v>6.5754801046338107</v>
      </c>
      <c r="AS58" s="132">
        <v>26.275851710897403</v>
      </c>
      <c r="AT58" s="45">
        <v>147.82186852607379</v>
      </c>
      <c r="AU58" s="45">
        <v>29.538661723693732</v>
      </c>
      <c r="AV58" s="45">
        <v>0</v>
      </c>
      <c r="AW58" s="45">
        <v>0</v>
      </c>
      <c r="AX58" s="45">
        <v>177.36053024976752</v>
      </c>
      <c r="AY58" s="45">
        <v>15.229131366909714</v>
      </c>
      <c r="AZ58" s="132">
        <v>11.646135684083827</v>
      </c>
      <c r="BA58" s="45">
        <v>147.82186852607379</v>
      </c>
      <c r="BB58" s="45">
        <v>54.493133354934088</v>
      </c>
      <c r="BC58" s="45">
        <v>0</v>
      </c>
      <c r="BD58" s="45">
        <v>0</v>
      </c>
      <c r="BE58" s="45">
        <v>202.31500188100787</v>
      </c>
      <c r="BF58" s="45">
        <v>21.804611471543524</v>
      </c>
      <c r="BG58" s="45">
        <v>-7.794814848697146</v>
      </c>
      <c r="BH58" s="132">
        <v>9.278541933436534</v>
      </c>
      <c r="BI58" s="45">
        <v>1.5679708657293372</v>
      </c>
      <c r="BJ58" s="45">
        <v>3.6314966989028776</v>
      </c>
      <c r="BK58" s="45">
        <v>0</v>
      </c>
      <c r="BL58" s="45">
        <v>13.726772749155009</v>
      </c>
      <c r="BM58" s="45">
        <v>18.926240313787222</v>
      </c>
      <c r="BN58" s="45">
        <v>147.82186852607379</v>
      </c>
      <c r="BO58" s="45">
        <v>0</v>
      </c>
      <c r="BP58" s="45">
        <v>54.493133354934088</v>
      </c>
      <c r="BQ58" s="45">
        <v>0</v>
      </c>
      <c r="BR58" s="45">
        <v>0</v>
      </c>
      <c r="BS58" s="45">
        <v>0</v>
      </c>
      <c r="BT58" s="45">
        <v>0</v>
      </c>
      <c r="BU58" s="45">
        <v>0</v>
      </c>
      <c r="BV58" s="45">
        <v>0</v>
      </c>
      <c r="BW58" s="45">
        <v>0</v>
      </c>
      <c r="BX58" s="45">
        <v>74.300033808869017</v>
      </c>
      <c r="BY58" s="45">
        <v>5.0695000000000006</v>
      </c>
      <c r="BZ58" s="45">
        <v>0</v>
      </c>
      <c r="CA58" s="45">
        <v>0</v>
      </c>
      <c r="CB58" s="45">
        <v>202.31500188100787</v>
      </c>
      <c r="CC58" s="45">
        <v>79.369533808869022</v>
      </c>
      <c r="CD58" s="132">
        <v>2.549025957090862</v>
      </c>
      <c r="CE58" s="45">
        <v>5.9319579004578644</v>
      </c>
      <c r="CF58" s="45">
        <v>2.9314716989958596</v>
      </c>
      <c r="CG58" s="45">
        <v>0</v>
      </c>
      <c r="CH58" s="45">
        <v>2.9314716989958596</v>
      </c>
      <c r="CI58" s="45">
        <v>0.14657273889101499</v>
      </c>
      <c r="CJ58" s="45">
        <v>0</v>
      </c>
      <c r="CK58" s="45">
        <v>0.14657273889101499</v>
      </c>
      <c r="CL58" s="45"/>
      <c r="CM58" s="45">
        <v>0</v>
      </c>
      <c r="CN58" s="45"/>
      <c r="CO58" s="45">
        <v>0</v>
      </c>
      <c r="CP58" s="45">
        <v>0</v>
      </c>
      <c r="CQ58" s="45">
        <v>0</v>
      </c>
      <c r="CR58" s="45">
        <v>0</v>
      </c>
      <c r="CS58" s="45">
        <v>0</v>
      </c>
      <c r="CT58" s="45">
        <v>0</v>
      </c>
      <c r="CU58" s="45">
        <v>0</v>
      </c>
      <c r="CV58" s="45">
        <v>9999</v>
      </c>
      <c r="CW58" s="132">
        <v>9999</v>
      </c>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c r="A59" s="24" t="s">
        <v>114</v>
      </c>
      <c r="B59" s="24"/>
      <c r="C59" s="45">
        <v>6</v>
      </c>
      <c r="D59" s="45">
        <v>262.8</v>
      </c>
      <c r="E59" s="45">
        <v>0</v>
      </c>
      <c r="F59" s="45">
        <v>25.3475</v>
      </c>
      <c r="G59" s="45">
        <v>0</v>
      </c>
      <c r="H59" s="45">
        <v>0</v>
      </c>
      <c r="I59" s="45"/>
      <c r="J59" s="45"/>
      <c r="K59" s="45"/>
      <c r="L59" s="45">
        <v>281.58861183785149</v>
      </c>
      <c r="M59" s="45">
        <v>6.4446693225602134E-2</v>
      </c>
      <c r="N59" s="45">
        <v>6.3981545894605446E-2</v>
      </c>
      <c r="O59" s="45">
        <v>0</v>
      </c>
      <c r="P59" s="45">
        <v>0</v>
      </c>
      <c r="Q59" s="45">
        <v>0</v>
      </c>
      <c r="R59" s="45">
        <v>5.0546301046338105</v>
      </c>
      <c r="S59" s="45">
        <v>11.680481366909714</v>
      </c>
      <c r="T59" s="45">
        <v>0</v>
      </c>
      <c r="U59" s="45">
        <v>57.564922337325491</v>
      </c>
      <c r="V59" s="45">
        <v>1.52085</v>
      </c>
      <c r="W59" s="45">
        <v>3.5486499999999999</v>
      </c>
      <c r="X59" s="45">
        <v>0</v>
      </c>
      <c r="Y59" s="45">
        <v>0</v>
      </c>
      <c r="Z59" s="45">
        <v>0</v>
      </c>
      <c r="AA59" s="45">
        <v>0</v>
      </c>
      <c r="AB59" s="45">
        <v>0</v>
      </c>
      <c r="AC59" s="45">
        <v>0</v>
      </c>
      <c r="AD59" s="45">
        <v>0</v>
      </c>
      <c r="AE59" s="45">
        <v>0</v>
      </c>
      <c r="AF59" s="45">
        <v>0</v>
      </c>
      <c r="AG59" s="45">
        <v>0</v>
      </c>
      <c r="AH59" s="45">
        <v>6.5754801046338107</v>
      </c>
      <c r="AI59" s="45">
        <v>15.229131366909714</v>
      </c>
      <c r="AJ59" s="45">
        <v>0</v>
      </c>
      <c r="AK59" s="45">
        <v>57.564922337325491</v>
      </c>
      <c r="AL59" s="45">
        <v>79.369533808869022</v>
      </c>
      <c r="AM59" s="45">
        <v>134.89448078424979</v>
      </c>
      <c r="AN59" s="45">
        <v>22.772141412538733</v>
      </c>
      <c r="AO59" s="45">
        <v>0</v>
      </c>
      <c r="AP59" s="45">
        <v>0</v>
      </c>
      <c r="AQ59" s="45">
        <v>157.66662219678852</v>
      </c>
      <c r="AR59" s="45">
        <v>6.5754801046338107</v>
      </c>
      <c r="AS59" s="132">
        <v>23.977963538461498</v>
      </c>
      <c r="AT59" s="45">
        <v>134.89448078424979</v>
      </c>
      <c r="AU59" s="45">
        <v>26.955432751659675</v>
      </c>
      <c r="AV59" s="45">
        <v>0</v>
      </c>
      <c r="AW59" s="45">
        <v>0</v>
      </c>
      <c r="AX59" s="45">
        <v>161.84991353590948</v>
      </c>
      <c r="AY59" s="45">
        <v>15.229131366909714</v>
      </c>
      <c r="AZ59" s="132">
        <v>10.627652335285617</v>
      </c>
      <c r="BA59" s="45">
        <v>134.89448078424979</v>
      </c>
      <c r="BB59" s="45">
        <v>49.727574164198408</v>
      </c>
      <c r="BC59" s="45">
        <v>0</v>
      </c>
      <c r="BD59" s="45">
        <v>0</v>
      </c>
      <c r="BE59" s="45">
        <v>184.62205494844821</v>
      </c>
      <c r="BF59" s="45">
        <v>21.804611471543524</v>
      </c>
      <c r="BG59" s="45">
        <v>-7.2965325404198937</v>
      </c>
      <c r="BH59" s="132">
        <v>8.4671105095998769</v>
      </c>
      <c r="BI59" s="45">
        <v>1.718234740361732</v>
      </c>
      <c r="BJ59" s="45">
        <v>3.9795151325477365</v>
      </c>
      <c r="BK59" s="45">
        <v>0</v>
      </c>
      <c r="BL59" s="45">
        <v>15.042255137615697</v>
      </c>
      <c r="BM59" s="45">
        <v>20.740005010525167</v>
      </c>
      <c r="BN59" s="45">
        <v>134.89448078424979</v>
      </c>
      <c r="BO59" s="45">
        <v>0</v>
      </c>
      <c r="BP59" s="45">
        <v>49.727574164198408</v>
      </c>
      <c r="BQ59" s="45">
        <v>0</v>
      </c>
      <c r="BR59" s="45">
        <v>0</v>
      </c>
      <c r="BS59" s="45">
        <v>0</v>
      </c>
      <c r="BT59" s="45">
        <v>0</v>
      </c>
      <c r="BU59" s="45">
        <v>0</v>
      </c>
      <c r="BV59" s="45">
        <v>0</v>
      </c>
      <c r="BW59" s="45">
        <v>0</v>
      </c>
      <c r="BX59" s="45">
        <v>74.300033808869017</v>
      </c>
      <c r="BY59" s="45">
        <v>5.0695000000000006</v>
      </c>
      <c r="BZ59" s="45">
        <v>0</v>
      </c>
      <c r="CA59" s="45">
        <v>0</v>
      </c>
      <c r="CB59" s="45">
        <v>184.62205494844821</v>
      </c>
      <c r="CC59" s="45">
        <v>79.369533808869022</v>
      </c>
      <c r="CD59" s="132">
        <v>2.3261073372692271</v>
      </c>
      <c r="CE59" s="45">
        <v>7.7457225971958037</v>
      </c>
      <c r="CF59" s="45">
        <v>2.6751072538365275</v>
      </c>
      <c r="CG59" s="45">
        <v>0</v>
      </c>
      <c r="CH59" s="45">
        <v>2.6751072538365275</v>
      </c>
      <c r="CI59" s="45">
        <v>0.13375459062297945</v>
      </c>
      <c r="CJ59" s="45">
        <v>0</v>
      </c>
      <c r="CK59" s="45">
        <v>0.13375459062297945</v>
      </c>
      <c r="CL59" s="45"/>
      <c r="CM59" s="45">
        <v>0</v>
      </c>
      <c r="CN59" s="45"/>
      <c r="CO59" s="45">
        <v>0</v>
      </c>
      <c r="CP59" s="45">
        <v>0</v>
      </c>
      <c r="CQ59" s="45">
        <v>0</v>
      </c>
      <c r="CR59" s="45">
        <v>0</v>
      </c>
      <c r="CS59" s="45">
        <v>0</v>
      </c>
      <c r="CT59" s="45">
        <v>0</v>
      </c>
      <c r="CU59" s="45">
        <v>0</v>
      </c>
      <c r="CV59" s="45">
        <v>9999</v>
      </c>
      <c r="CW59" s="132">
        <v>9999</v>
      </c>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t="s">
        <v>125</v>
      </c>
      <c r="B60" s="24"/>
      <c r="C60" s="45">
        <v>6.0000000000000009</v>
      </c>
      <c r="D60" s="45">
        <v>237.28649999999999</v>
      </c>
      <c r="E60" s="45">
        <v>0</v>
      </c>
      <c r="F60" s="45">
        <v>25.3475</v>
      </c>
      <c r="G60" s="45">
        <v>0</v>
      </c>
      <c r="H60" s="45">
        <v>0</v>
      </c>
      <c r="I60" s="45"/>
      <c r="J60" s="45"/>
      <c r="K60" s="45"/>
      <c r="L60" s="45">
        <v>254.25105077192674</v>
      </c>
      <c r="M60" s="45">
        <v>5.8189993424949925E-2</v>
      </c>
      <c r="N60" s="45">
        <v>5.7770004147337503E-2</v>
      </c>
      <c r="O60" s="45">
        <v>0</v>
      </c>
      <c r="P60" s="45">
        <v>0</v>
      </c>
      <c r="Q60" s="45">
        <v>0</v>
      </c>
      <c r="R60" s="45">
        <v>5.0546301046338105</v>
      </c>
      <c r="S60" s="45">
        <v>11.680481366909714</v>
      </c>
      <c r="T60" s="45">
        <v>0</v>
      </c>
      <c r="U60" s="45">
        <v>57.564922337325491</v>
      </c>
      <c r="V60" s="45">
        <v>1.52085</v>
      </c>
      <c r="W60" s="45">
        <v>3.5486499999999999</v>
      </c>
      <c r="X60" s="45">
        <v>0</v>
      </c>
      <c r="Y60" s="45">
        <v>0</v>
      </c>
      <c r="Z60" s="45">
        <v>0</v>
      </c>
      <c r="AA60" s="45">
        <v>0</v>
      </c>
      <c r="AB60" s="45">
        <v>0</v>
      </c>
      <c r="AC60" s="45">
        <v>0</v>
      </c>
      <c r="AD60" s="45">
        <v>0</v>
      </c>
      <c r="AE60" s="45">
        <v>0</v>
      </c>
      <c r="AF60" s="45">
        <v>0</v>
      </c>
      <c r="AG60" s="45">
        <v>0</v>
      </c>
      <c r="AH60" s="45">
        <v>6.5754801046338107</v>
      </c>
      <c r="AI60" s="45">
        <v>15.229131366909714</v>
      </c>
      <c r="AJ60" s="45">
        <v>0</v>
      </c>
      <c r="AK60" s="45">
        <v>57.564922337325491</v>
      </c>
      <c r="AL60" s="45">
        <v>79.369533808869022</v>
      </c>
      <c r="AM60" s="45">
        <v>121.79847494144539</v>
      </c>
      <c r="AN60" s="45">
        <v>20.561346017071429</v>
      </c>
      <c r="AO60" s="45">
        <v>0</v>
      </c>
      <c r="AP60" s="45">
        <v>0</v>
      </c>
      <c r="AQ60" s="45">
        <v>142.35982095851682</v>
      </c>
      <c r="AR60" s="45">
        <v>6.5754801046338107</v>
      </c>
      <c r="AS60" s="132">
        <v>21.650102911602506</v>
      </c>
      <c r="AT60" s="45">
        <v>121.79847494144539</v>
      </c>
      <c r="AU60" s="45">
        <v>24.33850948868605</v>
      </c>
      <c r="AV60" s="45">
        <v>0</v>
      </c>
      <c r="AW60" s="45">
        <v>0</v>
      </c>
      <c r="AX60" s="45">
        <v>146.13698443013143</v>
      </c>
      <c r="AY60" s="45">
        <v>15.229131366909714</v>
      </c>
      <c r="AZ60" s="132">
        <v>9.5958844210682948</v>
      </c>
      <c r="BA60" s="45">
        <v>121.79847494144539</v>
      </c>
      <c r="BB60" s="45">
        <v>44.899855505757479</v>
      </c>
      <c r="BC60" s="45">
        <v>0</v>
      </c>
      <c r="BD60" s="45">
        <v>0</v>
      </c>
      <c r="BE60" s="45">
        <v>166.69833044720286</v>
      </c>
      <c r="BF60" s="45">
        <v>21.804611471543524</v>
      </c>
      <c r="BG60" s="45">
        <v>-6.6838995360876767</v>
      </c>
      <c r="BH60" s="132">
        <v>7.6450951976262145</v>
      </c>
      <c r="BI60" s="45">
        <v>1.902982638148665</v>
      </c>
      <c r="BJ60" s="45">
        <v>4.4074002390930165</v>
      </c>
      <c r="BK60" s="45">
        <v>0</v>
      </c>
      <c r="BL60" s="45">
        <v>16.659627286699433</v>
      </c>
      <c r="BM60" s="45">
        <v>22.970010163941115</v>
      </c>
      <c r="BN60" s="45">
        <v>121.79847494144539</v>
      </c>
      <c r="BO60" s="45">
        <v>0</v>
      </c>
      <c r="BP60" s="45">
        <v>44.899855505757479</v>
      </c>
      <c r="BQ60" s="45">
        <v>0</v>
      </c>
      <c r="BR60" s="45">
        <v>0</v>
      </c>
      <c r="BS60" s="45">
        <v>0</v>
      </c>
      <c r="BT60" s="45">
        <v>0</v>
      </c>
      <c r="BU60" s="45">
        <v>0</v>
      </c>
      <c r="BV60" s="45">
        <v>0</v>
      </c>
      <c r="BW60" s="45">
        <v>0</v>
      </c>
      <c r="BX60" s="45">
        <v>74.300033808869017</v>
      </c>
      <c r="BY60" s="45">
        <v>5.0695000000000006</v>
      </c>
      <c r="BZ60" s="45">
        <v>0</v>
      </c>
      <c r="CA60" s="45">
        <v>0</v>
      </c>
      <c r="CB60" s="45">
        <v>166.69833044720286</v>
      </c>
      <c r="CC60" s="45">
        <v>79.369533808869022</v>
      </c>
      <c r="CD60" s="132">
        <v>2.1002810832760042</v>
      </c>
      <c r="CE60" s="45">
        <v>9.9757277506117585</v>
      </c>
      <c r="CF60" s="45">
        <v>2.415398924609899</v>
      </c>
      <c r="CG60" s="45">
        <v>0</v>
      </c>
      <c r="CH60" s="45">
        <v>2.415398924609899</v>
      </c>
      <c r="CI60" s="45">
        <v>0.1207692491166652</v>
      </c>
      <c r="CJ60" s="45">
        <v>0</v>
      </c>
      <c r="CK60" s="45">
        <v>0.1207692491166652</v>
      </c>
      <c r="CL60" s="45"/>
      <c r="CM60" s="45">
        <v>0</v>
      </c>
      <c r="CN60" s="45"/>
      <c r="CO60" s="45">
        <v>0</v>
      </c>
      <c r="CP60" s="45">
        <v>0</v>
      </c>
      <c r="CQ60" s="45">
        <v>0</v>
      </c>
      <c r="CR60" s="45">
        <v>0</v>
      </c>
      <c r="CS60" s="45">
        <v>0</v>
      </c>
      <c r="CT60" s="45">
        <v>0</v>
      </c>
      <c r="CU60" s="45">
        <v>0</v>
      </c>
      <c r="CV60" s="45">
        <v>9999</v>
      </c>
      <c r="CW60" s="132">
        <v>9999</v>
      </c>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t="s">
        <v>116</v>
      </c>
      <c r="B61" s="24"/>
      <c r="C61" s="45">
        <v>6</v>
      </c>
      <c r="D61" s="45">
        <v>219</v>
      </c>
      <c r="E61" s="45">
        <v>0</v>
      </c>
      <c r="F61" s="45">
        <v>25.3475</v>
      </c>
      <c r="G61" s="45">
        <v>0</v>
      </c>
      <c r="H61" s="45">
        <v>0</v>
      </c>
      <c r="I61" s="45"/>
      <c r="J61" s="45"/>
      <c r="K61" s="45"/>
      <c r="L61" s="45">
        <v>234.65717653154292</v>
      </c>
      <c r="M61" s="45">
        <v>5.3705577688001778E-2</v>
      </c>
      <c r="N61" s="45">
        <v>5.3317954912171207E-2</v>
      </c>
      <c r="O61" s="45">
        <v>0</v>
      </c>
      <c r="P61" s="45">
        <v>0</v>
      </c>
      <c r="Q61" s="45">
        <v>0</v>
      </c>
      <c r="R61" s="45">
        <v>5.0546301046338105</v>
      </c>
      <c r="S61" s="45">
        <v>11.680481366909714</v>
      </c>
      <c r="T61" s="45">
        <v>0</v>
      </c>
      <c r="U61" s="45">
        <v>57.564922337325491</v>
      </c>
      <c r="V61" s="45">
        <v>1.52085</v>
      </c>
      <c r="W61" s="45">
        <v>3.5486499999999999</v>
      </c>
      <c r="X61" s="45">
        <v>0</v>
      </c>
      <c r="Y61" s="45">
        <v>0</v>
      </c>
      <c r="Z61" s="45">
        <v>0</v>
      </c>
      <c r="AA61" s="45">
        <v>0</v>
      </c>
      <c r="AB61" s="45">
        <v>0</v>
      </c>
      <c r="AC61" s="45">
        <v>0</v>
      </c>
      <c r="AD61" s="45">
        <v>0</v>
      </c>
      <c r="AE61" s="45">
        <v>0</v>
      </c>
      <c r="AF61" s="45">
        <v>0</v>
      </c>
      <c r="AG61" s="45">
        <v>0</v>
      </c>
      <c r="AH61" s="45">
        <v>6.5754801046338107</v>
      </c>
      <c r="AI61" s="45">
        <v>15.229131366909714</v>
      </c>
      <c r="AJ61" s="45">
        <v>0</v>
      </c>
      <c r="AK61" s="45">
        <v>57.564922337325491</v>
      </c>
      <c r="AL61" s="45">
        <v>79.369533808869022</v>
      </c>
      <c r="AM61" s="45">
        <v>112.41206732020802</v>
      </c>
      <c r="AN61" s="45">
        <v>18.97678451044894</v>
      </c>
      <c r="AO61" s="45">
        <v>0</v>
      </c>
      <c r="AP61" s="45">
        <v>0</v>
      </c>
      <c r="AQ61" s="45">
        <v>131.38885183065696</v>
      </c>
      <c r="AR61" s="45">
        <v>6.5754801046338107</v>
      </c>
      <c r="AS61" s="132">
        <v>19.981636282051227</v>
      </c>
      <c r="AT61" s="45">
        <v>112.41206732020802</v>
      </c>
      <c r="AU61" s="45">
        <v>22.462860626383062</v>
      </c>
      <c r="AV61" s="45">
        <v>0</v>
      </c>
      <c r="AW61" s="45">
        <v>0</v>
      </c>
      <c r="AX61" s="45">
        <v>134.87492794659107</v>
      </c>
      <c r="AY61" s="45">
        <v>15.229131366909714</v>
      </c>
      <c r="AZ61" s="132">
        <v>8.8563769460713377</v>
      </c>
      <c r="BA61" s="45">
        <v>112.41206732020802</v>
      </c>
      <c r="BB61" s="45">
        <v>41.439645136831999</v>
      </c>
      <c r="BC61" s="45">
        <v>0</v>
      </c>
      <c r="BD61" s="45">
        <v>0</v>
      </c>
      <c r="BE61" s="45">
        <v>153.85171245704001</v>
      </c>
      <c r="BF61" s="45">
        <v>21.804611471543524</v>
      </c>
      <c r="BG61" s="45">
        <v>-6.1569825658379917</v>
      </c>
      <c r="BH61" s="132">
        <v>7.0559254246665564</v>
      </c>
      <c r="BI61" s="45">
        <v>2.0618816884340783</v>
      </c>
      <c r="BJ61" s="45">
        <v>4.7754181590572831</v>
      </c>
      <c r="BK61" s="45">
        <v>0</v>
      </c>
      <c r="BL61" s="45">
        <v>18.050706165138834</v>
      </c>
      <c r="BM61" s="45">
        <v>24.888006012630196</v>
      </c>
      <c r="BN61" s="45">
        <v>112.41206732020802</v>
      </c>
      <c r="BO61" s="45">
        <v>0</v>
      </c>
      <c r="BP61" s="45">
        <v>41.439645136831999</v>
      </c>
      <c r="BQ61" s="45">
        <v>0</v>
      </c>
      <c r="BR61" s="45">
        <v>0</v>
      </c>
      <c r="BS61" s="45">
        <v>0</v>
      </c>
      <c r="BT61" s="45">
        <v>0</v>
      </c>
      <c r="BU61" s="45">
        <v>0</v>
      </c>
      <c r="BV61" s="45">
        <v>0</v>
      </c>
      <c r="BW61" s="45">
        <v>0</v>
      </c>
      <c r="BX61" s="45">
        <v>74.300033808869017</v>
      </c>
      <c r="BY61" s="45">
        <v>5.0695000000000006</v>
      </c>
      <c r="BZ61" s="45">
        <v>0</v>
      </c>
      <c r="CA61" s="45">
        <v>0</v>
      </c>
      <c r="CB61" s="45">
        <v>153.85171245704004</v>
      </c>
      <c r="CC61" s="45">
        <v>79.369533808869022</v>
      </c>
      <c r="CD61" s="132">
        <v>1.9384227810576875</v>
      </c>
      <c r="CE61" s="45">
        <v>11.893723599300836</v>
      </c>
      <c r="CF61" s="45">
        <v>2.2292560448637735</v>
      </c>
      <c r="CG61" s="45">
        <v>0</v>
      </c>
      <c r="CH61" s="45">
        <v>2.2292560448637735</v>
      </c>
      <c r="CI61" s="45">
        <v>0.11146215885248288</v>
      </c>
      <c r="CJ61" s="45">
        <v>0</v>
      </c>
      <c r="CK61" s="45">
        <v>0.11146215885248288</v>
      </c>
      <c r="CL61" s="45"/>
      <c r="CM61" s="45">
        <v>0</v>
      </c>
      <c r="CN61" s="45"/>
      <c r="CO61" s="45">
        <v>0</v>
      </c>
      <c r="CP61" s="45">
        <v>0</v>
      </c>
      <c r="CQ61" s="45">
        <v>0</v>
      </c>
      <c r="CR61" s="45">
        <v>0</v>
      </c>
      <c r="CS61" s="45">
        <v>0</v>
      </c>
      <c r="CT61" s="45">
        <v>0</v>
      </c>
      <c r="CU61" s="45">
        <v>0</v>
      </c>
      <c r="CV61" s="45">
        <v>9999</v>
      </c>
      <c r="CW61" s="132">
        <v>9999</v>
      </c>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t="s">
        <v>1187</v>
      </c>
      <c r="B62" s="24"/>
      <c r="C62" s="45">
        <v>6</v>
      </c>
      <c r="D62" s="45">
        <v>190.53</v>
      </c>
      <c r="E62" s="45">
        <v>0</v>
      </c>
      <c r="F62" s="45">
        <v>25.3475</v>
      </c>
      <c r="G62" s="45">
        <v>0</v>
      </c>
      <c r="H62" s="45">
        <v>0</v>
      </c>
      <c r="I62" s="45"/>
      <c r="J62" s="45"/>
      <c r="K62" s="45"/>
      <c r="L62" s="45">
        <v>204.15174358244232</v>
      </c>
      <c r="M62" s="45">
        <v>4.672385258856155E-2</v>
      </c>
      <c r="N62" s="45">
        <v>4.6386620773588953E-2</v>
      </c>
      <c r="O62" s="45">
        <v>0</v>
      </c>
      <c r="P62" s="45">
        <v>0</v>
      </c>
      <c r="Q62" s="45">
        <v>0</v>
      </c>
      <c r="R62" s="45">
        <v>5.0546301046338105</v>
      </c>
      <c r="S62" s="45">
        <v>11.680481366909714</v>
      </c>
      <c r="T62" s="45">
        <v>0</v>
      </c>
      <c r="U62" s="45">
        <v>57.564922337325491</v>
      </c>
      <c r="V62" s="45">
        <v>1.52085</v>
      </c>
      <c r="W62" s="45">
        <v>3.5486499999999999</v>
      </c>
      <c r="X62" s="45">
        <v>0</v>
      </c>
      <c r="Y62" s="45">
        <v>0</v>
      </c>
      <c r="Z62" s="45">
        <v>0</v>
      </c>
      <c r="AA62" s="45">
        <v>0</v>
      </c>
      <c r="AB62" s="45">
        <v>0</v>
      </c>
      <c r="AC62" s="45">
        <v>0</v>
      </c>
      <c r="AD62" s="45">
        <v>0</v>
      </c>
      <c r="AE62" s="45">
        <v>0</v>
      </c>
      <c r="AF62" s="45">
        <v>0</v>
      </c>
      <c r="AG62" s="45">
        <v>0</v>
      </c>
      <c r="AH62" s="45">
        <v>6.5754801046338107</v>
      </c>
      <c r="AI62" s="45">
        <v>15.229131366909714</v>
      </c>
      <c r="AJ62" s="45">
        <v>0</v>
      </c>
      <c r="AK62" s="45">
        <v>57.564922337325491</v>
      </c>
      <c r="AL62" s="45">
        <v>79.369533808869022</v>
      </c>
      <c r="AM62" s="45">
        <v>97.79849856858101</v>
      </c>
      <c r="AN62" s="45">
        <v>16.509802524090578</v>
      </c>
      <c r="AO62" s="45">
        <v>0</v>
      </c>
      <c r="AP62" s="45">
        <v>0</v>
      </c>
      <c r="AQ62" s="45">
        <v>114.30830109267158</v>
      </c>
      <c r="AR62" s="45">
        <v>6.5754801046338107</v>
      </c>
      <c r="AS62" s="132">
        <v>17.384023565384574</v>
      </c>
      <c r="AT62" s="45">
        <v>97.79849856858101</v>
      </c>
      <c r="AU62" s="45">
        <v>19.54268874495326</v>
      </c>
      <c r="AV62" s="45">
        <v>0</v>
      </c>
      <c r="AW62" s="45">
        <v>0</v>
      </c>
      <c r="AX62" s="45">
        <v>117.34118731353428</v>
      </c>
      <c r="AY62" s="45">
        <v>15.229131366909714</v>
      </c>
      <c r="AZ62" s="132">
        <v>7.7050479430820671</v>
      </c>
      <c r="BA62" s="45">
        <v>97.79849856858101</v>
      </c>
      <c r="BB62" s="45">
        <v>36.052491269043841</v>
      </c>
      <c r="BC62" s="45">
        <v>0</v>
      </c>
      <c r="BD62" s="45">
        <v>0</v>
      </c>
      <c r="BE62" s="45">
        <v>133.85098983762487</v>
      </c>
      <c r="BF62" s="45">
        <v>21.804611471543524</v>
      </c>
      <c r="BG62" s="45">
        <v>-5.1353170713852698</v>
      </c>
      <c r="BH62" s="132">
        <v>6.1386551194599068</v>
      </c>
      <c r="BI62" s="45">
        <v>2.3699789522230787</v>
      </c>
      <c r="BJ62" s="45">
        <v>5.488986389721016</v>
      </c>
      <c r="BK62" s="45">
        <v>0</v>
      </c>
      <c r="BL62" s="45">
        <v>20.747938120849238</v>
      </c>
      <c r="BM62" s="45">
        <v>28.606903462793333</v>
      </c>
      <c r="BN62" s="45">
        <v>97.79849856858101</v>
      </c>
      <c r="BO62" s="45">
        <v>0</v>
      </c>
      <c r="BP62" s="45">
        <v>36.052491269043841</v>
      </c>
      <c r="BQ62" s="45">
        <v>0</v>
      </c>
      <c r="BR62" s="45">
        <v>0</v>
      </c>
      <c r="BS62" s="45">
        <v>0</v>
      </c>
      <c r="BT62" s="45">
        <v>0</v>
      </c>
      <c r="BU62" s="45">
        <v>0</v>
      </c>
      <c r="BV62" s="45">
        <v>0</v>
      </c>
      <c r="BW62" s="45">
        <v>0</v>
      </c>
      <c r="BX62" s="45">
        <v>74.300033808869017</v>
      </c>
      <c r="BY62" s="45">
        <v>5.0695000000000006</v>
      </c>
      <c r="BZ62" s="45">
        <v>0</v>
      </c>
      <c r="CA62" s="45">
        <v>0</v>
      </c>
      <c r="CB62" s="45">
        <v>133.85098983762484</v>
      </c>
      <c r="CC62" s="45">
        <v>79.369533808869022</v>
      </c>
      <c r="CD62" s="132">
        <v>1.6864278195201881</v>
      </c>
      <c r="CE62" s="45">
        <v>15.61262104946398</v>
      </c>
      <c r="CF62" s="45">
        <v>1.9394527590314821</v>
      </c>
      <c r="CG62" s="45">
        <v>0</v>
      </c>
      <c r="CH62" s="45">
        <v>1.9394527590314821</v>
      </c>
      <c r="CI62" s="45">
        <v>9.6972078201660122E-2</v>
      </c>
      <c r="CJ62" s="45">
        <v>0</v>
      </c>
      <c r="CK62" s="45">
        <v>9.6972078201660122E-2</v>
      </c>
      <c r="CL62" s="45"/>
      <c r="CM62" s="45">
        <v>0</v>
      </c>
      <c r="CN62" s="45"/>
      <c r="CO62" s="45">
        <v>0</v>
      </c>
      <c r="CP62" s="45">
        <v>0</v>
      </c>
      <c r="CQ62" s="45">
        <v>0</v>
      </c>
      <c r="CR62" s="45">
        <v>0</v>
      </c>
      <c r="CS62" s="45">
        <v>0</v>
      </c>
      <c r="CT62" s="45">
        <v>0</v>
      </c>
      <c r="CU62" s="45">
        <v>0</v>
      </c>
      <c r="CV62" s="45">
        <v>9999</v>
      </c>
      <c r="CW62" s="132">
        <v>9999</v>
      </c>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t="s">
        <v>768</v>
      </c>
      <c r="B63" s="24"/>
      <c r="C63" s="45">
        <v>6</v>
      </c>
      <c r="D63" s="45">
        <v>103.47750000000003</v>
      </c>
      <c r="E63" s="45">
        <v>0</v>
      </c>
      <c r="F63" s="45">
        <v>35</v>
      </c>
      <c r="G63" s="45">
        <v>0</v>
      </c>
      <c r="H63" s="45">
        <v>0</v>
      </c>
      <c r="I63" s="45"/>
      <c r="J63" s="45"/>
      <c r="K63" s="45"/>
      <c r="L63" s="45">
        <v>111.06931305508533</v>
      </c>
      <c r="M63" s="45">
        <v>1.3949886066046142E-2</v>
      </c>
      <c r="N63" s="45">
        <v>1.3849202044158241E-2</v>
      </c>
      <c r="O63" s="45">
        <v>0</v>
      </c>
      <c r="P63" s="45">
        <v>0</v>
      </c>
      <c r="Q63" s="45">
        <v>0</v>
      </c>
      <c r="R63" s="45">
        <v>6.9794675475760286</v>
      </c>
      <c r="S63" s="45">
        <v>16.128487931426765</v>
      </c>
      <c r="T63" s="45">
        <v>0</v>
      </c>
      <c r="U63" s="45">
        <v>79.4860353804672</v>
      </c>
      <c r="V63" s="45">
        <v>2.1</v>
      </c>
      <c r="W63" s="45">
        <v>4.9000000000000004</v>
      </c>
      <c r="X63" s="45">
        <v>0</v>
      </c>
      <c r="Y63" s="45">
        <v>0</v>
      </c>
      <c r="Z63" s="45">
        <v>0</v>
      </c>
      <c r="AA63" s="45">
        <v>0</v>
      </c>
      <c r="AB63" s="45">
        <v>0</v>
      </c>
      <c r="AC63" s="45">
        <v>0</v>
      </c>
      <c r="AD63" s="45">
        <v>0</v>
      </c>
      <c r="AE63" s="45">
        <v>0</v>
      </c>
      <c r="AF63" s="45">
        <v>0</v>
      </c>
      <c r="AG63" s="45">
        <v>0</v>
      </c>
      <c r="AH63" s="45">
        <v>9.0794675475760283</v>
      </c>
      <c r="AI63" s="45">
        <v>21.028487931426767</v>
      </c>
      <c r="AJ63" s="45">
        <v>0</v>
      </c>
      <c r="AK63" s="45">
        <v>79.4860353804672</v>
      </c>
      <c r="AL63" s="45">
        <v>109.59399085947</v>
      </c>
      <c r="AM63" s="45">
        <v>55.916450722085173</v>
      </c>
      <c r="AN63" s="45">
        <v>4.9291711069297968</v>
      </c>
      <c r="AO63" s="45">
        <v>0</v>
      </c>
      <c r="AP63" s="45">
        <v>0</v>
      </c>
      <c r="AQ63" s="45">
        <v>60.845621829014974</v>
      </c>
      <c r="AR63" s="45">
        <v>9.0794675475760283</v>
      </c>
      <c r="AS63" s="132">
        <v>6.7014526468855662</v>
      </c>
      <c r="AT63" s="45">
        <v>55.916450722085173</v>
      </c>
      <c r="AU63" s="45">
        <v>5.8346704373226261</v>
      </c>
      <c r="AV63" s="45">
        <v>0</v>
      </c>
      <c r="AW63" s="45">
        <v>0</v>
      </c>
      <c r="AX63" s="45">
        <v>61.751121159407802</v>
      </c>
      <c r="AY63" s="45">
        <v>21.028487931426767</v>
      </c>
      <c r="AZ63" s="132">
        <v>2.9365459542681456</v>
      </c>
      <c r="BA63" s="45">
        <v>55.916450722085173</v>
      </c>
      <c r="BB63" s="45">
        <v>10.763841544252422</v>
      </c>
      <c r="BC63" s="45">
        <v>0</v>
      </c>
      <c r="BD63" s="45">
        <v>0</v>
      </c>
      <c r="BE63" s="45">
        <v>66.680292266337602</v>
      </c>
      <c r="BF63" s="45">
        <v>30.107955479002793</v>
      </c>
      <c r="BG63" s="45">
        <v>12.815184705152744</v>
      </c>
      <c r="BH63" s="132">
        <v>2.2147067512717777</v>
      </c>
      <c r="BI63" s="45">
        <v>6.0150107696379509</v>
      </c>
      <c r="BJ63" s="45">
        <v>13.931057158798058</v>
      </c>
      <c r="BK63" s="45">
        <v>0</v>
      </c>
      <c r="BL63" s="45">
        <v>52.658303622328127</v>
      </c>
      <c r="BM63" s="45">
        <v>72.604371550764128</v>
      </c>
      <c r="BN63" s="45">
        <v>55.916450722085173</v>
      </c>
      <c r="BO63" s="45">
        <v>0</v>
      </c>
      <c r="BP63" s="45">
        <v>10.763841544252422</v>
      </c>
      <c r="BQ63" s="45">
        <v>0</v>
      </c>
      <c r="BR63" s="45">
        <v>0</v>
      </c>
      <c r="BS63" s="45">
        <v>0</v>
      </c>
      <c r="BT63" s="45">
        <v>0</v>
      </c>
      <c r="BU63" s="45">
        <v>0</v>
      </c>
      <c r="BV63" s="45">
        <v>0</v>
      </c>
      <c r="BW63" s="45">
        <v>0</v>
      </c>
      <c r="BX63" s="45">
        <v>102.59399085947</v>
      </c>
      <c r="BY63" s="45">
        <v>7</v>
      </c>
      <c r="BZ63" s="45">
        <v>0</v>
      </c>
      <c r="CA63" s="45">
        <v>0</v>
      </c>
      <c r="CB63" s="45">
        <v>66.680292266337602</v>
      </c>
      <c r="CC63" s="45">
        <v>109.59399085947</v>
      </c>
      <c r="CD63" s="133">
        <v>0.60843018621194567</v>
      </c>
      <c r="CE63" s="45">
        <v>65.473488327480865</v>
      </c>
      <c r="CF63" s="45">
        <v>1.0551671458543821</v>
      </c>
      <c r="CG63" s="45">
        <v>0</v>
      </c>
      <c r="CH63" s="45">
        <v>1.0551671458543821</v>
      </c>
      <c r="CI63" s="45">
        <v>5.2757923701165527E-2</v>
      </c>
      <c r="CJ63" s="45">
        <v>0</v>
      </c>
      <c r="CK63" s="45">
        <v>5.2757923701165527E-2</v>
      </c>
      <c r="CL63" s="45"/>
      <c r="CM63" s="45">
        <v>0</v>
      </c>
      <c r="CN63" s="45"/>
      <c r="CO63" s="45">
        <v>0</v>
      </c>
      <c r="CP63" s="45">
        <v>0</v>
      </c>
      <c r="CQ63" s="45">
        <v>0</v>
      </c>
      <c r="CR63" s="45">
        <v>0</v>
      </c>
      <c r="CS63" s="45">
        <v>0</v>
      </c>
      <c r="CT63" s="45">
        <v>0</v>
      </c>
      <c r="CU63" s="45">
        <v>0</v>
      </c>
      <c r="CV63" s="45">
        <v>9999</v>
      </c>
      <c r="CW63" s="132">
        <v>9999</v>
      </c>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t="s">
        <v>1382</v>
      </c>
      <c r="B64" s="24"/>
      <c r="C64" s="45">
        <v>6</v>
      </c>
      <c r="D64" s="45">
        <v>35.04</v>
      </c>
      <c r="E64" s="45">
        <v>0</v>
      </c>
      <c r="F64" s="45">
        <v>25.3475</v>
      </c>
      <c r="G64" s="45">
        <v>0</v>
      </c>
      <c r="H64" s="45">
        <v>0</v>
      </c>
      <c r="I64" s="45"/>
      <c r="J64" s="45"/>
      <c r="K64" s="45"/>
      <c r="L64" s="45">
        <v>37.545148245046867</v>
      </c>
      <c r="M64" s="45">
        <v>8.5928924300802852E-3</v>
      </c>
      <c r="N64" s="45">
        <v>8.5308727859473923E-3</v>
      </c>
      <c r="O64" s="45">
        <v>0</v>
      </c>
      <c r="P64" s="45">
        <v>0</v>
      </c>
      <c r="Q64" s="45">
        <v>0</v>
      </c>
      <c r="R64" s="45">
        <v>5.0546301046338105</v>
      </c>
      <c r="S64" s="45">
        <v>11.680481366909714</v>
      </c>
      <c r="T64" s="45">
        <v>0</v>
      </c>
      <c r="U64" s="45">
        <v>57.564922337325491</v>
      </c>
      <c r="V64" s="45">
        <v>1.52085</v>
      </c>
      <c r="W64" s="45">
        <v>3.5486499999999999</v>
      </c>
      <c r="X64" s="45">
        <v>0</v>
      </c>
      <c r="Y64" s="45">
        <v>0</v>
      </c>
      <c r="Z64" s="45">
        <v>0</v>
      </c>
      <c r="AA64" s="45">
        <v>0</v>
      </c>
      <c r="AB64" s="45">
        <v>0</v>
      </c>
      <c r="AC64" s="45">
        <v>0</v>
      </c>
      <c r="AD64" s="45">
        <v>0</v>
      </c>
      <c r="AE64" s="45">
        <v>0</v>
      </c>
      <c r="AF64" s="45">
        <v>0</v>
      </c>
      <c r="AG64" s="45">
        <v>0</v>
      </c>
      <c r="AH64" s="45">
        <v>6.5754801046338107</v>
      </c>
      <c r="AI64" s="45">
        <v>15.229131366909714</v>
      </c>
      <c r="AJ64" s="45">
        <v>0</v>
      </c>
      <c r="AK64" s="45">
        <v>57.564922337325491</v>
      </c>
      <c r="AL64" s="45">
        <v>79.369533808869022</v>
      </c>
      <c r="AM64" s="45">
        <v>17.985930771233296</v>
      </c>
      <c r="AN64" s="45">
        <v>3.036285521671831</v>
      </c>
      <c r="AO64" s="45">
        <v>0</v>
      </c>
      <c r="AP64" s="45">
        <v>0</v>
      </c>
      <c r="AQ64" s="45">
        <v>21.022216292905128</v>
      </c>
      <c r="AR64" s="45">
        <v>6.5754801046338107</v>
      </c>
      <c r="AS64" s="132">
        <v>3.1970618051281989</v>
      </c>
      <c r="AT64" s="45">
        <v>17.985930771233296</v>
      </c>
      <c r="AU64" s="45">
        <v>3.5940577002212906</v>
      </c>
      <c r="AV64" s="45">
        <v>0</v>
      </c>
      <c r="AW64" s="45">
        <v>0</v>
      </c>
      <c r="AX64" s="45">
        <v>21.579988471454588</v>
      </c>
      <c r="AY64" s="45">
        <v>15.229131366909714</v>
      </c>
      <c r="AZ64" s="132">
        <v>1.417020311371415</v>
      </c>
      <c r="BA64" s="45">
        <v>17.985930771233296</v>
      </c>
      <c r="BB64" s="45">
        <v>6.6303432218931215</v>
      </c>
      <c r="BC64" s="45">
        <v>0</v>
      </c>
      <c r="BD64" s="45">
        <v>0</v>
      </c>
      <c r="BE64" s="45">
        <v>24.61627399312642</v>
      </c>
      <c r="BF64" s="45">
        <v>21.804611471543524</v>
      </c>
      <c r="BG64" s="45">
        <v>29.738841633491642</v>
      </c>
      <c r="BH64" s="132">
        <v>1.1289480679466499</v>
      </c>
      <c r="BI64" s="45">
        <v>12.886760552712989</v>
      </c>
      <c r="BJ64" s="45">
        <v>29.846363494108022</v>
      </c>
      <c r="BK64" s="45">
        <v>0</v>
      </c>
      <c r="BL64" s="45">
        <v>112.81691353211772</v>
      </c>
      <c r="BM64" s="45">
        <v>155.55003757893874</v>
      </c>
      <c r="BN64" s="45">
        <v>17.985930771233296</v>
      </c>
      <c r="BO64" s="45">
        <v>0</v>
      </c>
      <c r="BP64" s="45">
        <v>6.6303432218931215</v>
      </c>
      <c r="BQ64" s="45">
        <v>0</v>
      </c>
      <c r="BR64" s="45">
        <v>0</v>
      </c>
      <c r="BS64" s="45">
        <v>0</v>
      </c>
      <c r="BT64" s="45">
        <v>0</v>
      </c>
      <c r="BU64" s="45">
        <v>0</v>
      </c>
      <c r="BV64" s="45">
        <v>0</v>
      </c>
      <c r="BW64" s="45">
        <v>0</v>
      </c>
      <c r="BX64" s="45">
        <v>74.300033808869017</v>
      </c>
      <c r="BY64" s="45">
        <v>5.0695000000000006</v>
      </c>
      <c r="BZ64" s="45">
        <v>0</v>
      </c>
      <c r="CA64" s="45">
        <v>0</v>
      </c>
      <c r="CB64" s="45">
        <v>24.61627399312642</v>
      </c>
      <c r="CC64" s="45">
        <v>79.369533808869022</v>
      </c>
      <c r="CD64" s="133">
        <v>0.31014764496923014</v>
      </c>
      <c r="CE64" s="45">
        <v>142.55575516560936</v>
      </c>
      <c r="CF64" s="45">
        <v>0.35668096717820408</v>
      </c>
      <c r="CG64" s="45">
        <v>0</v>
      </c>
      <c r="CH64" s="45">
        <v>0.35668096717820408</v>
      </c>
      <c r="CI64" s="45">
        <v>1.7833945416397257E-2</v>
      </c>
      <c r="CJ64" s="45">
        <v>0</v>
      </c>
      <c r="CK64" s="45">
        <v>1.7833945416397257E-2</v>
      </c>
      <c r="CL64" s="45"/>
      <c r="CM64" s="45">
        <v>0</v>
      </c>
      <c r="CN64" s="45"/>
      <c r="CO64" s="45">
        <v>0</v>
      </c>
      <c r="CP64" s="45">
        <v>0</v>
      </c>
      <c r="CQ64" s="45">
        <v>0</v>
      </c>
      <c r="CR64" s="45">
        <v>0</v>
      </c>
      <c r="CS64" s="45">
        <v>0</v>
      </c>
      <c r="CT64" s="45">
        <v>0</v>
      </c>
      <c r="CU64" s="45">
        <v>0</v>
      </c>
      <c r="CV64" s="45">
        <v>9999</v>
      </c>
      <c r="CW64" s="132">
        <v>9999</v>
      </c>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c r="B65" s="24"/>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c r="B66" s="24"/>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ht="13.5" thickBot="1">
      <c r="A67" s="121" t="s">
        <v>968</v>
      </c>
      <c r="B67" s="122"/>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ht="13.5" thickBot="1">
      <c r="A68" s="153" t="s">
        <v>969</v>
      </c>
      <c r="B68" s="154"/>
      <c r="C68" s="155"/>
      <c r="D68" s="155"/>
      <c r="E68" s="155"/>
      <c r="F68" s="155"/>
      <c r="G68" s="155"/>
      <c r="H68" s="155"/>
      <c r="I68" s="155"/>
      <c r="J68" s="155"/>
      <c r="K68" s="155"/>
      <c r="L68" s="128"/>
      <c r="M68" s="156"/>
      <c r="N68" s="157" t="s">
        <v>970</v>
      </c>
      <c r="O68" s="155"/>
      <c r="P68" s="155"/>
      <c r="Q68" s="155"/>
      <c r="R68" s="155"/>
      <c r="S68" s="155"/>
      <c r="T68" s="155"/>
      <c r="U68" s="155"/>
      <c r="V68" s="155"/>
      <c r="W68" s="155"/>
      <c r="X68" s="155"/>
      <c r="Y68" s="128"/>
      <c r="Z68" s="156"/>
      <c r="AA68" s="157" t="s">
        <v>971</v>
      </c>
      <c r="AB68" s="155"/>
      <c r="AC68" s="155"/>
      <c r="AD68" s="155"/>
      <c r="AE68" s="155"/>
      <c r="AF68" s="155"/>
      <c r="AG68" s="155"/>
      <c r="AH68" s="155"/>
      <c r="AI68" s="155"/>
      <c r="AJ68" s="155"/>
      <c r="AK68" s="155"/>
      <c r="AL68" s="128"/>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ht="102">
      <c r="A69" s="129"/>
      <c r="B69" s="130" t="s">
        <v>972</v>
      </c>
      <c r="C69" s="131" t="s">
        <v>973</v>
      </c>
      <c r="D69" s="131" t="s">
        <v>774</v>
      </c>
      <c r="E69" s="131" t="s">
        <v>775</v>
      </c>
      <c r="F69" s="131" t="s">
        <v>776</v>
      </c>
      <c r="G69" s="131" t="s">
        <v>777</v>
      </c>
      <c r="H69" s="131" t="s">
        <v>778</v>
      </c>
      <c r="I69" s="131" t="s">
        <v>779</v>
      </c>
      <c r="J69" s="131" t="s">
        <v>780</v>
      </c>
      <c r="K69" s="131" t="s">
        <v>781</v>
      </c>
      <c r="L69" s="131" t="s">
        <v>782</v>
      </c>
      <c r="M69" s="131" t="s">
        <v>783</v>
      </c>
      <c r="N69" s="131" t="s">
        <v>785</v>
      </c>
      <c r="O69" s="131" t="s">
        <v>786</v>
      </c>
      <c r="P69" s="131" t="s">
        <v>787</v>
      </c>
      <c r="Q69" s="131" t="s">
        <v>788</v>
      </c>
      <c r="R69" s="131" t="s">
        <v>789</v>
      </c>
      <c r="S69" s="131" t="s">
        <v>790</v>
      </c>
      <c r="T69" s="131" t="s">
        <v>791</v>
      </c>
      <c r="U69" s="131" t="s">
        <v>792</v>
      </c>
      <c r="V69" s="131" t="s">
        <v>793</v>
      </c>
      <c r="W69" s="131" t="s">
        <v>794</v>
      </c>
      <c r="X69" s="131" t="s">
        <v>795</v>
      </c>
      <c r="Y69" s="131" t="s">
        <v>796</v>
      </c>
      <c r="Z69" s="131"/>
      <c r="AA69" s="131" t="s">
        <v>785</v>
      </c>
      <c r="AB69" s="131" t="s">
        <v>786</v>
      </c>
      <c r="AC69" s="131" t="s">
        <v>787</v>
      </c>
      <c r="AD69" s="131" t="s">
        <v>788</v>
      </c>
      <c r="AE69" s="131" t="s">
        <v>789</v>
      </c>
      <c r="AF69" s="131" t="s">
        <v>790</v>
      </c>
      <c r="AG69" s="131" t="s">
        <v>791</v>
      </c>
      <c r="AH69" s="131" t="s">
        <v>792</v>
      </c>
      <c r="AI69" s="131" t="s">
        <v>793</v>
      </c>
      <c r="AJ69" s="131" t="s">
        <v>794</v>
      </c>
      <c r="AK69" s="131" t="s">
        <v>795</v>
      </c>
      <c r="AL69" s="131" t="s">
        <v>796</v>
      </c>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c r="B70" s="158" t="s">
        <v>974</v>
      </c>
      <c r="C70" s="159">
        <v>1729.0714052726737</v>
      </c>
      <c r="D70" s="159">
        <v>152.08500000000001</v>
      </c>
      <c r="E70" s="159">
        <v>0</v>
      </c>
      <c r="F70" s="159">
        <v>152.08500000000001</v>
      </c>
      <c r="G70" s="159">
        <v>445.80020285321405</v>
      </c>
      <c r="H70" s="159">
        <v>1133.6563432397002</v>
      </c>
      <c r="I70" s="159">
        <v>770.5087227383201</v>
      </c>
      <c r="J70" s="159">
        <v>-8.7212415535968031</v>
      </c>
      <c r="K70" s="159">
        <v>5.9770331279303761</v>
      </c>
      <c r="L70" s="132">
        <v>2.7287127167730865</v>
      </c>
      <c r="M70" s="45">
        <v>16.42627316657871</v>
      </c>
      <c r="N70" s="91">
        <v>50.318093821504924</v>
      </c>
      <c r="O70" s="91">
        <v>45.970407746864304</v>
      </c>
      <c r="P70" s="91">
        <v>53.529448718346842</v>
      </c>
      <c r="Q70" s="91">
        <v>49.314955469102934</v>
      </c>
      <c r="R70" s="91">
        <v>51.283444165475636</v>
      </c>
      <c r="S70" s="91">
        <v>51.317429893781238</v>
      </c>
      <c r="T70" s="91">
        <v>49.582719019461692</v>
      </c>
      <c r="U70" s="91">
        <v>53.385500602154373</v>
      </c>
      <c r="V70" s="91">
        <v>47.343577913663211</v>
      </c>
      <c r="W70" s="91">
        <v>53.195452044755946</v>
      </c>
      <c r="X70" s="91">
        <v>47.701877872906451</v>
      </c>
      <c r="Y70" s="91">
        <v>50.148333160448303</v>
      </c>
      <c r="Z70" s="91"/>
      <c r="AA70" s="91">
        <v>98.223189199794916</v>
      </c>
      <c r="AB70" s="91">
        <v>87.574664065607593</v>
      </c>
      <c r="AC70" s="91">
        <v>93.525508190881297</v>
      </c>
      <c r="AD70" s="91">
        <v>92.13789683488983</v>
      </c>
      <c r="AE70" s="91">
        <v>94.862845034112539</v>
      </c>
      <c r="AF70" s="91">
        <v>90.122855794760355</v>
      </c>
      <c r="AG70" s="91">
        <v>96.931884232823151</v>
      </c>
      <c r="AH70" s="91">
        <v>93.113721215885036</v>
      </c>
      <c r="AI70" s="91">
        <v>93.79770283035765</v>
      </c>
      <c r="AJ70" s="91">
        <v>92.980019635698142</v>
      </c>
      <c r="AK70" s="91">
        <v>94.858473550073342</v>
      </c>
      <c r="AL70" s="91">
        <v>97.851404259324255</v>
      </c>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c r="B71" s="158" t="s">
        <v>975</v>
      </c>
      <c r="C71" s="159">
        <v>1729.0714052726737</v>
      </c>
      <c r="D71" s="159">
        <v>152.08500000000001</v>
      </c>
      <c r="E71" s="159">
        <v>30.417000000000005</v>
      </c>
      <c r="F71" s="159">
        <v>182.50200000000001</v>
      </c>
      <c r="G71" s="159">
        <v>476.21720285321419</v>
      </c>
      <c r="H71" s="159">
        <v>1133.6563432397002</v>
      </c>
      <c r="I71" s="159">
        <v>924.6104672859841</v>
      </c>
      <c r="J71" s="159">
        <v>-7.4268264745428798</v>
      </c>
      <c r="K71" s="159">
        <v>7.2714482069842994</v>
      </c>
      <c r="L71" s="132">
        <v>2.5544240640137903</v>
      </c>
      <c r="M71" s="45">
        <v>16.42627316657871</v>
      </c>
      <c r="N71" s="91">
        <v>12.769876561880194</v>
      </c>
      <c r="O71" s="91">
        <v>11.666507767745976</v>
      </c>
      <c r="P71" s="91">
        <v>13.584863826193743</v>
      </c>
      <c r="Q71" s="91">
        <v>12.515297106225486</v>
      </c>
      <c r="R71" s="91">
        <v>13.014866063573242</v>
      </c>
      <c r="S71" s="91">
        <v>13.023491063496085</v>
      </c>
      <c r="T71" s="91">
        <v>12.583250942036148</v>
      </c>
      <c r="U71" s="91">
        <v>13.548332242115585</v>
      </c>
      <c r="V71" s="91">
        <v>12.014995005571041</v>
      </c>
      <c r="W71" s="91">
        <v>13.500101149988955</v>
      </c>
      <c r="X71" s="91">
        <v>12.105925442401448</v>
      </c>
      <c r="Y71" s="91">
        <v>12.726794192853136</v>
      </c>
      <c r="Z71" s="91"/>
      <c r="AA71" s="91">
        <v>24.927375151471328</v>
      </c>
      <c r="AB71" s="91">
        <v>22.22496054864439</v>
      </c>
      <c r="AC71" s="91">
        <v>23.735183594618722</v>
      </c>
      <c r="AD71" s="91">
        <v>23.383031428546381</v>
      </c>
      <c r="AE71" s="91">
        <v>24.074576944261445</v>
      </c>
      <c r="AF71" s="91">
        <v>22.871648277967275</v>
      </c>
      <c r="AG71" s="91">
        <v>24.59966390925959</v>
      </c>
      <c r="AH71" s="91">
        <v>23.630679062727147</v>
      </c>
      <c r="AI71" s="91">
        <v>23.804261965497567</v>
      </c>
      <c r="AJ71" s="91">
        <v>23.596747875246727</v>
      </c>
      <c r="AK71" s="91">
        <v>24.073467535948588</v>
      </c>
      <c r="AL71" s="91">
        <v>24.833022455715053</v>
      </c>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c r="B72" s="158" t="s">
        <v>976</v>
      </c>
      <c r="C72" s="160"/>
      <c r="D72" s="160"/>
      <c r="E72" s="160"/>
      <c r="F72" s="160"/>
      <c r="G72" s="160"/>
      <c r="H72" s="160"/>
      <c r="I72" s="160"/>
      <c r="J72" s="160"/>
      <c r="K72" s="160"/>
      <c r="L72" s="133"/>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c r="B73" s="24" t="s">
        <v>977</v>
      </c>
      <c r="C73" s="161">
        <v>0</v>
      </c>
      <c r="D73" s="161">
        <v>0</v>
      </c>
      <c r="E73" s="161">
        <v>0</v>
      </c>
      <c r="F73" s="161">
        <v>0</v>
      </c>
      <c r="G73" s="161">
        <v>0</v>
      </c>
      <c r="H73" s="161">
        <v>0</v>
      </c>
      <c r="I73" s="161">
        <v>0</v>
      </c>
      <c r="J73" s="161">
        <v>0</v>
      </c>
      <c r="K73" s="161">
        <v>0</v>
      </c>
      <c r="L73" s="133">
        <v>0</v>
      </c>
      <c r="M73" s="161">
        <v>0</v>
      </c>
      <c r="N73" s="161">
        <v>0</v>
      </c>
      <c r="O73" s="161">
        <v>0</v>
      </c>
      <c r="P73" s="161">
        <v>0</v>
      </c>
      <c r="Q73" s="161">
        <v>0</v>
      </c>
      <c r="R73" s="161">
        <v>0</v>
      </c>
      <c r="S73" s="161">
        <v>0</v>
      </c>
      <c r="T73" s="161">
        <v>0</v>
      </c>
      <c r="U73" s="161">
        <v>0</v>
      </c>
      <c r="V73" s="161">
        <v>0</v>
      </c>
      <c r="W73" s="161">
        <v>0</v>
      </c>
      <c r="X73" s="161">
        <v>0</v>
      </c>
      <c r="Y73" s="161">
        <v>0</v>
      </c>
      <c r="Z73" s="161"/>
      <c r="AA73" s="161">
        <v>0</v>
      </c>
      <c r="AB73" s="161">
        <v>0</v>
      </c>
      <c r="AC73" s="161">
        <v>0</v>
      </c>
      <c r="AD73" s="161">
        <v>0</v>
      </c>
      <c r="AE73" s="161">
        <v>0</v>
      </c>
      <c r="AF73" s="161">
        <v>0</v>
      </c>
      <c r="AG73" s="161">
        <v>0</v>
      </c>
      <c r="AH73" s="161">
        <v>0</v>
      </c>
      <c r="AI73" s="161">
        <v>0</v>
      </c>
      <c r="AJ73" s="161">
        <v>0</v>
      </c>
      <c r="AK73" s="161">
        <v>0</v>
      </c>
      <c r="AL73" s="161">
        <v>0</v>
      </c>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c r="B74" s="24" t="s">
        <v>978</v>
      </c>
      <c r="C74" s="45">
        <v>1290.2624851586886</v>
      </c>
      <c r="D74" s="45">
        <v>101.39</v>
      </c>
      <c r="E74" s="45">
        <v>20.278000000000002</v>
      </c>
      <c r="F74" s="45">
        <v>121.66800000000001</v>
      </c>
      <c r="G74" s="45">
        <v>317.47813523547609</v>
      </c>
      <c r="H74" s="45">
        <v>845.9536409450352</v>
      </c>
      <c r="I74" s="45">
        <v>826.04252410618335</v>
      </c>
      <c r="J74" s="45">
        <v>-8.0203441774531292</v>
      </c>
      <c r="K74" s="45">
        <v>5.1110234065343834</v>
      </c>
      <c r="L74" s="132">
        <v>2.8037935312622282</v>
      </c>
      <c r="M74" s="45">
        <v>12.257564362683455</v>
      </c>
      <c r="N74" s="91">
        <v>37.548217259624735</v>
      </c>
      <c r="O74" s="91">
        <v>34.303899979118313</v>
      </c>
      <c r="P74" s="91">
        <v>39.944584892153095</v>
      </c>
      <c r="Q74" s="91">
        <v>36.799658362877452</v>
      </c>
      <c r="R74" s="91">
        <v>38.268578101902392</v>
      </c>
      <c r="S74" s="91">
        <v>38.29393883028515</v>
      </c>
      <c r="T74" s="91">
        <v>36.99946807742554</v>
      </c>
      <c r="U74" s="91">
        <v>39.837168360038788</v>
      </c>
      <c r="V74" s="91">
        <v>35.328582908092173</v>
      </c>
      <c r="W74" s="91">
        <v>39.695350894766989</v>
      </c>
      <c r="X74" s="91">
        <v>35.595952430505001</v>
      </c>
      <c r="Y74" s="91">
        <v>37.421538967595168</v>
      </c>
      <c r="Z74" s="91"/>
      <c r="AA74" s="91">
        <v>73.295814048323578</v>
      </c>
      <c r="AB74" s="91">
        <v>65.349703516963203</v>
      </c>
      <c r="AC74" s="91">
        <v>69.790324596262579</v>
      </c>
      <c r="AD74" s="91">
        <v>68.754865406343455</v>
      </c>
      <c r="AE74" s="91">
        <v>70.788268089851087</v>
      </c>
      <c r="AF74" s="91">
        <v>67.251207516793073</v>
      </c>
      <c r="AG74" s="91">
        <v>72.332220323563561</v>
      </c>
      <c r="AH74" s="91">
        <v>69.483042153157882</v>
      </c>
      <c r="AI74" s="91">
        <v>69.993440864860091</v>
      </c>
      <c r="AJ74" s="91">
        <v>69.383271760451407</v>
      </c>
      <c r="AK74" s="91">
        <v>70.785006014124747</v>
      </c>
      <c r="AL74" s="91">
        <v>73.018381803609202</v>
      </c>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c r="B75" s="24" t="s">
        <v>979</v>
      </c>
      <c r="C75" s="45">
        <v>438.80892011398521</v>
      </c>
      <c r="D75" s="45">
        <v>50.695</v>
      </c>
      <c r="E75" s="45">
        <v>10.139000000000001</v>
      </c>
      <c r="F75" s="45">
        <v>60.834000000000003</v>
      </c>
      <c r="G75" s="45">
        <v>158.73906761773804</v>
      </c>
      <c r="H75" s="45">
        <v>287.70270229466485</v>
      </c>
      <c r="I75" s="45">
        <v>1214.4371173256282</v>
      </c>
      <c r="J75" s="45">
        <v>-5.6816622555845866</v>
      </c>
      <c r="K75" s="45">
        <v>13.623905835472994</v>
      </c>
      <c r="L75" s="132">
        <v>1.8211844834439848</v>
      </c>
      <c r="M75" s="45">
        <v>4.1687088038952558</v>
      </c>
      <c r="N75" s="91">
        <v>12.769876561880194</v>
      </c>
      <c r="O75" s="91">
        <v>11.666507767745976</v>
      </c>
      <c r="P75" s="91">
        <v>13.584863826193743</v>
      </c>
      <c r="Q75" s="91">
        <v>12.515297106225486</v>
      </c>
      <c r="R75" s="91">
        <v>13.014866063573242</v>
      </c>
      <c r="S75" s="91">
        <v>13.023491063496085</v>
      </c>
      <c r="T75" s="91">
        <v>12.583250942036148</v>
      </c>
      <c r="U75" s="91">
        <v>13.548332242115585</v>
      </c>
      <c r="V75" s="91">
        <v>12.014995005571041</v>
      </c>
      <c r="W75" s="91">
        <v>13.500101149988955</v>
      </c>
      <c r="X75" s="91">
        <v>12.105925442401448</v>
      </c>
      <c r="Y75" s="91">
        <v>12.726794192853136</v>
      </c>
      <c r="Z75" s="91"/>
      <c r="AA75" s="91">
        <v>24.927375151471328</v>
      </c>
      <c r="AB75" s="91">
        <v>22.22496054864439</v>
      </c>
      <c r="AC75" s="91">
        <v>23.735183594618722</v>
      </c>
      <c r="AD75" s="91">
        <v>23.383031428546381</v>
      </c>
      <c r="AE75" s="91">
        <v>24.074576944261445</v>
      </c>
      <c r="AF75" s="91">
        <v>22.871648277967275</v>
      </c>
      <c r="AG75" s="91">
        <v>24.59966390925959</v>
      </c>
      <c r="AH75" s="91">
        <v>23.630679062727147</v>
      </c>
      <c r="AI75" s="91">
        <v>23.804261965497567</v>
      </c>
      <c r="AJ75" s="91">
        <v>23.596747875246727</v>
      </c>
      <c r="AK75" s="91">
        <v>24.073467535948588</v>
      </c>
      <c r="AL75" s="91">
        <v>24.833022455715053</v>
      </c>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c r="B76" s="24" t="s">
        <v>980</v>
      </c>
      <c r="C76" s="161">
        <v>0</v>
      </c>
      <c r="D76" s="161">
        <v>0</v>
      </c>
      <c r="E76" s="161">
        <v>0</v>
      </c>
      <c r="F76" s="161">
        <v>0</v>
      </c>
      <c r="G76" s="161">
        <v>0</v>
      </c>
      <c r="H76" s="161">
        <v>0</v>
      </c>
      <c r="I76" s="161">
        <v>0</v>
      </c>
      <c r="J76" s="161">
        <v>0</v>
      </c>
      <c r="K76" s="161">
        <v>0</v>
      </c>
      <c r="L76" s="162">
        <v>0</v>
      </c>
      <c r="M76" s="161">
        <v>0</v>
      </c>
      <c r="N76" s="161">
        <v>0</v>
      </c>
      <c r="O76" s="161">
        <v>0</v>
      </c>
      <c r="P76" s="161">
        <v>0</v>
      </c>
      <c r="Q76" s="161">
        <v>0</v>
      </c>
      <c r="R76" s="161">
        <v>0</v>
      </c>
      <c r="S76" s="161">
        <v>0</v>
      </c>
      <c r="T76" s="161">
        <v>0</v>
      </c>
      <c r="U76" s="161">
        <v>0</v>
      </c>
      <c r="V76" s="161">
        <v>0</v>
      </c>
      <c r="W76" s="161">
        <v>0</v>
      </c>
      <c r="X76" s="161">
        <v>0</v>
      </c>
      <c r="Y76" s="161">
        <v>0</v>
      </c>
      <c r="Z76" s="161"/>
      <c r="AA76" s="161">
        <v>0</v>
      </c>
      <c r="AB76" s="161">
        <v>0</v>
      </c>
      <c r="AC76" s="161">
        <v>0</v>
      </c>
      <c r="AD76" s="161">
        <v>0</v>
      </c>
      <c r="AE76" s="161">
        <v>0</v>
      </c>
      <c r="AF76" s="161">
        <v>0</v>
      </c>
      <c r="AG76" s="161">
        <v>0</v>
      </c>
      <c r="AH76" s="161">
        <v>0</v>
      </c>
      <c r="AI76" s="161">
        <v>0</v>
      </c>
      <c r="AJ76" s="161">
        <v>0</v>
      </c>
      <c r="AK76" s="161">
        <v>0</v>
      </c>
      <c r="AL76" s="161">
        <v>0</v>
      </c>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c r="B77" s="24" t="s">
        <v>981</v>
      </c>
      <c r="C77" s="161">
        <v>0</v>
      </c>
      <c r="D77" s="161">
        <v>0</v>
      </c>
      <c r="E77" s="161">
        <v>0</v>
      </c>
      <c r="F77" s="161">
        <v>0</v>
      </c>
      <c r="G77" s="161">
        <v>0</v>
      </c>
      <c r="H77" s="161">
        <v>0</v>
      </c>
      <c r="I77" s="161">
        <v>0</v>
      </c>
      <c r="J77" s="161">
        <v>0</v>
      </c>
      <c r="K77" s="161">
        <v>0</v>
      </c>
      <c r="L77" s="162">
        <v>0</v>
      </c>
      <c r="M77" s="161">
        <v>0</v>
      </c>
      <c r="N77" s="161">
        <v>0</v>
      </c>
      <c r="O77" s="161">
        <v>0</v>
      </c>
      <c r="P77" s="161">
        <v>0</v>
      </c>
      <c r="Q77" s="161">
        <v>0</v>
      </c>
      <c r="R77" s="161">
        <v>0</v>
      </c>
      <c r="S77" s="161">
        <v>0</v>
      </c>
      <c r="T77" s="161">
        <v>0</v>
      </c>
      <c r="U77" s="161">
        <v>0</v>
      </c>
      <c r="V77" s="161">
        <v>0</v>
      </c>
      <c r="W77" s="161">
        <v>0</v>
      </c>
      <c r="X77" s="161">
        <v>0</v>
      </c>
      <c r="Y77" s="161">
        <v>0</v>
      </c>
      <c r="Z77" s="161"/>
      <c r="AA77" s="161">
        <v>0</v>
      </c>
      <c r="AB77" s="161">
        <v>0</v>
      </c>
      <c r="AC77" s="161">
        <v>0</v>
      </c>
      <c r="AD77" s="161">
        <v>0</v>
      </c>
      <c r="AE77" s="161">
        <v>0</v>
      </c>
      <c r="AF77" s="161">
        <v>0</v>
      </c>
      <c r="AG77" s="161">
        <v>0</v>
      </c>
      <c r="AH77" s="161">
        <v>0</v>
      </c>
      <c r="AI77" s="161">
        <v>0</v>
      </c>
      <c r="AJ77" s="161">
        <v>0</v>
      </c>
      <c r="AK77" s="161">
        <v>0</v>
      </c>
      <c r="AL77" s="161">
        <v>0</v>
      </c>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c r="B78" s="24" t="s">
        <v>982</v>
      </c>
      <c r="C78" s="161">
        <v>0</v>
      </c>
      <c r="D78" s="161">
        <v>0</v>
      </c>
      <c r="E78" s="161">
        <v>0</v>
      </c>
      <c r="F78" s="161">
        <v>0</v>
      </c>
      <c r="G78" s="161">
        <v>0</v>
      </c>
      <c r="H78" s="161">
        <v>0</v>
      </c>
      <c r="I78" s="161">
        <v>0</v>
      </c>
      <c r="J78" s="161">
        <v>0</v>
      </c>
      <c r="K78" s="161">
        <v>0</v>
      </c>
      <c r="L78" s="162">
        <v>0</v>
      </c>
      <c r="M78" s="161">
        <v>0</v>
      </c>
      <c r="N78" s="161">
        <v>0</v>
      </c>
      <c r="O78" s="161">
        <v>0</v>
      </c>
      <c r="P78" s="161">
        <v>0</v>
      </c>
      <c r="Q78" s="161">
        <v>0</v>
      </c>
      <c r="R78" s="161">
        <v>0</v>
      </c>
      <c r="S78" s="161">
        <v>0</v>
      </c>
      <c r="T78" s="161">
        <v>0</v>
      </c>
      <c r="U78" s="161">
        <v>0</v>
      </c>
      <c r="V78" s="161">
        <v>0</v>
      </c>
      <c r="W78" s="161">
        <v>0</v>
      </c>
      <c r="X78" s="161">
        <v>0</v>
      </c>
      <c r="Y78" s="161">
        <v>0</v>
      </c>
      <c r="Z78" s="161"/>
      <c r="AA78" s="161">
        <v>0</v>
      </c>
      <c r="AB78" s="161">
        <v>0</v>
      </c>
      <c r="AC78" s="161">
        <v>0</v>
      </c>
      <c r="AD78" s="161">
        <v>0</v>
      </c>
      <c r="AE78" s="161">
        <v>0</v>
      </c>
      <c r="AF78" s="161">
        <v>0</v>
      </c>
      <c r="AG78" s="161">
        <v>0</v>
      </c>
      <c r="AH78" s="161">
        <v>0</v>
      </c>
      <c r="AI78" s="161">
        <v>0</v>
      </c>
      <c r="AJ78" s="161">
        <v>0</v>
      </c>
      <c r="AK78" s="161">
        <v>0</v>
      </c>
      <c r="AL78" s="161">
        <v>0</v>
      </c>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c r="A79" s="24"/>
      <c r="B79" s="24" t="s">
        <v>983</v>
      </c>
      <c r="C79" s="161">
        <v>0</v>
      </c>
      <c r="D79" s="161">
        <v>0</v>
      </c>
      <c r="E79" s="161">
        <v>0</v>
      </c>
      <c r="F79" s="161">
        <v>0</v>
      </c>
      <c r="G79" s="161">
        <v>0</v>
      </c>
      <c r="H79" s="161">
        <v>0</v>
      </c>
      <c r="I79" s="161">
        <v>0</v>
      </c>
      <c r="J79" s="161">
        <v>0</v>
      </c>
      <c r="K79" s="161">
        <v>0</v>
      </c>
      <c r="L79" s="162">
        <v>0</v>
      </c>
      <c r="M79" s="161">
        <v>0</v>
      </c>
      <c r="N79" s="161">
        <v>0</v>
      </c>
      <c r="O79" s="161">
        <v>0</v>
      </c>
      <c r="P79" s="161">
        <v>0</v>
      </c>
      <c r="Q79" s="161">
        <v>0</v>
      </c>
      <c r="R79" s="161">
        <v>0</v>
      </c>
      <c r="S79" s="161">
        <v>0</v>
      </c>
      <c r="T79" s="161">
        <v>0</v>
      </c>
      <c r="U79" s="161">
        <v>0</v>
      </c>
      <c r="V79" s="161">
        <v>0</v>
      </c>
      <c r="W79" s="161">
        <v>0</v>
      </c>
      <c r="X79" s="161">
        <v>0</v>
      </c>
      <c r="Y79" s="161">
        <v>0</v>
      </c>
      <c r="Z79" s="161"/>
      <c r="AA79" s="161">
        <v>0</v>
      </c>
      <c r="AB79" s="161">
        <v>0</v>
      </c>
      <c r="AC79" s="161">
        <v>0</v>
      </c>
      <c r="AD79" s="161">
        <v>0</v>
      </c>
      <c r="AE79" s="161">
        <v>0</v>
      </c>
      <c r="AF79" s="161">
        <v>0</v>
      </c>
      <c r="AG79" s="161">
        <v>0</v>
      </c>
      <c r="AH79" s="161">
        <v>0</v>
      </c>
      <c r="AI79" s="161">
        <v>0</v>
      </c>
      <c r="AJ79" s="161">
        <v>0</v>
      </c>
      <c r="AK79" s="161">
        <v>0</v>
      </c>
      <c r="AL79" s="161">
        <v>0</v>
      </c>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c r="A80" s="24"/>
      <c r="B80" s="24" t="s">
        <v>984</v>
      </c>
      <c r="C80" s="45">
        <v>111.06931305508533</v>
      </c>
      <c r="D80" s="45">
        <v>35</v>
      </c>
      <c r="E80" s="45">
        <v>7</v>
      </c>
      <c r="F80" s="45">
        <v>42</v>
      </c>
      <c r="G80" s="45">
        <v>109.59399085947</v>
      </c>
      <c r="H80" s="45">
        <v>66.680292266337602</v>
      </c>
      <c r="I80" s="45">
        <v>3312.5261143690373</v>
      </c>
      <c r="J80" s="45">
        <v>12.815184705152744</v>
      </c>
      <c r="K80" s="45">
        <v>65.473488327480865</v>
      </c>
      <c r="L80" s="133">
        <v>0.60843018621194567</v>
      </c>
      <c r="M80" s="45">
        <v>1.0551671458543821</v>
      </c>
      <c r="N80" s="91">
        <v>5.3641399878552374</v>
      </c>
      <c r="O80" s="91">
        <v>5.0401693710903936</v>
      </c>
      <c r="P80" s="91">
        <v>5.7167179277601674</v>
      </c>
      <c r="Q80" s="91">
        <v>5.2087805863980474</v>
      </c>
      <c r="R80" s="91">
        <v>5.3424663338480851</v>
      </c>
      <c r="S80" s="91">
        <v>5.3254396754000659</v>
      </c>
      <c r="T80" s="91">
        <v>5.0990937629965147</v>
      </c>
      <c r="U80" s="91">
        <v>5.8167770663145859</v>
      </c>
      <c r="V80" s="91">
        <v>5.010064331621825</v>
      </c>
      <c r="W80" s="91">
        <v>5.6919413373768943</v>
      </c>
      <c r="X80" s="91">
        <v>4.9189608367330706</v>
      </c>
      <c r="Y80" s="91">
        <v>5.0083606146428075</v>
      </c>
      <c r="Z80" s="91"/>
      <c r="AA80" s="91">
        <v>4.3185293174031427</v>
      </c>
      <c r="AB80" s="91">
        <v>3.8845367448518475</v>
      </c>
      <c r="AC80" s="91">
        <v>3.8636029515698511</v>
      </c>
      <c r="AD80" s="91">
        <v>3.8823510334606928</v>
      </c>
      <c r="AE80" s="91">
        <v>3.9325040032764611</v>
      </c>
      <c r="AF80" s="91">
        <v>3.6455570650523441</v>
      </c>
      <c r="AG80" s="91">
        <v>4.0987618813389446</v>
      </c>
      <c r="AH80" s="91">
        <v>3.9061103476828927</v>
      </c>
      <c r="AI80" s="91">
        <v>4.0851882183342516</v>
      </c>
      <c r="AJ80" s="91">
        <v>3.8323190863909438</v>
      </c>
      <c r="AK80" s="91">
        <v>4.0305557774311866</v>
      </c>
      <c r="AL80" s="91">
        <v>4.0463847962550705</v>
      </c>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c r="A81" s="24"/>
      <c r="B81" s="24" t="s">
        <v>985</v>
      </c>
      <c r="C81" s="161">
        <v>0</v>
      </c>
      <c r="D81" s="161">
        <v>0</v>
      </c>
      <c r="E81" s="161">
        <v>0</v>
      </c>
      <c r="F81" s="161">
        <v>0</v>
      </c>
      <c r="G81" s="161">
        <v>0</v>
      </c>
      <c r="H81" s="161">
        <v>0</v>
      </c>
      <c r="I81" s="161">
        <v>0</v>
      </c>
      <c r="J81" s="161">
        <v>0</v>
      </c>
      <c r="K81" s="161">
        <v>0</v>
      </c>
      <c r="L81" s="162">
        <v>0</v>
      </c>
      <c r="M81" s="161">
        <v>0</v>
      </c>
      <c r="N81" s="161">
        <v>0</v>
      </c>
      <c r="O81" s="161">
        <v>0</v>
      </c>
      <c r="P81" s="161">
        <v>0</v>
      </c>
      <c r="Q81" s="161">
        <v>0</v>
      </c>
      <c r="R81" s="161">
        <v>0</v>
      </c>
      <c r="S81" s="161">
        <v>0</v>
      </c>
      <c r="T81" s="161">
        <v>0</v>
      </c>
      <c r="U81" s="161">
        <v>0</v>
      </c>
      <c r="V81" s="161">
        <v>0</v>
      </c>
      <c r="W81" s="161">
        <v>0</v>
      </c>
      <c r="X81" s="161">
        <v>0</v>
      </c>
      <c r="Y81" s="161">
        <v>0</v>
      </c>
      <c r="Z81" s="161"/>
      <c r="AA81" s="161">
        <v>0</v>
      </c>
      <c r="AB81" s="161">
        <v>0</v>
      </c>
      <c r="AC81" s="161">
        <v>0</v>
      </c>
      <c r="AD81" s="161">
        <v>0</v>
      </c>
      <c r="AE81" s="161">
        <v>0</v>
      </c>
      <c r="AF81" s="161">
        <v>0</v>
      </c>
      <c r="AG81" s="161">
        <v>0</v>
      </c>
      <c r="AH81" s="161">
        <v>0</v>
      </c>
      <c r="AI81" s="161">
        <v>0</v>
      </c>
      <c r="AJ81" s="161">
        <v>0</v>
      </c>
      <c r="AK81" s="161">
        <v>0</v>
      </c>
      <c r="AL81" s="161">
        <v>0</v>
      </c>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c r="B82" s="24" t="s">
        <v>986</v>
      </c>
      <c r="C82" s="161">
        <v>0</v>
      </c>
      <c r="D82" s="161">
        <v>0</v>
      </c>
      <c r="E82" s="161">
        <v>0</v>
      </c>
      <c r="F82" s="161">
        <v>0</v>
      </c>
      <c r="G82" s="161">
        <v>0</v>
      </c>
      <c r="H82" s="161">
        <v>0</v>
      </c>
      <c r="I82" s="161">
        <v>0</v>
      </c>
      <c r="J82" s="161">
        <v>0</v>
      </c>
      <c r="K82" s="161">
        <v>0</v>
      </c>
      <c r="L82" s="162">
        <v>0</v>
      </c>
      <c r="M82" s="161">
        <v>0</v>
      </c>
      <c r="N82" s="161">
        <v>0</v>
      </c>
      <c r="O82" s="161">
        <v>0</v>
      </c>
      <c r="P82" s="161">
        <v>0</v>
      </c>
      <c r="Q82" s="161">
        <v>0</v>
      </c>
      <c r="R82" s="161">
        <v>0</v>
      </c>
      <c r="S82" s="161">
        <v>0</v>
      </c>
      <c r="T82" s="161">
        <v>0</v>
      </c>
      <c r="U82" s="161">
        <v>0</v>
      </c>
      <c r="V82" s="161">
        <v>0</v>
      </c>
      <c r="W82" s="161">
        <v>0</v>
      </c>
      <c r="X82" s="161">
        <v>0</v>
      </c>
      <c r="Y82" s="161">
        <v>0</v>
      </c>
      <c r="Z82" s="161"/>
      <c r="AA82" s="161">
        <v>0</v>
      </c>
      <c r="AB82" s="161">
        <v>0</v>
      </c>
      <c r="AC82" s="161">
        <v>0</v>
      </c>
      <c r="AD82" s="161">
        <v>0</v>
      </c>
      <c r="AE82" s="161">
        <v>0</v>
      </c>
      <c r="AF82" s="161">
        <v>0</v>
      </c>
      <c r="AG82" s="161">
        <v>0</v>
      </c>
      <c r="AH82" s="161">
        <v>0</v>
      </c>
      <c r="AI82" s="161">
        <v>0</v>
      </c>
      <c r="AJ82" s="161">
        <v>0</v>
      </c>
      <c r="AK82" s="161">
        <v>0</v>
      </c>
      <c r="AL82" s="161">
        <v>0</v>
      </c>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c r="B83" s="24" t="s">
        <v>987</v>
      </c>
      <c r="C83" s="161">
        <v>0</v>
      </c>
      <c r="D83" s="161">
        <v>0</v>
      </c>
      <c r="E83" s="161">
        <v>0</v>
      </c>
      <c r="F83" s="161">
        <v>0</v>
      </c>
      <c r="G83" s="161">
        <v>0</v>
      </c>
      <c r="H83" s="161">
        <v>0</v>
      </c>
      <c r="I83" s="161">
        <v>0</v>
      </c>
      <c r="J83" s="161">
        <v>0</v>
      </c>
      <c r="K83" s="161">
        <v>0</v>
      </c>
      <c r="L83" s="162">
        <v>0</v>
      </c>
      <c r="M83" s="161">
        <v>0</v>
      </c>
      <c r="N83" s="161">
        <v>0</v>
      </c>
      <c r="O83" s="161">
        <v>0</v>
      </c>
      <c r="P83" s="161">
        <v>0</v>
      </c>
      <c r="Q83" s="161">
        <v>0</v>
      </c>
      <c r="R83" s="161">
        <v>0</v>
      </c>
      <c r="S83" s="161">
        <v>0</v>
      </c>
      <c r="T83" s="161">
        <v>0</v>
      </c>
      <c r="U83" s="161">
        <v>0</v>
      </c>
      <c r="V83" s="161">
        <v>0</v>
      </c>
      <c r="W83" s="161">
        <v>0</v>
      </c>
      <c r="X83" s="161">
        <v>0</v>
      </c>
      <c r="Y83" s="161">
        <v>0</v>
      </c>
      <c r="Z83" s="161"/>
      <c r="AA83" s="161">
        <v>0</v>
      </c>
      <c r="AB83" s="161">
        <v>0</v>
      </c>
      <c r="AC83" s="161">
        <v>0</v>
      </c>
      <c r="AD83" s="161">
        <v>0</v>
      </c>
      <c r="AE83" s="161">
        <v>0</v>
      </c>
      <c r="AF83" s="161">
        <v>0</v>
      </c>
      <c r="AG83" s="161">
        <v>0</v>
      </c>
      <c r="AH83" s="161">
        <v>0</v>
      </c>
      <c r="AI83" s="161">
        <v>0</v>
      </c>
      <c r="AJ83" s="161">
        <v>0</v>
      </c>
      <c r="AK83" s="161">
        <v>0</v>
      </c>
      <c r="AL83" s="161">
        <v>0</v>
      </c>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t="s">
        <v>988</v>
      </c>
      <c r="C84" s="161">
        <v>0</v>
      </c>
      <c r="D84" s="161">
        <v>0</v>
      </c>
      <c r="E84" s="161">
        <v>0</v>
      </c>
      <c r="F84" s="161">
        <v>0</v>
      </c>
      <c r="G84" s="161">
        <v>0</v>
      </c>
      <c r="H84" s="161">
        <v>0</v>
      </c>
      <c r="I84" s="161">
        <v>0</v>
      </c>
      <c r="J84" s="161">
        <v>0</v>
      </c>
      <c r="K84" s="161">
        <v>0</v>
      </c>
      <c r="L84" s="162">
        <v>0</v>
      </c>
      <c r="M84" s="161">
        <v>0</v>
      </c>
      <c r="N84" s="161">
        <v>0</v>
      </c>
      <c r="O84" s="161">
        <v>0</v>
      </c>
      <c r="P84" s="161">
        <v>0</v>
      </c>
      <c r="Q84" s="161">
        <v>0</v>
      </c>
      <c r="R84" s="161">
        <v>0</v>
      </c>
      <c r="S84" s="161">
        <v>0</v>
      </c>
      <c r="T84" s="161">
        <v>0</v>
      </c>
      <c r="U84" s="161">
        <v>0</v>
      </c>
      <c r="V84" s="161">
        <v>0</v>
      </c>
      <c r="W84" s="161">
        <v>0</v>
      </c>
      <c r="X84" s="161">
        <v>0</v>
      </c>
      <c r="Y84" s="161">
        <v>0</v>
      </c>
      <c r="Z84" s="161"/>
      <c r="AA84" s="161">
        <v>0</v>
      </c>
      <c r="AB84" s="161">
        <v>0</v>
      </c>
      <c r="AC84" s="161">
        <v>0</v>
      </c>
      <c r="AD84" s="161">
        <v>0</v>
      </c>
      <c r="AE84" s="161">
        <v>0</v>
      </c>
      <c r="AF84" s="161">
        <v>0</v>
      </c>
      <c r="AG84" s="161">
        <v>0</v>
      </c>
      <c r="AH84" s="161">
        <v>0</v>
      </c>
      <c r="AI84" s="161">
        <v>0</v>
      </c>
      <c r="AJ84" s="161">
        <v>0</v>
      </c>
      <c r="AK84" s="161">
        <v>0</v>
      </c>
      <c r="AL84" s="161">
        <v>0</v>
      </c>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row r="85" spans="1:131">
      <c r="A85" s="24"/>
      <c r="B85" s="24" t="s">
        <v>989</v>
      </c>
      <c r="C85" s="161">
        <v>0</v>
      </c>
      <c r="D85" s="161">
        <v>0</v>
      </c>
      <c r="E85" s="161">
        <v>0</v>
      </c>
      <c r="F85" s="161">
        <v>0</v>
      </c>
      <c r="G85" s="161">
        <v>0</v>
      </c>
      <c r="H85" s="161">
        <v>0</v>
      </c>
      <c r="I85" s="161">
        <v>0</v>
      </c>
      <c r="J85" s="161">
        <v>0</v>
      </c>
      <c r="K85" s="161">
        <v>0</v>
      </c>
      <c r="L85" s="162">
        <v>0</v>
      </c>
      <c r="M85" s="161">
        <v>0</v>
      </c>
      <c r="N85" s="161">
        <v>0</v>
      </c>
      <c r="O85" s="161">
        <v>0</v>
      </c>
      <c r="P85" s="161">
        <v>0</v>
      </c>
      <c r="Q85" s="161">
        <v>0</v>
      </c>
      <c r="R85" s="161">
        <v>0</v>
      </c>
      <c r="S85" s="161">
        <v>0</v>
      </c>
      <c r="T85" s="161">
        <v>0</v>
      </c>
      <c r="U85" s="161">
        <v>0</v>
      </c>
      <c r="V85" s="161">
        <v>0</v>
      </c>
      <c r="W85" s="161">
        <v>0</v>
      </c>
      <c r="X85" s="161">
        <v>0</v>
      </c>
      <c r="Y85" s="161">
        <v>0</v>
      </c>
      <c r="Z85" s="161"/>
      <c r="AA85" s="161">
        <v>0</v>
      </c>
      <c r="AB85" s="161">
        <v>0</v>
      </c>
      <c r="AC85" s="161">
        <v>0</v>
      </c>
      <c r="AD85" s="161">
        <v>0</v>
      </c>
      <c r="AE85" s="161">
        <v>0</v>
      </c>
      <c r="AF85" s="161">
        <v>0</v>
      </c>
      <c r="AG85" s="161">
        <v>0</v>
      </c>
      <c r="AH85" s="161">
        <v>0</v>
      </c>
      <c r="AI85" s="161">
        <v>0</v>
      </c>
      <c r="AJ85" s="161">
        <v>0</v>
      </c>
      <c r="AK85" s="161">
        <v>0</v>
      </c>
      <c r="AL85" s="161">
        <v>0</v>
      </c>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row>
    <row r="86" spans="1:131">
      <c r="A86" s="24"/>
      <c r="B86" s="24" t="s">
        <v>990</v>
      </c>
      <c r="C86" s="161">
        <v>0</v>
      </c>
      <c r="D86" s="161">
        <v>0</v>
      </c>
      <c r="E86" s="161">
        <v>0</v>
      </c>
      <c r="F86" s="161">
        <v>0</v>
      </c>
      <c r="G86" s="161">
        <v>0</v>
      </c>
      <c r="H86" s="161">
        <v>0</v>
      </c>
      <c r="I86" s="161">
        <v>0</v>
      </c>
      <c r="J86" s="161">
        <v>0</v>
      </c>
      <c r="K86" s="161">
        <v>0</v>
      </c>
      <c r="L86" s="162">
        <v>0</v>
      </c>
      <c r="M86" s="161">
        <v>0</v>
      </c>
      <c r="N86" s="161">
        <v>0</v>
      </c>
      <c r="O86" s="161">
        <v>0</v>
      </c>
      <c r="P86" s="161">
        <v>0</v>
      </c>
      <c r="Q86" s="161">
        <v>0</v>
      </c>
      <c r="R86" s="161">
        <v>0</v>
      </c>
      <c r="S86" s="161">
        <v>0</v>
      </c>
      <c r="T86" s="161">
        <v>0</v>
      </c>
      <c r="U86" s="161">
        <v>0</v>
      </c>
      <c r="V86" s="161">
        <v>0</v>
      </c>
      <c r="W86" s="161">
        <v>0</v>
      </c>
      <c r="X86" s="161">
        <v>0</v>
      </c>
      <c r="Y86" s="161">
        <v>0</v>
      </c>
      <c r="Z86" s="161"/>
      <c r="AA86" s="161">
        <v>0</v>
      </c>
      <c r="AB86" s="161">
        <v>0</v>
      </c>
      <c r="AC86" s="161">
        <v>0</v>
      </c>
      <c r="AD86" s="161">
        <v>0</v>
      </c>
      <c r="AE86" s="161">
        <v>0</v>
      </c>
      <c r="AF86" s="161">
        <v>0</v>
      </c>
      <c r="AG86" s="161">
        <v>0</v>
      </c>
      <c r="AH86" s="161">
        <v>0</v>
      </c>
      <c r="AI86" s="161">
        <v>0</v>
      </c>
      <c r="AJ86" s="161">
        <v>0</v>
      </c>
      <c r="AK86" s="161">
        <v>0</v>
      </c>
      <c r="AL86" s="161">
        <v>0</v>
      </c>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row>
    <row r="87" spans="1:131">
      <c r="A87" s="24"/>
      <c r="B87" s="24" t="s">
        <v>991</v>
      </c>
      <c r="C87" s="161">
        <v>0</v>
      </c>
      <c r="D87" s="161">
        <v>0</v>
      </c>
      <c r="E87" s="161">
        <v>0</v>
      </c>
      <c r="F87" s="161">
        <v>0</v>
      </c>
      <c r="G87" s="161">
        <v>0</v>
      </c>
      <c r="H87" s="161">
        <v>0</v>
      </c>
      <c r="I87" s="161">
        <v>0</v>
      </c>
      <c r="J87" s="161">
        <v>0</v>
      </c>
      <c r="K87" s="161">
        <v>0</v>
      </c>
      <c r="L87" s="162">
        <v>0</v>
      </c>
      <c r="M87" s="161">
        <v>0</v>
      </c>
      <c r="N87" s="161">
        <v>0</v>
      </c>
      <c r="O87" s="161">
        <v>0</v>
      </c>
      <c r="P87" s="161">
        <v>0</v>
      </c>
      <c r="Q87" s="161">
        <v>0</v>
      </c>
      <c r="R87" s="161">
        <v>0</v>
      </c>
      <c r="S87" s="161">
        <v>0</v>
      </c>
      <c r="T87" s="161">
        <v>0</v>
      </c>
      <c r="U87" s="161">
        <v>0</v>
      </c>
      <c r="V87" s="161">
        <v>0</v>
      </c>
      <c r="W87" s="161">
        <v>0</v>
      </c>
      <c r="X87" s="161">
        <v>0</v>
      </c>
      <c r="Y87" s="161">
        <v>0</v>
      </c>
      <c r="Z87" s="161"/>
      <c r="AA87" s="161">
        <v>0</v>
      </c>
      <c r="AB87" s="161">
        <v>0</v>
      </c>
      <c r="AC87" s="161">
        <v>0</v>
      </c>
      <c r="AD87" s="161">
        <v>0</v>
      </c>
      <c r="AE87" s="161">
        <v>0</v>
      </c>
      <c r="AF87" s="161">
        <v>0</v>
      </c>
      <c r="AG87" s="161">
        <v>0</v>
      </c>
      <c r="AH87" s="161">
        <v>0</v>
      </c>
      <c r="AI87" s="161">
        <v>0</v>
      </c>
      <c r="AJ87" s="161">
        <v>0</v>
      </c>
      <c r="AK87" s="161">
        <v>0</v>
      </c>
      <c r="AL87" s="161">
        <v>0</v>
      </c>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row>
    <row r="88" spans="1:131">
      <c r="A88" s="24"/>
      <c r="B88" s="24" t="s">
        <v>992</v>
      </c>
      <c r="C88" s="45">
        <v>37.545148245046867</v>
      </c>
      <c r="D88" s="45">
        <v>25.3475</v>
      </c>
      <c r="E88" s="45">
        <v>5.0695000000000006</v>
      </c>
      <c r="F88" s="45">
        <v>30.417000000000002</v>
      </c>
      <c r="G88" s="45">
        <v>79.369533808869022</v>
      </c>
      <c r="H88" s="45">
        <v>24.61627399312642</v>
      </c>
      <c r="I88" s="45">
        <v>7096.8669043716382</v>
      </c>
      <c r="J88" s="45">
        <v>29.738841633491642</v>
      </c>
      <c r="K88" s="45">
        <v>142.55575516560936</v>
      </c>
      <c r="L88" s="133">
        <v>0.31014764496923014</v>
      </c>
      <c r="M88" s="45">
        <v>0.35668096717820408</v>
      </c>
      <c r="N88" s="91">
        <v>1.0926097593052573</v>
      </c>
      <c r="O88" s="91">
        <v>0.99820387317612636</v>
      </c>
      <c r="P88" s="91">
        <v>1.1623412899417105</v>
      </c>
      <c r="Q88" s="91">
        <v>1.0708275598909507</v>
      </c>
      <c r="R88" s="91">
        <v>1.113571427899315</v>
      </c>
      <c r="S88" s="91">
        <v>1.1143093958071517</v>
      </c>
      <c r="T88" s="91">
        <v>1.07664179183197</v>
      </c>
      <c r="U88" s="91">
        <v>1.1592155929082852</v>
      </c>
      <c r="V88" s="91">
        <v>1.0280209630435115</v>
      </c>
      <c r="W88" s="91">
        <v>1.1550888684482528</v>
      </c>
      <c r="X88" s="91">
        <v>1.0358011073712468</v>
      </c>
      <c r="Y88" s="91">
        <v>1.088923567302942</v>
      </c>
      <c r="Z88" s="91"/>
      <c r="AA88" s="91">
        <v>2.1328235423718782</v>
      </c>
      <c r="AB88" s="91">
        <v>1.9016009025578089</v>
      </c>
      <c r="AC88" s="91">
        <v>2.0308178476679117</v>
      </c>
      <c r="AD88" s="91">
        <v>2.000687181052097</v>
      </c>
      <c r="AE88" s="91">
        <v>2.059856850845899</v>
      </c>
      <c r="AF88" s="91">
        <v>1.9569324729811572</v>
      </c>
      <c r="AG88" s="91">
        <v>2.1047840777976119</v>
      </c>
      <c r="AH88" s="91">
        <v>2.0218762834418951</v>
      </c>
      <c r="AI88" s="91">
        <v>2.0367282965131608</v>
      </c>
      <c r="AJ88" s="91">
        <v>2.0189730802350141</v>
      </c>
      <c r="AK88" s="91">
        <v>2.0597619282095048</v>
      </c>
      <c r="AL88" s="91">
        <v>2.1247505844462076</v>
      </c>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row>
    <row r="89" spans="1:131">
      <c r="A89" s="24"/>
      <c r="B89" s="24" t="s">
        <v>993</v>
      </c>
      <c r="C89" s="161">
        <v>0</v>
      </c>
      <c r="D89" s="161">
        <v>0</v>
      </c>
      <c r="E89" s="161">
        <v>0</v>
      </c>
      <c r="F89" s="161">
        <v>0</v>
      </c>
      <c r="G89" s="161">
        <v>0</v>
      </c>
      <c r="H89" s="161">
        <v>0</v>
      </c>
      <c r="I89" s="161">
        <v>0</v>
      </c>
      <c r="J89" s="161">
        <v>0</v>
      </c>
      <c r="K89" s="161">
        <v>0</v>
      </c>
      <c r="L89" s="162">
        <v>0</v>
      </c>
      <c r="M89" s="161">
        <v>0</v>
      </c>
      <c r="N89" s="161">
        <v>0</v>
      </c>
      <c r="O89" s="161">
        <v>0</v>
      </c>
      <c r="P89" s="161">
        <v>0</v>
      </c>
      <c r="Q89" s="161">
        <v>0</v>
      </c>
      <c r="R89" s="161">
        <v>0</v>
      </c>
      <c r="S89" s="161">
        <v>0</v>
      </c>
      <c r="T89" s="161">
        <v>0</v>
      </c>
      <c r="U89" s="161">
        <v>0</v>
      </c>
      <c r="V89" s="161">
        <v>0</v>
      </c>
      <c r="W89" s="161">
        <v>0</v>
      </c>
      <c r="X89" s="161">
        <v>0</v>
      </c>
      <c r="Y89" s="161">
        <v>0</v>
      </c>
      <c r="Z89" s="161"/>
      <c r="AA89" s="161">
        <v>0</v>
      </c>
      <c r="AB89" s="161">
        <v>0</v>
      </c>
      <c r="AC89" s="161">
        <v>0</v>
      </c>
      <c r="AD89" s="161">
        <v>0</v>
      </c>
      <c r="AE89" s="161">
        <v>0</v>
      </c>
      <c r="AF89" s="161">
        <v>0</v>
      </c>
      <c r="AG89" s="161">
        <v>0</v>
      </c>
      <c r="AH89" s="161">
        <v>0</v>
      </c>
      <c r="AI89" s="161">
        <v>0</v>
      </c>
      <c r="AJ89" s="161">
        <v>0</v>
      </c>
      <c r="AK89" s="161">
        <v>0</v>
      </c>
      <c r="AL89" s="161">
        <v>0</v>
      </c>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row>
    <row r="90" spans="1:131">
      <c r="A90" s="24"/>
      <c r="B90" s="24" t="s">
        <v>994</v>
      </c>
      <c r="C90" s="161">
        <v>0</v>
      </c>
      <c r="D90" s="161">
        <v>0</v>
      </c>
      <c r="E90" s="161">
        <v>0</v>
      </c>
      <c r="F90" s="161">
        <v>0</v>
      </c>
      <c r="G90" s="161">
        <v>0</v>
      </c>
      <c r="H90" s="161">
        <v>0</v>
      </c>
      <c r="I90" s="161">
        <v>0</v>
      </c>
      <c r="J90" s="161">
        <v>0</v>
      </c>
      <c r="K90" s="161">
        <v>0</v>
      </c>
      <c r="L90" s="162">
        <v>0</v>
      </c>
      <c r="M90" s="161">
        <v>0</v>
      </c>
      <c r="N90" s="161">
        <v>0</v>
      </c>
      <c r="O90" s="161">
        <v>0</v>
      </c>
      <c r="P90" s="161">
        <v>0</v>
      </c>
      <c r="Q90" s="161">
        <v>0</v>
      </c>
      <c r="R90" s="161">
        <v>0</v>
      </c>
      <c r="S90" s="161">
        <v>0</v>
      </c>
      <c r="T90" s="161">
        <v>0</v>
      </c>
      <c r="U90" s="161">
        <v>0</v>
      </c>
      <c r="V90" s="161">
        <v>0</v>
      </c>
      <c r="W90" s="161">
        <v>0</v>
      </c>
      <c r="X90" s="161">
        <v>0</v>
      </c>
      <c r="Y90" s="161">
        <v>0</v>
      </c>
      <c r="Z90" s="161"/>
      <c r="AA90" s="161">
        <v>0</v>
      </c>
      <c r="AB90" s="161">
        <v>0</v>
      </c>
      <c r="AC90" s="161">
        <v>0</v>
      </c>
      <c r="AD90" s="161">
        <v>0</v>
      </c>
      <c r="AE90" s="161">
        <v>0</v>
      </c>
      <c r="AF90" s="161">
        <v>0</v>
      </c>
      <c r="AG90" s="161">
        <v>0</v>
      </c>
      <c r="AH90" s="161">
        <v>0</v>
      </c>
      <c r="AI90" s="161">
        <v>0</v>
      </c>
      <c r="AJ90" s="161">
        <v>0</v>
      </c>
      <c r="AK90" s="161">
        <v>0</v>
      </c>
      <c r="AL90" s="161">
        <v>0</v>
      </c>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row>
    <row r="91" spans="1:131">
      <c r="A91" s="24"/>
      <c r="B91" s="24" t="s">
        <v>995</v>
      </c>
      <c r="C91" s="161">
        <v>0</v>
      </c>
      <c r="D91" s="161">
        <v>0</v>
      </c>
      <c r="E91" s="161">
        <v>0</v>
      </c>
      <c r="F91" s="161">
        <v>0</v>
      </c>
      <c r="G91" s="161">
        <v>0</v>
      </c>
      <c r="H91" s="161">
        <v>0</v>
      </c>
      <c r="I91" s="161">
        <v>0</v>
      </c>
      <c r="J91" s="161">
        <v>0</v>
      </c>
      <c r="K91" s="161">
        <v>0</v>
      </c>
      <c r="L91" s="162">
        <v>0</v>
      </c>
      <c r="M91" s="161">
        <v>0</v>
      </c>
      <c r="N91" s="161">
        <v>0</v>
      </c>
      <c r="O91" s="161">
        <v>0</v>
      </c>
      <c r="P91" s="161">
        <v>0</v>
      </c>
      <c r="Q91" s="161">
        <v>0</v>
      </c>
      <c r="R91" s="161">
        <v>0</v>
      </c>
      <c r="S91" s="161">
        <v>0</v>
      </c>
      <c r="T91" s="161">
        <v>0</v>
      </c>
      <c r="U91" s="161">
        <v>0</v>
      </c>
      <c r="V91" s="161">
        <v>0</v>
      </c>
      <c r="W91" s="161">
        <v>0</v>
      </c>
      <c r="X91" s="161">
        <v>0</v>
      </c>
      <c r="Y91" s="161">
        <v>0</v>
      </c>
      <c r="Z91" s="161"/>
      <c r="AA91" s="161">
        <v>0</v>
      </c>
      <c r="AB91" s="161">
        <v>0</v>
      </c>
      <c r="AC91" s="161">
        <v>0</v>
      </c>
      <c r="AD91" s="161">
        <v>0</v>
      </c>
      <c r="AE91" s="161">
        <v>0</v>
      </c>
      <c r="AF91" s="161">
        <v>0</v>
      </c>
      <c r="AG91" s="161">
        <v>0</v>
      </c>
      <c r="AH91" s="161">
        <v>0</v>
      </c>
      <c r="AI91" s="161">
        <v>0</v>
      </c>
      <c r="AJ91" s="161">
        <v>0</v>
      </c>
      <c r="AK91" s="161">
        <v>0</v>
      </c>
      <c r="AL91" s="161">
        <v>0</v>
      </c>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row>
    <row r="92" spans="1:131">
      <c r="A92" s="24"/>
      <c r="B92" s="24" t="s">
        <v>996</v>
      </c>
      <c r="C92" s="161">
        <v>0</v>
      </c>
      <c r="D92" s="161">
        <v>0</v>
      </c>
      <c r="E92" s="161">
        <v>0</v>
      </c>
      <c r="F92" s="161">
        <v>0</v>
      </c>
      <c r="G92" s="161">
        <v>0</v>
      </c>
      <c r="H92" s="161">
        <v>0</v>
      </c>
      <c r="I92" s="161">
        <v>0</v>
      </c>
      <c r="J92" s="161">
        <v>0</v>
      </c>
      <c r="K92" s="161">
        <v>0</v>
      </c>
      <c r="L92" s="162">
        <v>0</v>
      </c>
      <c r="M92" s="161">
        <v>0</v>
      </c>
      <c r="N92" s="161">
        <v>0</v>
      </c>
      <c r="O92" s="161">
        <v>0</v>
      </c>
      <c r="P92" s="161">
        <v>0</v>
      </c>
      <c r="Q92" s="161">
        <v>0</v>
      </c>
      <c r="R92" s="161">
        <v>0</v>
      </c>
      <c r="S92" s="161">
        <v>0</v>
      </c>
      <c r="T92" s="161">
        <v>0</v>
      </c>
      <c r="U92" s="161">
        <v>0</v>
      </c>
      <c r="V92" s="161">
        <v>0</v>
      </c>
      <c r="W92" s="161">
        <v>0</v>
      </c>
      <c r="X92" s="161">
        <v>0</v>
      </c>
      <c r="Y92" s="161">
        <v>0</v>
      </c>
      <c r="Z92" s="161"/>
      <c r="AA92" s="161">
        <v>0</v>
      </c>
      <c r="AB92" s="161">
        <v>0</v>
      </c>
      <c r="AC92" s="161">
        <v>0</v>
      </c>
      <c r="AD92" s="161">
        <v>0</v>
      </c>
      <c r="AE92" s="161">
        <v>0</v>
      </c>
      <c r="AF92" s="161">
        <v>0</v>
      </c>
      <c r="AG92" s="161">
        <v>0</v>
      </c>
      <c r="AH92" s="161">
        <v>0</v>
      </c>
      <c r="AI92" s="161">
        <v>0</v>
      </c>
      <c r="AJ92" s="161">
        <v>0</v>
      </c>
      <c r="AK92" s="161">
        <v>0</v>
      </c>
      <c r="AL92" s="161">
        <v>0</v>
      </c>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row>
    <row r="93" spans="1:131">
      <c r="A93" s="24"/>
      <c r="B93" s="24" t="s">
        <v>997</v>
      </c>
      <c r="C93" s="161">
        <v>0</v>
      </c>
      <c r="D93" s="161">
        <v>0</v>
      </c>
      <c r="E93" s="161">
        <v>0</v>
      </c>
      <c r="F93" s="161">
        <v>0</v>
      </c>
      <c r="G93" s="161">
        <v>0</v>
      </c>
      <c r="H93" s="161">
        <v>0</v>
      </c>
      <c r="I93" s="161">
        <v>0</v>
      </c>
      <c r="J93" s="161">
        <v>0</v>
      </c>
      <c r="K93" s="161">
        <v>0</v>
      </c>
      <c r="L93" s="162">
        <v>0</v>
      </c>
      <c r="M93" s="161">
        <v>0</v>
      </c>
      <c r="N93" s="161">
        <v>0</v>
      </c>
      <c r="O93" s="161">
        <v>0</v>
      </c>
      <c r="P93" s="161">
        <v>0</v>
      </c>
      <c r="Q93" s="161">
        <v>0</v>
      </c>
      <c r="R93" s="161">
        <v>0</v>
      </c>
      <c r="S93" s="161">
        <v>0</v>
      </c>
      <c r="T93" s="161">
        <v>0</v>
      </c>
      <c r="U93" s="161">
        <v>0</v>
      </c>
      <c r="V93" s="161">
        <v>0</v>
      </c>
      <c r="W93" s="161">
        <v>0</v>
      </c>
      <c r="X93" s="161">
        <v>0</v>
      </c>
      <c r="Y93" s="161">
        <v>0</v>
      </c>
      <c r="Z93" s="161"/>
      <c r="AA93" s="161">
        <v>0</v>
      </c>
      <c r="AB93" s="161">
        <v>0</v>
      </c>
      <c r="AC93" s="161">
        <v>0</v>
      </c>
      <c r="AD93" s="161">
        <v>0</v>
      </c>
      <c r="AE93" s="161">
        <v>0</v>
      </c>
      <c r="AF93" s="161">
        <v>0</v>
      </c>
      <c r="AG93" s="161">
        <v>0</v>
      </c>
      <c r="AH93" s="161">
        <v>0</v>
      </c>
      <c r="AI93" s="161">
        <v>0</v>
      </c>
      <c r="AJ93" s="161">
        <v>0</v>
      </c>
      <c r="AK93" s="161">
        <v>0</v>
      </c>
      <c r="AL93" s="161">
        <v>0</v>
      </c>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row>
    <row r="94" spans="1:131">
      <c r="A94" s="24"/>
      <c r="B94" s="24" t="s">
        <v>998</v>
      </c>
      <c r="C94" s="161">
        <v>0</v>
      </c>
      <c r="D94" s="161">
        <v>0</v>
      </c>
      <c r="E94" s="161">
        <v>0</v>
      </c>
      <c r="F94" s="161">
        <v>0</v>
      </c>
      <c r="G94" s="161">
        <v>0</v>
      </c>
      <c r="H94" s="161">
        <v>0</v>
      </c>
      <c r="I94" s="161">
        <v>0</v>
      </c>
      <c r="J94" s="161">
        <v>0</v>
      </c>
      <c r="K94" s="161">
        <v>0</v>
      </c>
      <c r="L94" s="162">
        <v>0</v>
      </c>
      <c r="M94" s="161">
        <v>0</v>
      </c>
      <c r="N94" s="161">
        <v>0</v>
      </c>
      <c r="O94" s="161">
        <v>0</v>
      </c>
      <c r="P94" s="161">
        <v>0</v>
      </c>
      <c r="Q94" s="161">
        <v>0</v>
      </c>
      <c r="R94" s="161">
        <v>0</v>
      </c>
      <c r="S94" s="161">
        <v>0</v>
      </c>
      <c r="T94" s="161">
        <v>0</v>
      </c>
      <c r="U94" s="161">
        <v>0</v>
      </c>
      <c r="V94" s="161">
        <v>0</v>
      </c>
      <c r="W94" s="161">
        <v>0</v>
      </c>
      <c r="X94" s="161">
        <v>0</v>
      </c>
      <c r="Y94" s="161">
        <v>0</v>
      </c>
      <c r="Z94" s="161"/>
      <c r="AA94" s="161">
        <v>0</v>
      </c>
      <c r="AB94" s="161">
        <v>0</v>
      </c>
      <c r="AC94" s="161">
        <v>0</v>
      </c>
      <c r="AD94" s="161">
        <v>0</v>
      </c>
      <c r="AE94" s="161">
        <v>0</v>
      </c>
      <c r="AF94" s="161">
        <v>0</v>
      </c>
      <c r="AG94" s="161">
        <v>0</v>
      </c>
      <c r="AH94" s="161">
        <v>0</v>
      </c>
      <c r="AI94" s="161">
        <v>0</v>
      </c>
      <c r="AJ94" s="161">
        <v>0</v>
      </c>
      <c r="AK94" s="161">
        <v>0</v>
      </c>
      <c r="AL94" s="161">
        <v>0</v>
      </c>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row>
    <row r="95" spans="1:131">
      <c r="A95" s="24"/>
      <c r="B95" s="24"/>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row>
    <row r="96" spans="1:131">
      <c r="A96" s="24"/>
      <c r="B96" s="24"/>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row>
    <row r="97" spans="1:131" ht="13.5" thickBot="1">
      <c r="A97" s="121" t="s">
        <v>770</v>
      </c>
      <c r="B97" s="122"/>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row>
    <row r="98" spans="1:131" ht="13.5" thickBot="1">
      <c r="A98" s="123"/>
      <c r="B98" s="124"/>
      <c r="C98" s="125"/>
      <c r="D98" s="125"/>
      <c r="E98" s="125"/>
      <c r="F98" s="125"/>
      <c r="G98" s="125"/>
      <c r="H98" s="125"/>
      <c r="I98" s="125"/>
      <c r="J98" s="125"/>
      <c r="K98" s="125"/>
      <c r="L98" s="125"/>
      <c r="M98" s="125"/>
      <c r="N98" s="125"/>
      <c r="O98" s="126" t="s">
        <v>771</v>
      </c>
      <c r="P98" s="127"/>
      <c r="Q98" s="127"/>
      <c r="R98" s="127"/>
      <c r="S98" s="127"/>
      <c r="T98" s="127"/>
      <c r="U98" s="127"/>
      <c r="V98" s="127"/>
      <c r="W98" s="127"/>
      <c r="X98" s="127"/>
      <c r="Y98" s="127"/>
      <c r="Z98" s="128"/>
      <c r="AA98" s="125"/>
      <c r="AB98" s="126" t="s">
        <v>772</v>
      </c>
      <c r="AC98" s="127"/>
      <c r="AD98" s="127"/>
      <c r="AE98" s="127"/>
      <c r="AF98" s="127"/>
      <c r="AG98" s="127"/>
      <c r="AH98" s="127"/>
      <c r="AI98" s="127"/>
      <c r="AJ98" s="127"/>
      <c r="AK98" s="127"/>
      <c r="AL98" s="127"/>
      <c r="AM98" s="128"/>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row>
    <row r="99" spans="1:131" ht="102">
      <c r="A99" s="129" t="s">
        <v>81</v>
      </c>
      <c r="B99" s="130" t="s">
        <v>82</v>
      </c>
      <c r="C99" s="131" t="s">
        <v>773</v>
      </c>
      <c r="D99" s="131" t="s">
        <v>774</v>
      </c>
      <c r="E99" s="131" t="s">
        <v>775</v>
      </c>
      <c r="F99" s="131" t="s">
        <v>776</v>
      </c>
      <c r="G99" s="131" t="s">
        <v>777</v>
      </c>
      <c r="H99" s="131" t="s">
        <v>778</v>
      </c>
      <c r="I99" s="131" t="s">
        <v>779</v>
      </c>
      <c r="J99" s="131" t="s">
        <v>780</v>
      </c>
      <c r="K99" s="131" t="s">
        <v>781</v>
      </c>
      <c r="L99" s="131" t="s">
        <v>782</v>
      </c>
      <c r="M99" s="131" t="s">
        <v>783</v>
      </c>
      <c r="N99" s="131" t="s">
        <v>784</v>
      </c>
      <c r="O99" s="131" t="s">
        <v>785</v>
      </c>
      <c r="P99" s="131" t="s">
        <v>786</v>
      </c>
      <c r="Q99" s="131" t="s">
        <v>787</v>
      </c>
      <c r="R99" s="131" t="s">
        <v>788</v>
      </c>
      <c r="S99" s="131" t="s">
        <v>789</v>
      </c>
      <c r="T99" s="131" t="s">
        <v>790</v>
      </c>
      <c r="U99" s="131" t="s">
        <v>791</v>
      </c>
      <c r="V99" s="131" t="s">
        <v>792</v>
      </c>
      <c r="W99" s="131" t="s">
        <v>793</v>
      </c>
      <c r="X99" s="131" t="s">
        <v>794</v>
      </c>
      <c r="Y99" s="131" t="s">
        <v>795</v>
      </c>
      <c r="Z99" s="131" t="s">
        <v>796</v>
      </c>
      <c r="AA99" s="131"/>
      <c r="AB99" s="131" t="s">
        <v>785</v>
      </c>
      <c r="AC99" s="131" t="s">
        <v>786</v>
      </c>
      <c r="AD99" s="131" t="s">
        <v>787</v>
      </c>
      <c r="AE99" s="131" t="s">
        <v>788</v>
      </c>
      <c r="AF99" s="131" t="s">
        <v>789</v>
      </c>
      <c r="AG99" s="131" t="s">
        <v>790</v>
      </c>
      <c r="AH99" s="131" t="s">
        <v>791</v>
      </c>
      <c r="AI99" s="131" t="s">
        <v>792</v>
      </c>
      <c r="AJ99" s="131" t="s">
        <v>793</v>
      </c>
      <c r="AK99" s="131" t="s">
        <v>794</v>
      </c>
      <c r="AL99" s="131" t="s">
        <v>795</v>
      </c>
      <c r="AM99" s="131" t="s">
        <v>796</v>
      </c>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row>
    <row r="100" spans="1:131">
      <c r="A100" s="24" t="s">
        <v>128</v>
      </c>
      <c r="B100" s="24"/>
      <c r="C100" s="91">
        <v>445.84863540993149</v>
      </c>
      <c r="D100" s="91">
        <v>25.3475</v>
      </c>
      <c r="E100" s="91">
        <v>5.0695000000000006</v>
      </c>
      <c r="F100" s="91">
        <v>30.417000000000002</v>
      </c>
      <c r="G100" s="91">
        <v>79.369533808869022</v>
      </c>
      <c r="H100" s="91">
        <v>292.3182536683762</v>
      </c>
      <c r="I100" s="91">
        <v>597.63089721024335</v>
      </c>
      <c r="J100" s="91">
        <v>-9.3957035462286385</v>
      </c>
      <c r="K100" s="91">
        <v>0.10466811963389859</v>
      </c>
      <c r="L100" s="132">
        <v>3.6830032840096076</v>
      </c>
      <c r="M100" s="91">
        <v>4.2355864852411687</v>
      </c>
      <c r="N100" s="91">
        <v>0.10204059760720337</v>
      </c>
      <c r="O100" s="91">
        <v>12.974740891749928</v>
      </c>
      <c r="P100" s="91">
        <v>11.853670993966499</v>
      </c>
      <c r="Q100" s="91">
        <v>13.802802818057812</v>
      </c>
      <c r="R100" s="91">
        <v>12.716077273705038</v>
      </c>
      <c r="S100" s="91">
        <v>13.223660706304363</v>
      </c>
      <c r="T100" s="91">
        <v>13.232424075209925</v>
      </c>
      <c r="U100" s="91">
        <v>12.785121278004642</v>
      </c>
      <c r="V100" s="91">
        <v>13.765685165785888</v>
      </c>
      <c r="W100" s="91">
        <v>12.207748936141698</v>
      </c>
      <c r="X100" s="91">
        <v>13.716680312823001</v>
      </c>
      <c r="Y100" s="91">
        <v>12.300138150033556</v>
      </c>
      <c r="Z100" s="91">
        <v>12.930967361722436</v>
      </c>
      <c r="AA100" s="91"/>
      <c r="AB100" s="91">
        <v>25.327279565666053</v>
      </c>
      <c r="AC100" s="91">
        <v>22.581510717873979</v>
      </c>
      <c r="AD100" s="91">
        <v>24.115961941056451</v>
      </c>
      <c r="AE100" s="91">
        <v>23.758160274993649</v>
      </c>
      <c r="AF100" s="91">
        <v>24.460800103795048</v>
      </c>
      <c r="AG100" s="91">
        <v>23.238573116651239</v>
      </c>
      <c r="AH100" s="91">
        <v>24.994310923846641</v>
      </c>
      <c r="AI100" s="91">
        <v>24.009780865872504</v>
      </c>
      <c r="AJ100" s="91">
        <v>24.186148521093781</v>
      </c>
      <c r="AK100" s="91">
        <v>23.975305327790792</v>
      </c>
      <c r="AL100" s="91">
        <v>24.459672897487867</v>
      </c>
      <c r="AM100" s="45">
        <v>25.231413190298714</v>
      </c>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row>
    <row r="101" spans="1:131">
      <c r="A101" s="24" t="s">
        <v>126</v>
      </c>
      <c r="B101" s="24"/>
      <c r="C101" s="91">
        <v>308.57418713897891</v>
      </c>
      <c r="D101" s="91">
        <v>25.3475</v>
      </c>
      <c r="E101" s="91">
        <v>5.0695000000000006</v>
      </c>
      <c r="F101" s="91">
        <v>30.417000000000002</v>
      </c>
      <c r="G101" s="91">
        <v>79.369533808869022</v>
      </c>
      <c r="H101" s="91">
        <v>202.31500188100787</v>
      </c>
      <c r="I101" s="91">
        <v>863.49711383989518</v>
      </c>
      <c r="J101" s="91">
        <v>-7.794814848697146</v>
      </c>
      <c r="K101" s="91">
        <v>5.9319579004578644</v>
      </c>
      <c r="L101" s="132">
        <v>2.549025957090862</v>
      </c>
      <c r="M101" s="91">
        <v>2.9314716989958596</v>
      </c>
      <c r="N101" s="91">
        <v>7.0622834659722342E-2</v>
      </c>
      <c r="O101" s="91">
        <v>8.9798864592900838</v>
      </c>
      <c r="P101" s="91">
        <v>8.2039880826662888</v>
      </c>
      <c r="Q101" s="91">
        <v>9.5529924767084342</v>
      </c>
      <c r="R101" s="91">
        <v>8.8008640078537503</v>
      </c>
      <c r="S101" s="91">
        <v>9.1521651730474947</v>
      </c>
      <c r="T101" s="91">
        <v>9.1582303467900292</v>
      </c>
      <c r="U101" s="91">
        <v>8.8486497266190032</v>
      </c>
      <c r="V101" s="91">
        <v>9.5273031542149713</v>
      </c>
      <c r="W101" s="91">
        <v>8.4490472900138602</v>
      </c>
      <c r="X101" s="91">
        <v>9.4933866375590785</v>
      </c>
      <c r="Y101" s="91">
        <v>8.512990351207435</v>
      </c>
      <c r="Z101" s="91">
        <v>8.9495905687710557</v>
      </c>
      <c r="AA101" s="91"/>
      <c r="AB101" s="91">
        <v>17.529143488868876</v>
      </c>
      <c r="AC101" s="91">
        <v>15.628782417896993</v>
      </c>
      <c r="AD101" s="91">
        <v>16.690784185520652</v>
      </c>
      <c r="AE101" s="91">
        <v>16.443147769271921</v>
      </c>
      <c r="AF101" s="91">
        <v>16.929448492889733</v>
      </c>
      <c r="AG101" s="91">
        <v>16.083538762313886</v>
      </c>
      <c r="AH101" s="91">
        <v>17.298694139399124</v>
      </c>
      <c r="AI101" s="91">
        <v>16.617295704538076</v>
      </c>
      <c r="AJ101" s="91">
        <v>16.73936068696754</v>
      </c>
      <c r="AK101" s="91">
        <v>16.593435003181522</v>
      </c>
      <c r="AL101" s="91">
        <v>16.928668347471866</v>
      </c>
      <c r="AM101" s="45">
        <v>17.46279386591727</v>
      </c>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row>
    <row r="102" spans="1:131">
      <c r="A102" s="24" t="s">
        <v>114</v>
      </c>
      <c r="B102" s="24"/>
      <c r="C102" s="91">
        <v>281.58861183785149</v>
      </c>
      <c r="D102" s="91">
        <v>25.3475</v>
      </c>
      <c r="E102" s="91">
        <v>5.0695000000000006</v>
      </c>
      <c r="F102" s="91">
        <v>30.417000000000002</v>
      </c>
      <c r="G102" s="91">
        <v>79.369533808869022</v>
      </c>
      <c r="H102" s="91">
        <v>184.62205494844821</v>
      </c>
      <c r="I102" s="91">
        <v>946.24892058288515</v>
      </c>
      <c r="J102" s="91">
        <v>-7.2965325404198937</v>
      </c>
      <c r="K102" s="91">
        <v>7.7457225971958037</v>
      </c>
      <c r="L102" s="132">
        <v>2.3261073372692271</v>
      </c>
      <c r="M102" s="91">
        <v>2.6751072538365275</v>
      </c>
      <c r="N102" s="91">
        <v>6.4446693225602134E-2</v>
      </c>
      <c r="O102" s="91">
        <v>8.1945731947894291</v>
      </c>
      <c r="P102" s="91">
        <v>7.4865290488209482</v>
      </c>
      <c r="Q102" s="91">
        <v>8.7175596745628301</v>
      </c>
      <c r="R102" s="91">
        <v>8.03120669918213</v>
      </c>
      <c r="S102" s="91">
        <v>8.3517857092448615</v>
      </c>
      <c r="T102" s="91">
        <v>8.3573204685536382</v>
      </c>
      <c r="U102" s="91">
        <v>8.0748134387397741</v>
      </c>
      <c r="V102" s="91">
        <v>8.6941169468121409</v>
      </c>
      <c r="W102" s="91">
        <v>7.7101572228263366</v>
      </c>
      <c r="X102" s="91">
        <v>8.6631665133618974</v>
      </c>
      <c r="Y102" s="91">
        <v>7.7685083052843513</v>
      </c>
      <c r="Z102" s="91">
        <v>8.1669267547720654</v>
      </c>
      <c r="AA102" s="91"/>
      <c r="AB102" s="91">
        <v>15.996176567789089</v>
      </c>
      <c r="AC102" s="91">
        <v>14.262006769183568</v>
      </c>
      <c r="AD102" s="91">
        <v>15.23113385750934</v>
      </c>
      <c r="AE102" s="91">
        <v>15.005153857890727</v>
      </c>
      <c r="AF102" s="91">
        <v>15.448926381344242</v>
      </c>
      <c r="AG102" s="91">
        <v>14.676993547358681</v>
      </c>
      <c r="AH102" s="91">
        <v>15.785880583482092</v>
      </c>
      <c r="AI102" s="91">
        <v>15.164072125814213</v>
      </c>
      <c r="AJ102" s="91">
        <v>15.275462223848706</v>
      </c>
      <c r="AK102" s="91">
        <v>15.142298101762607</v>
      </c>
      <c r="AL102" s="91">
        <v>15.448214461571286</v>
      </c>
      <c r="AM102" s="45">
        <v>15.935629383346559</v>
      </c>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row>
    <row r="103" spans="1:131">
      <c r="A103" s="24" t="s">
        <v>125</v>
      </c>
      <c r="B103" s="24"/>
      <c r="C103" s="91">
        <v>254.25105077192674</v>
      </c>
      <c r="D103" s="91">
        <v>25.3475</v>
      </c>
      <c r="E103" s="91">
        <v>5.0695000000000006</v>
      </c>
      <c r="F103" s="91">
        <v>30.417000000000002</v>
      </c>
      <c r="G103" s="91">
        <v>79.369533808869022</v>
      </c>
      <c r="H103" s="91">
        <v>166.69833044720286</v>
      </c>
      <c r="I103" s="91">
        <v>1047.9914210424201</v>
      </c>
      <c r="J103" s="91">
        <v>-6.6838995360876767</v>
      </c>
      <c r="K103" s="91">
        <v>9.9757277506117585</v>
      </c>
      <c r="L103" s="132">
        <v>2.1002810832760042</v>
      </c>
      <c r="M103" s="91">
        <v>2.415398924609899</v>
      </c>
      <c r="N103" s="91">
        <v>5.8189993424949925E-2</v>
      </c>
      <c r="O103" s="91">
        <v>7.3990167137952882</v>
      </c>
      <c r="P103" s="91">
        <v>6.7597118536645802</v>
      </c>
      <c r="Q103" s="91">
        <v>7.8712299228240203</v>
      </c>
      <c r="R103" s="91">
        <v>7.251510382136531</v>
      </c>
      <c r="S103" s="91">
        <v>7.5409665133056727</v>
      </c>
      <c r="T103" s="91">
        <v>7.5459639397315552</v>
      </c>
      <c r="U103" s="91">
        <v>7.290883634062121</v>
      </c>
      <c r="V103" s="91">
        <v>7.8500630932257947</v>
      </c>
      <c r="W103" s="91">
        <v>6.9616294591102799</v>
      </c>
      <c r="X103" s="91">
        <v>7.8221174310230124</v>
      </c>
      <c r="Y103" s="91">
        <v>7.0143156239796616</v>
      </c>
      <c r="Z103" s="91">
        <v>7.3740542823296105</v>
      </c>
      <c r="AA103" s="91"/>
      <c r="AB103" s="91">
        <v>14.443214425999564</v>
      </c>
      <c r="AC103" s="91">
        <v>12.877403612008662</v>
      </c>
      <c r="AD103" s="91">
        <v>13.75244461217614</v>
      </c>
      <c r="AE103" s="91">
        <v>13.548403504187169</v>
      </c>
      <c r="AF103" s="91">
        <v>13.949093111822071</v>
      </c>
      <c r="AG103" s="91">
        <v>13.252102090469274</v>
      </c>
      <c r="AH103" s="91">
        <v>14.253334676835703</v>
      </c>
      <c r="AI103" s="91">
        <v>13.691893456933084</v>
      </c>
      <c r="AJ103" s="91">
        <v>13.79246943295006</v>
      </c>
      <c r="AK103" s="91">
        <v>13.672233327716485</v>
      </c>
      <c r="AL103" s="91">
        <v>13.948450307593738</v>
      </c>
      <c r="AM103" s="45">
        <v>14.388545364046662</v>
      </c>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row>
    <row r="104" spans="1:131">
      <c r="A104" s="24" t="s">
        <v>116</v>
      </c>
      <c r="B104" s="24"/>
      <c r="C104" s="91">
        <v>234.65717653154292</v>
      </c>
      <c r="D104" s="91">
        <v>25.3475</v>
      </c>
      <c r="E104" s="91">
        <v>5.0695000000000006</v>
      </c>
      <c r="F104" s="91">
        <v>30.417000000000002</v>
      </c>
      <c r="G104" s="91">
        <v>79.369533808869022</v>
      </c>
      <c r="H104" s="91">
        <v>153.85171245704004</v>
      </c>
      <c r="I104" s="91">
        <v>1135.4987046994622</v>
      </c>
      <c r="J104" s="91">
        <v>-6.1569825658379917</v>
      </c>
      <c r="K104" s="91">
        <v>11.893723599300836</v>
      </c>
      <c r="L104" s="132">
        <v>1.9384227810576875</v>
      </c>
      <c r="M104" s="91">
        <v>2.2292560448637735</v>
      </c>
      <c r="N104" s="91">
        <v>5.3705577688001778E-2</v>
      </c>
      <c r="O104" s="91">
        <v>6.8288109956578573</v>
      </c>
      <c r="P104" s="91">
        <v>6.2387742073507901</v>
      </c>
      <c r="Q104" s="91">
        <v>7.2646330621356912</v>
      </c>
      <c r="R104" s="91">
        <v>6.6926722493184414</v>
      </c>
      <c r="S104" s="91">
        <v>6.9598214243707179</v>
      </c>
      <c r="T104" s="91">
        <v>6.9644337237946985</v>
      </c>
      <c r="U104" s="91">
        <v>6.729011198949812</v>
      </c>
      <c r="V104" s="91">
        <v>7.2450974556767838</v>
      </c>
      <c r="W104" s="91">
        <v>6.4251310190219471</v>
      </c>
      <c r="X104" s="91">
        <v>7.2193054278015802</v>
      </c>
      <c r="Y104" s="91">
        <v>6.4737569210702928</v>
      </c>
      <c r="Z104" s="91">
        <v>6.8057722956433881</v>
      </c>
      <c r="AA104" s="91"/>
      <c r="AB104" s="91">
        <v>13.330147139824239</v>
      </c>
      <c r="AC104" s="91">
        <v>11.885005640986305</v>
      </c>
      <c r="AD104" s="91">
        <v>12.69261154792445</v>
      </c>
      <c r="AE104" s="91">
        <v>12.504294881575605</v>
      </c>
      <c r="AF104" s="91">
        <v>12.874105317786867</v>
      </c>
      <c r="AG104" s="91">
        <v>12.230827956132233</v>
      </c>
      <c r="AH104" s="91">
        <v>13.154900486235075</v>
      </c>
      <c r="AI104" s="91">
        <v>12.636726771511844</v>
      </c>
      <c r="AJ104" s="91">
        <v>12.729551853207255</v>
      </c>
      <c r="AK104" s="91">
        <v>12.618581751468838</v>
      </c>
      <c r="AL104" s="91">
        <v>12.873512051309405</v>
      </c>
      <c r="AM104" s="45">
        <v>13.279691152788798</v>
      </c>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row>
    <row r="105" spans="1:131">
      <c r="A105" s="24" t="s">
        <v>1187</v>
      </c>
      <c r="B105" s="24"/>
      <c r="C105" s="91">
        <v>204.15174358244232</v>
      </c>
      <c r="D105" s="91">
        <v>25.3475</v>
      </c>
      <c r="E105" s="91">
        <v>5.0695000000000006</v>
      </c>
      <c r="F105" s="91">
        <v>30.417000000000002</v>
      </c>
      <c r="G105" s="91">
        <v>79.369533808869022</v>
      </c>
      <c r="H105" s="91">
        <v>133.85098983762484</v>
      </c>
      <c r="I105" s="91">
        <v>1305.1709249419107</v>
      </c>
      <c r="J105" s="91">
        <v>-5.1353170713852698</v>
      </c>
      <c r="K105" s="91">
        <v>15.61262104946398</v>
      </c>
      <c r="L105" s="132">
        <v>1.6864278195201881</v>
      </c>
      <c r="M105" s="91">
        <v>1.9394527590314821</v>
      </c>
      <c r="N105" s="91">
        <v>4.672385258856155E-2</v>
      </c>
      <c r="O105" s="91">
        <v>5.9410655662223366</v>
      </c>
      <c r="P105" s="91">
        <v>5.4277335603951871</v>
      </c>
      <c r="Q105" s="91">
        <v>6.3202307640580511</v>
      </c>
      <c r="R105" s="91">
        <v>5.8226248569070442</v>
      </c>
      <c r="S105" s="91">
        <v>6.0550446392025243</v>
      </c>
      <c r="T105" s="91">
        <v>6.0590573397013872</v>
      </c>
      <c r="U105" s="91">
        <v>5.8542397430863362</v>
      </c>
      <c r="V105" s="91">
        <v>6.3032347864388019</v>
      </c>
      <c r="W105" s="91">
        <v>5.5898639865490942</v>
      </c>
      <c r="X105" s="91">
        <v>6.2807957221873751</v>
      </c>
      <c r="Y105" s="91">
        <v>5.6321685213311552</v>
      </c>
      <c r="Z105" s="91">
        <v>5.9210218972097479</v>
      </c>
      <c r="AA105" s="91"/>
      <c r="AB105" s="91">
        <v>11.597228011647088</v>
      </c>
      <c r="AC105" s="91">
        <v>10.339954907658086</v>
      </c>
      <c r="AD105" s="91">
        <v>11.042572046694271</v>
      </c>
      <c r="AE105" s="91">
        <v>10.878736546970776</v>
      </c>
      <c r="AF105" s="91">
        <v>11.200471626474576</v>
      </c>
      <c r="AG105" s="91">
        <v>10.640820321835042</v>
      </c>
      <c r="AH105" s="91">
        <v>11.444763423024515</v>
      </c>
      <c r="AI105" s="91">
        <v>10.993952291215304</v>
      </c>
      <c r="AJ105" s="91">
        <v>11.074710112290312</v>
      </c>
      <c r="AK105" s="91">
        <v>10.978166123777889</v>
      </c>
      <c r="AL105" s="91">
        <v>11.199955484639181</v>
      </c>
      <c r="AM105" s="45">
        <v>11.553331302926255</v>
      </c>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row>
    <row r="106" spans="1:131">
      <c r="A106" s="24" t="s">
        <v>768</v>
      </c>
      <c r="B106" s="24"/>
      <c r="C106" s="91">
        <v>111.06931305508533</v>
      </c>
      <c r="D106" s="91">
        <v>35</v>
      </c>
      <c r="E106" s="91">
        <v>7</v>
      </c>
      <c r="F106" s="91">
        <v>42</v>
      </c>
      <c r="G106" s="91">
        <v>109.59399085947</v>
      </c>
      <c r="H106" s="91">
        <v>66.680292266337602</v>
      </c>
      <c r="I106" s="91">
        <v>3312.5261143690373</v>
      </c>
      <c r="J106" s="91">
        <v>12.815184705152744</v>
      </c>
      <c r="K106" s="91">
        <v>65.473488327480865</v>
      </c>
      <c r="L106" s="133">
        <v>0.60843018621194567</v>
      </c>
      <c r="M106" s="91">
        <v>1.0551671458543821</v>
      </c>
      <c r="N106" s="91">
        <v>1.3949886066046142E-2</v>
      </c>
      <c r="O106" s="91">
        <v>5.3641399878552374</v>
      </c>
      <c r="P106" s="91">
        <v>5.0401693710903936</v>
      </c>
      <c r="Q106" s="91">
        <v>5.7167179277601674</v>
      </c>
      <c r="R106" s="91">
        <v>5.2087805863980474</v>
      </c>
      <c r="S106" s="91">
        <v>5.3424663338480851</v>
      </c>
      <c r="T106" s="91">
        <v>5.3254396754000659</v>
      </c>
      <c r="U106" s="91">
        <v>5.0990937629965147</v>
      </c>
      <c r="V106" s="91">
        <v>5.8167770663145859</v>
      </c>
      <c r="W106" s="91">
        <v>5.010064331621825</v>
      </c>
      <c r="X106" s="91">
        <v>5.6919413373768943</v>
      </c>
      <c r="Y106" s="91">
        <v>4.9189608367330706</v>
      </c>
      <c r="Z106" s="91">
        <v>5.0083606146428075</v>
      </c>
      <c r="AA106" s="91"/>
      <c r="AB106" s="91">
        <v>4.3185293174031427</v>
      </c>
      <c r="AC106" s="91">
        <v>3.8845367448518475</v>
      </c>
      <c r="AD106" s="91">
        <v>3.8636029515698511</v>
      </c>
      <c r="AE106" s="91">
        <v>3.8823510334606928</v>
      </c>
      <c r="AF106" s="91">
        <v>3.9325040032764611</v>
      </c>
      <c r="AG106" s="91">
        <v>3.6455570650523441</v>
      </c>
      <c r="AH106" s="91">
        <v>4.0987618813389446</v>
      </c>
      <c r="AI106" s="91">
        <v>3.9061103476828927</v>
      </c>
      <c r="AJ106" s="91">
        <v>4.0851882183342516</v>
      </c>
      <c r="AK106" s="91">
        <v>3.8323190863909438</v>
      </c>
      <c r="AL106" s="91">
        <v>4.0305557774311866</v>
      </c>
      <c r="AM106" s="45">
        <v>4.0463847962550705</v>
      </c>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row>
    <row r="107" spans="1:131">
      <c r="A107" s="24" t="s">
        <v>1382</v>
      </c>
      <c r="B107" s="24"/>
      <c r="C107" s="91">
        <v>37.545148245046867</v>
      </c>
      <c r="D107" s="91">
        <v>25.3475</v>
      </c>
      <c r="E107" s="91">
        <v>5.0695000000000006</v>
      </c>
      <c r="F107" s="91">
        <v>30.417000000000002</v>
      </c>
      <c r="G107" s="91">
        <v>79.369533808869022</v>
      </c>
      <c r="H107" s="91">
        <v>24.61627399312642</v>
      </c>
      <c r="I107" s="91">
        <v>7096.8669043716382</v>
      </c>
      <c r="J107" s="91">
        <v>29.738841633491642</v>
      </c>
      <c r="K107" s="91">
        <v>142.55575516560936</v>
      </c>
      <c r="L107" s="133">
        <v>0.31014764496923014</v>
      </c>
      <c r="M107" s="91">
        <v>0.35668096717820408</v>
      </c>
      <c r="N107" s="91">
        <v>8.5928924300802852E-3</v>
      </c>
      <c r="O107" s="91">
        <v>1.0926097593052573</v>
      </c>
      <c r="P107" s="91">
        <v>0.99820387317612636</v>
      </c>
      <c r="Q107" s="91">
        <v>1.1623412899417105</v>
      </c>
      <c r="R107" s="91">
        <v>1.0708275598909507</v>
      </c>
      <c r="S107" s="91">
        <v>1.113571427899315</v>
      </c>
      <c r="T107" s="91">
        <v>1.1143093958071517</v>
      </c>
      <c r="U107" s="91">
        <v>1.07664179183197</v>
      </c>
      <c r="V107" s="91">
        <v>1.1592155929082852</v>
      </c>
      <c r="W107" s="91">
        <v>1.0280209630435115</v>
      </c>
      <c r="X107" s="91">
        <v>1.1550888684482528</v>
      </c>
      <c r="Y107" s="91">
        <v>1.0358011073712468</v>
      </c>
      <c r="Z107" s="91">
        <v>1.088923567302942</v>
      </c>
      <c r="AA107" s="91"/>
      <c r="AB107" s="91">
        <v>2.1328235423718782</v>
      </c>
      <c r="AC107" s="91">
        <v>1.9016009025578089</v>
      </c>
      <c r="AD107" s="91">
        <v>2.0308178476679117</v>
      </c>
      <c r="AE107" s="91">
        <v>2.000687181052097</v>
      </c>
      <c r="AF107" s="91">
        <v>2.059856850845899</v>
      </c>
      <c r="AG107" s="91">
        <v>1.9569324729811572</v>
      </c>
      <c r="AH107" s="91">
        <v>2.1047840777976119</v>
      </c>
      <c r="AI107" s="91">
        <v>2.0218762834418951</v>
      </c>
      <c r="AJ107" s="91">
        <v>2.0367282965131608</v>
      </c>
      <c r="AK107" s="91">
        <v>2.0189730802350141</v>
      </c>
      <c r="AL107" s="91">
        <v>2.0597619282095048</v>
      </c>
      <c r="AM107" s="45">
        <v>2.1247505844462076</v>
      </c>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row>
    <row r="108" spans="1:131">
      <c r="A108" s="24"/>
      <c r="B108" s="24"/>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row>
  </sheetData>
  <mergeCells count="3">
    <mergeCell ref="I6:N6"/>
    <mergeCell ref="O6:P6"/>
    <mergeCell ref="R6:T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sheetPr codeName="Sheet6"/>
  <dimension ref="A1:K20"/>
  <sheetViews>
    <sheetView workbookViewId="0">
      <selection activeCell="D23" sqref="D23"/>
    </sheetView>
  </sheetViews>
  <sheetFormatPr defaultRowHeight="12.75"/>
  <cols>
    <col min="1" max="1" width="49.140625" customWidth="1"/>
    <col min="2" max="2" width="44.28515625" customWidth="1"/>
    <col min="3" max="4" width="18.42578125" customWidth="1"/>
    <col min="5" max="5" width="15.5703125" customWidth="1"/>
    <col min="6" max="6" width="40.28515625" customWidth="1"/>
    <col min="7" max="7" width="15.5703125" customWidth="1"/>
    <col min="8" max="8" width="11.140625" customWidth="1"/>
    <col min="9" max="9" width="11.85546875" customWidth="1"/>
    <col min="10" max="10" width="18" customWidth="1"/>
    <col min="11" max="11" width="11.7109375" customWidth="1"/>
    <col min="12" max="12" width="6.85546875" customWidth="1"/>
    <col min="13" max="13" width="13.140625" customWidth="1"/>
    <col min="14" max="14" width="24.42578125" customWidth="1"/>
    <col min="15" max="15" width="12" customWidth="1"/>
    <col min="16" max="16" width="9.85546875" customWidth="1"/>
    <col min="17" max="17" width="11.7109375" customWidth="1"/>
    <col min="18" max="18" width="10.28515625" customWidth="1"/>
    <col min="19" max="19" width="11.140625" customWidth="1"/>
    <col min="20" max="20" width="9.28515625" customWidth="1"/>
    <col min="21" max="21" width="12.5703125" customWidth="1"/>
    <col min="22" max="22" width="15.42578125" customWidth="1"/>
    <col min="23" max="23" width="9" customWidth="1"/>
    <col min="24" max="25" width="8.7109375" customWidth="1"/>
    <col min="26" max="27" width="13.28515625" customWidth="1"/>
    <col min="28" max="28" width="10.28515625" customWidth="1"/>
    <col min="29" max="29" width="11.7109375" customWidth="1"/>
    <col min="30" max="30" width="12.140625" customWidth="1"/>
  </cols>
  <sheetData>
    <row r="1" spans="1:11" ht="15.75">
      <c r="A1" s="51" t="s">
        <v>41</v>
      </c>
    </row>
    <row r="2" spans="1:11">
      <c r="A2" t="str">
        <f>'7PSourceSummary'!D2</f>
        <v>Water Cooler Controls</v>
      </c>
    </row>
    <row r="12" spans="1:11" ht="25.5">
      <c r="A12" s="89" t="s">
        <v>81</v>
      </c>
      <c r="B12" s="89" t="s">
        <v>82</v>
      </c>
      <c r="C12" s="89" t="s">
        <v>83</v>
      </c>
      <c r="D12" s="89" t="s">
        <v>127</v>
      </c>
      <c r="E12" s="89" t="s">
        <v>84</v>
      </c>
      <c r="F12" s="89" t="s">
        <v>111</v>
      </c>
      <c r="G12" s="89" t="s">
        <v>113</v>
      </c>
      <c r="H12" s="60" t="s">
        <v>1383</v>
      </c>
      <c r="I12" s="60" t="s">
        <v>1387</v>
      </c>
      <c r="J12" s="60"/>
      <c r="K12" s="60"/>
    </row>
    <row r="13" spans="1:11" ht="15">
      <c r="A13" t="str">
        <f>B13</f>
        <v>Timer on ES1.7 Hot &amp; Cold Water Cooler</v>
      </c>
      <c r="B13" t="s">
        <v>114</v>
      </c>
      <c r="C13" s="87">
        <f>Savings!F10</f>
        <v>262.8</v>
      </c>
      <c r="D13" s="87">
        <f>'ES 2007-2013'!$E$42</f>
        <v>6</v>
      </c>
      <c r="E13" s="85">
        <f>Cost!$C$8</f>
        <v>25.3475</v>
      </c>
      <c r="F13" s="88" t="s">
        <v>115</v>
      </c>
      <c r="G13">
        <v>0</v>
      </c>
    </row>
    <row r="14" spans="1:11" ht="15">
      <c r="A14" t="str">
        <f>B14</f>
        <v>Timer on ES Qualifying 1.7 Hot &amp; Cold Water Cooler</v>
      </c>
      <c r="B14" t="s">
        <v>116</v>
      </c>
      <c r="C14" s="87">
        <f>Savings!F12</f>
        <v>219</v>
      </c>
      <c r="D14" s="87">
        <f>'ES 2007-2013'!$E$42</f>
        <v>6</v>
      </c>
      <c r="E14" s="85">
        <f>Cost!$C$8</f>
        <v>25.3475</v>
      </c>
      <c r="F14" s="88" t="s">
        <v>115</v>
      </c>
      <c r="G14">
        <v>0</v>
      </c>
    </row>
    <row r="15" spans="1:11" ht="15">
      <c r="A15" t="str">
        <f t="shared" ref="A15:A18" si="0">B15</f>
        <v>Timer on Non-Compliant ES1.7 Water Cooler</v>
      </c>
      <c r="B15" t="s">
        <v>128</v>
      </c>
      <c r="C15" s="87">
        <f>Savings!F11</f>
        <v>416.09999999999997</v>
      </c>
      <c r="D15" s="87">
        <f>'ES 2007-2013'!$E$42</f>
        <v>6</v>
      </c>
      <c r="E15" s="85">
        <f>Cost!$C$8</f>
        <v>25.3475</v>
      </c>
      <c r="F15" s="88" t="s">
        <v>115</v>
      </c>
      <c r="G15">
        <v>0</v>
      </c>
    </row>
    <row r="16" spans="1:11" ht="15">
      <c r="A16" t="str">
        <f t="shared" si="0"/>
        <v>Timer on Stock Average Hot &amp; Cold Water Cooler</v>
      </c>
      <c r="B16" t="s">
        <v>126</v>
      </c>
      <c r="C16" s="87">
        <f>Savings!F15</f>
        <v>287.98500000000001</v>
      </c>
      <c r="D16" s="87">
        <f>'ES 2007-2013'!$E$42</f>
        <v>6</v>
      </c>
      <c r="E16" s="85">
        <f>Cost!$C$8</f>
        <v>25.3475</v>
      </c>
      <c r="F16" s="88" t="s">
        <v>115</v>
      </c>
      <c r="G16">
        <v>0</v>
      </c>
    </row>
    <row r="17" spans="1:9" ht="15">
      <c r="A17" t="str">
        <f t="shared" si="0"/>
        <v>Timer on Market Average Hot &amp; Cold Water Cooler</v>
      </c>
      <c r="B17" t="s">
        <v>125</v>
      </c>
      <c r="C17" s="87">
        <f>Savings!F16</f>
        <v>237.28649999999999</v>
      </c>
      <c r="D17" s="87">
        <f>'ES 2007-2013'!$E$42</f>
        <v>6</v>
      </c>
      <c r="E17" s="85">
        <f>Cost!$C$8</f>
        <v>25.3475</v>
      </c>
      <c r="F17" s="88" t="s">
        <v>115</v>
      </c>
      <c r="G17">
        <v>0</v>
      </c>
    </row>
    <row r="18" spans="1:9" ht="15">
      <c r="A18" s="339" t="str">
        <f t="shared" si="0"/>
        <v>Timer on ES 2.0 Hot &amp; Cold Water Cooler</v>
      </c>
      <c r="B18" s="339" t="s">
        <v>1187</v>
      </c>
      <c r="C18" s="340">
        <f>Savings!F9</f>
        <v>190.53</v>
      </c>
      <c r="D18" s="340">
        <f>'ES 2007-2013'!$E$42</f>
        <v>6</v>
      </c>
      <c r="E18" s="341">
        <f>Cost!$C$8</f>
        <v>25.3475</v>
      </c>
      <c r="F18" s="342" t="s">
        <v>115</v>
      </c>
      <c r="G18" s="339">
        <v>0</v>
      </c>
      <c r="H18" s="344">
        <f>'ES 2007-2013'!E40</f>
        <v>0.8</v>
      </c>
      <c r="I18" s="344">
        <v>1</v>
      </c>
    </row>
    <row r="19" spans="1:9" ht="15">
      <c r="A19" s="339" t="str">
        <f>B19</f>
        <v>Market Average to ES 2.0 Upgrade</v>
      </c>
      <c r="B19" s="339" t="s">
        <v>768</v>
      </c>
      <c r="C19" s="340">
        <f>Savings!F23</f>
        <v>103.47750000000003</v>
      </c>
      <c r="D19" s="340">
        <f>'ES 2007-2013'!$E$42</f>
        <v>6</v>
      </c>
      <c r="E19" s="341">
        <f>Cost!C10</f>
        <v>35</v>
      </c>
      <c r="F19" s="342" t="s">
        <v>115</v>
      </c>
      <c r="G19" s="339">
        <v>0</v>
      </c>
      <c r="H19" s="344">
        <v>1</v>
      </c>
      <c r="I19" s="344">
        <f>'ES 2007-2013'!$D$23</f>
        <v>0.5</v>
      </c>
    </row>
    <row r="20" spans="1:9" ht="15">
      <c r="A20" s="339" t="str">
        <f>B20</f>
        <v>Timer on ES 2.0 Cold Only Water Cooler</v>
      </c>
      <c r="B20" s="339" t="s">
        <v>1382</v>
      </c>
      <c r="C20" s="340">
        <f>Savings!F13</f>
        <v>35.04</v>
      </c>
      <c r="D20" s="340">
        <f>'ES 2007-2013'!$E$42</f>
        <v>6</v>
      </c>
      <c r="E20" s="341">
        <f>Cost!$C$8</f>
        <v>25.3475</v>
      </c>
      <c r="F20" s="342" t="s">
        <v>115</v>
      </c>
      <c r="G20" s="339">
        <v>0</v>
      </c>
      <c r="H20" s="343">
        <f>'ES 2007-2013'!E41</f>
        <v>0.19999999999999996</v>
      </c>
      <c r="I20" s="344">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10"/>
  <dimension ref="B7:T57"/>
  <sheetViews>
    <sheetView workbookViewId="0">
      <selection activeCell="M8" sqref="M8"/>
    </sheetView>
  </sheetViews>
  <sheetFormatPr defaultRowHeight="12.75"/>
  <cols>
    <col min="1" max="1" width="9.140625" style="61"/>
    <col min="2" max="2" width="41.85546875" style="61" customWidth="1"/>
    <col min="3" max="3" width="14.5703125" style="61" customWidth="1"/>
    <col min="4" max="4" width="11.42578125" style="61" customWidth="1"/>
    <col min="5" max="5" width="10.5703125" style="61" customWidth="1"/>
    <col min="6" max="10" width="9.140625" style="61"/>
    <col min="11" max="11" width="11.28515625" style="61" bestFit="1" customWidth="1"/>
    <col min="12" max="12" width="10" style="61" bestFit="1" customWidth="1"/>
    <col min="13" max="13" width="10" style="61" customWidth="1"/>
    <col min="14" max="14" width="9.140625" style="61"/>
    <col min="15" max="15" width="11.7109375" style="61" customWidth="1"/>
    <col min="16" max="261" width="9.140625" style="61"/>
    <col min="262" max="262" width="32.28515625" style="61" customWidth="1"/>
    <col min="263" max="263" width="14.5703125" style="61" customWidth="1"/>
    <col min="264" max="264" width="11.42578125" style="61" customWidth="1"/>
    <col min="265" max="265" width="10.5703125" style="61" customWidth="1"/>
    <col min="266" max="270" width="9.140625" style="61"/>
    <col min="271" max="271" width="11.7109375" style="61" customWidth="1"/>
    <col min="272" max="517" width="9.140625" style="61"/>
    <col min="518" max="518" width="32.28515625" style="61" customWidth="1"/>
    <col min="519" max="519" width="14.5703125" style="61" customWidth="1"/>
    <col min="520" max="520" width="11.42578125" style="61" customWidth="1"/>
    <col min="521" max="521" width="10.5703125" style="61" customWidth="1"/>
    <col min="522" max="526" width="9.140625" style="61"/>
    <col min="527" max="527" width="11.7109375" style="61" customWidth="1"/>
    <col min="528" max="773" width="9.140625" style="61"/>
    <col min="774" max="774" width="32.28515625" style="61" customWidth="1"/>
    <col min="775" max="775" width="14.5703125" style="61" customWidth="1"/>
    <col min="776" max="776" width="11.42578125" style="61" customWidth="1"/>
    <col min="777" max="777" width="10.5703125" style="61" customWidth="1"/>
    <col min="778" max="782" width="9.140625" style="61"/>
    <col min="783" max="783" width="11.7109375" style="61" customWidth="1"/>
    <col min="784" max="1029" width="9.140625" style="61"/>
    <col min="1030" max="1030" width="32.28515625" style="61" customWidth="1"/>
    <col min="1031" max="1031" width="14.5703125" style="61" customWidth="1"/>
    <col min="1032" max="1032" width="11.42578125" style="61" customWidth="1"/>
    <col min="1033" max="1033" width="10.5703125" style="61" customWidth="1"/>
    <col min="1034" max="1038" width="9.140625" style="61"/>
    <col min="1039" max="1039" width="11.7109375" style="61" customWidth="1"/>
    <col min="1040" max="1285" width="9.140625" style="61"/>
    <col min="1286" max="1286" width="32.28515625" style="61" customWidth="1"/>
    <col min="1287" max="1287" width="14.5703125" style="61" customWidth="1"/>
    <col min="1288" max="1288" width="11.42578125" style="61" customWidth="1"/>
    <col min="1289" max="1289" width="10.5703125" style="61" customWidth="1"/>
    <col min="1290" max="1294" width="9.140625" style="61"/>
    <col min="1295" max="1295" width="11.7109375" style="61" customWidth="1"/>
    <col min="1296" max="1541" width="9.140625" style="61"/>
    <col min="1542" max="1542" width="32.28515625" style="61" customWidth="1"/>
    <col min="1543" max="1543" width="14.5703125" style="61" customWidth="1"/>
    <col min="1544" max="1544" width="11.42578125" style="61" customWidth="1"/>
    <col min="1545" max="1545" width="10.5703125" style="61" customWidth="1"/>
    <col min="1546" max="1550" width="9.140625" style="61"/>
    <col min="1551" max="1551" width="11.7109375" style="61" customWidth="1"/>
    <col min="1552" max="1797" width="9.140625" style="61"/>
    <col min="1798" max="1798" width="32.28515625" style="61" customWidth="1"/>
    <col min="1799" max="1799" width="14.5703125" style="61" customWidth="1"/>
    <col min="1800" max="1800" width="11.42578125" style="61" customWidth="1"/>
    <col min="1801" max="1801" width="10.5703125" style="61" customWidth="1"/>
    <col min="1802" max="1806" width="9.140625" style="61"/>
    <col min="1807" max="1807" width="11.7109375" style="61" customWidth="1"/>
    <col min="1808" max="2053" width="9.140625" style="61"/>
    <col min="2054" max="2054" width="32.28515625" style="61" customWidth="1"/>
    <col min="2055" max="2055" width="14.5703125" style="61" customWidth="1"/>
    <col min="2056" max="2056" width="11.42578125" style="61" customWidth="1"/>
    <col min="2057" max="2057" width="10.5703125" style="61" customWidth="1"/>
    <col min="2058" max="2062" width="9.140625" style="61"/>
    <col min="2063" max="2063" width="11.7109375" style="61" customWidth="1"/>
    <col min="2064" max="2309" width="9.140625" style="61"/>
    <col min="2310" max="2310" width="32.28515625" style="61" customWidth="1"/>
    <col min="2311" max="2311" width="14.5703125" style="61" customWidth="1"/>
    <col min="2312" max="2312" width="11.42578125" style="61" customWidth="1"/>
    <col min="2313" max="2313" width="10.5703125" style="61" customWidth="1"/>
    <col min="2314" max="2318" width="9.140625" style="61"/>
    <col min="2319" max="2319" width="11.7109375" style="61" customWidth="1"/>
    <col min="2320" max="2565" width="9.140625" style="61"/>
    <col min="2566" max="2566" width="32.28515625" style="61" customWidth="1"/>
    <col min="2567" max="2567" width="14.5703125" style="61" customWidth="1"/>
    <col min="2568" max="2568" width="11.42578125" style="61" customWidth="1"/>
    <col min="2569" max="2569" width="10.5703125" style="61" customWidth="1"/>
    <col min="2570" max="2574" width="9.140625" style="61"/>
    <col min="2575" max="2575" width="11.7109375" style="61" customWidth="1"/>
    <col min="2576" max="2821" width="9.140625" style="61"/>
    <col min="2822" max="2822" width="32.28515625" style="61" customWidth="1"/>
    <col min="2823" max="2823" width="14.5703125" style="61" customWidth="1"/>
    <col min="2824" max="2824" width="11.42578125" style="61" customWidth="1"/>
    <col min="2825" max="2825" width="10.5703125" style="61" customWidth="1"/>
    <col min="2826" max="2830" width="9.140625" style="61"/>
    <col min="2831" max="2831" width="11.7109375" style="61" customWidth="1"/>
    <col min="2832" max="3077" width="9.140625" style="61"/>
    <col min="3078" max="3078" width="32.28515625" style="61" customWidth="1"/>
    <col min="3079" max="3079" width="14.5703125" style="61" customWidth="1"/>
    <col min="3080" max="3080" width="11.42578125" style="61" customWidth="1"/>
    <col min="3081" max="3081" width="10.5703125" style="61" customWidth="1"/>
    <col min="3082" max="3086" width="9.140625" style="61"/>
    <col min="3087" max="3087" width="11.7109375" style="61" customWidth="1"/>
    <col min="3088" max="3333" width="9.140625" style="61"/>
    <col min="3334" max="3334" width="32.28515625" style="61" customWidth="1"/>
    <col min="3335" max="3335" width="14.5703125" style="61" customWidth="1"/>
    <col min="3336" max="3336" width="11.42578125" style="61" customWidth="1"/>
    <col min="3337" max="3337" width="10.5703125" style="61" customWidth="1"/>
    <col min="3338" max="3342" width="9.140625" style="61"/>
    <col min="3343" max="3343" width="11.7109375" style="61" customWidth="1"/>
    <col min="3344" max="3589" width="9.140625" style="61"/>
    <col min="3590" max="3590" width="32.28515625" style="61" customWidth="1"/>
    <col min="3591" max="3591" width="14.5703125" style="61" customWidth="1"/>
    <col min="3592" max="3592" width="11.42578125" style="61" customWidth="1"/>
    <col min="3593" max="3593" width="10.5703125" style="61" customWidth="1"/>
    <col min="3594" max="3598" width="9.140625" style="61"/>
    <col min="3599" max="3599" width="11.7109375" style="61" customWidth="1"/>
    <col min="3600" max="3845" width="9.140625" style="61"/>
    <col min="3846" max="3846" width="32.28515625" style="61" customWidth="1"/>
    <col min="3847" max="3847" width="14.5703125" style="61" customWidth="1"/>
    <col min="3848" max="3848" width="11.42578125" style="61" customWidth="1"/>
    <col min="3849" max="3849" width="10.5703125" style="61" customWidth="1"/>
    <col min="3850" max="3854" width="9.140625" style="61"/>
    <col min="3855" max="3855" width="11.7109375" style="61" customWidth="1"/>
    <col min="3856" max="4101" width="9.140625" style="61"/>
    <col min="4102" max="4102" width="32.28515625" style="61" customWidth="1"/>
    <col min="4103" max="4103" width="14.5703125" style="61" customWidth="1"/>
    <col min="4104" max="4104" width="11.42578125" style="61" customWidth="1"/>
    <col min="4105" max="4105" width="10.5703125" style="61" customWidth="1"/>
    <col min="4106" max="4110" width="9.140625" style="61"/>
    <col min="4111" max="4111" width="11.7109375" style="61" customWidth="1"/>
    <col min="4112" max="4357" width="9.140625" style="61"/>
    <col min="4358" max="4358" width="32.28515625" style="61" customWidth="1"/>
    <col min="4359" max="4359" width="14.5703125" style="61" customWidth="1"/>
    <col min="4360" max="4360" width="11.42578125" style="61" customWidth="1"/>
    <col min="4361" max="4361" width="10.5703125" style="61" customWidth="1"/>
    <col min="4362" max="4366" width="9.140625" style="61"/>
    <col min="4367" max="4367" width="11.7109375" style="61" customWidth="1"/>
    <col min="4368" max="4613" width="9.140625" style="61"/>
    <col min="4614" max="4614" width="32.28515625" style="61" customWidth="1"/>
    <col min="4615" max="4615" width="14.5703125" style="61" customWidth="1"/>
    <col min="4616" max="4616" width="11.42578125" style="61" customWidth="1"/>
    <col min="4617" max="4617" width="10.5703125" style="61" customWidth="1"/>
    <col min="4618" max="4622" width="9.140625" style="61"/>
    <col min="4623" max="4623" width="11.7109375" style="61" customWidth="1"/>
    <col min="4624" max="4869" width="9.140625" style="61"/>
    <col min="4870" max="4870" width="32.28515625" style="61" customWidth="1"/>
    <col min="4871" max="4871" width="14.5703125" style="61" customWidth="1"/>
    <col min="4872" max="4872" width="11.42578125" style="61" customWidth="1"/>
    <col min="4873" max="4873" width="10.5703125" style="61" customWidth="1"/>
    <col min="4874" max="4878" width="9.140625" style="61"/>
    <col min="4879" max="4879" width="11.7109375" style="61" customWidth="1"/>
    <col min="4880" max="5125" width="9.140625" style="61"/>
    <col min="5126" max="5126" width="32.28515625" style="61" customWidth="1"/>
    <col min="5127" max="5127" width="14.5703125" style="61" customWidth="1"/>
    <col min="5128" max="5128" width="11.42578125" style="61" customWidth="1"/>
    <col min="5129" max="5129" width="10.5703125" style="61" customWidth="1"/>
    <col min="5130" max="5134" width="9.140625" style="61"/>
    <col min="5135" max="5135" width="11.7109375" style="61" customWidth="1"/>
    <col min="5136" max="5381" width="9.140625" style="61"/>
    <col min="5382" max="5382" width="32.28515625" style="61" customWidth="1"/>
    <col min="5383" max="5383" width="14.5703125" style="61" customWidth="1"/>
    <col min="5384" max="5384" width="11.42578125" style="61" customWidth="1"/>
    <col min="5385" max="5385" width="10.5703125" style="61" customWidth="1"/>
    <col min="5386" max="5390" width="9.140625" style="61"/>
    <col min="5391" max="5391" width="11.7109375" style="61" customWidth="1"/>
    <col min="5392" max="5637" width="9.140625" style="61"/>
    <col min="5638" max="5638" width="32.28515625" style="61" customWidth="1"/>
    <col min="5639" max="5639" width="14.5703125" style="61" customWidth="1"/>
    <col min="5640" max="5640" width="11.42578125" style="61" customWidth="1"/>
    <col min="5641" max="5641" width="10.5703125" style="61" customWidth="1"/>
    <col min="5642" max="5646" width="9.140625" style="61"/>
    <col min="5647" max="5647" width="11.7109375" style="61" customWidth="1"/>
    <col min="5648" max="5893" width="9.140625" style="61"/>
    <col min="5894" max="5894" width="32.28515625" style="61" customWidth="1"/>
    <col min="5895" max="5895" width="14.5703125" style="61" customWidth="1"/>
    <col min="5896" max="5896" width="11.42578125" style="61" customWidth="1"/>
    <col min="5897" max="5897" width="10.5703125" style="61" customWidth="1"/>
    <col min="5898" max="5902" width="9.140625" style="61"/>
    <col min="5903" max="5903" width="11.7109375" style="61" customWidth="1"/>
    <col min="5904" max="6149" width="9.140625" style="61"/>
    <col min="6150" max="6150" width="32.28515625" style="61" customWidth="1"/>
    <col min="6151" max="6151" width="14.5703125" style="61" customWidth="1"/>
    <col min="6152" max="6152" width="11.42578125" style="61" customWidth="1"/>
    <col min="6153" max="6153" width="10.5703125" style="61" customWidth="1"/>
    <col min="6154" max="6158" width="9.140625" style="61"/>
    <col min="6159" max="6159" width="11.7109375" style="61" customWidth="1"/>
    <col min="6160" max="6405" width="9.140625" style="61"/>
    <col min="6406" max="6406" width="32.28515625" style="61" customWidth="1"/>
    <col min="6407" max="6407" width="14.5703125" style="61" customWidth="1"/>
    <col min="6408" max="6408" width="11.42578125" style="61" customWidth="1"/>
    <col min="6409" max="6409" width="10.5703125" style="61" customWidth="1"/>
    <col min="6410" max="6414" width="9.140625" style="61"/>
    <col min="6415" max="6415" width="11.7109375" style="61" customWidth="1"/>
    <col min="6416" max="6661" width="9.140625" style="61"/>
    <col min="6662" max="6662" width="32.28515625" style="61" customWidth="1"/>
    <col min="6663" max="6663" width="14.5703125" style="61" customWidth="1"/>
    <col min="6664" max="6664" width="11.42578125" style="61" customWidth="1"/>
    <col min="6665" max="6665" width="10.5703125" style="61" customWidth="1"/>
    <col min="6666" max="6670" width="9.140625" style="61"/>
    <col min="6671" max="6671" width="11.7109375" style="61" customWidth="1"/>
    <col min="6672" max="6917" width="9.140625" style="61"/>
    <col min="6918" max="6918" width="32.28515625" style="61" customWidth="1"/>
    <col min="6919" max="6919" width="14.5703125" style="61" customWidth="1"/>
    <col min="6920" max="6920" width="11.42578125" style="61" customWidth="1"/>
    <col min="6921" max="6921" width="10.5703125" style="61" customWidth="1"/>
    <col min="6922" max="6926" width="9.140625" style="61"/>
    <col min="6927" max="6927" width="11.7109375" style="61" customWidth="1"/>
    <col min="6928" max="7173" width="9.140625" style="61"/>
    <col min="7174" max="7174" width="32.28515625" style="61" customWidth="1"/>
    <col min="7175" max="7175" width="14.5703125" style="61" customWidth="1"/>
    <col min="7176" max="7176" width="11.42578125" style="61" customWidth="1"/>
    <col min="7177" max="7177" width="10.5703125" style="61" customWidth="1"/>
    <col min="7178" max="7182" width="9.140625" style="61"/>
    <col min="7183" max="7183" width="11.7109375" style="61" customWidth="1"/>
    <col min="7184" max="7429" width="9.140625" style="61"/>
    <col min="7430" max="7430" width="32.28515625" style="61" customWidth="1"/>
    <col min="7431" max="7431" width="14.5703125" style="61" customWidth="1"/>
    <col min="7432" max="7432" width="11.42578125" style="61" customWidth="1"/>
    <col min="7433" max="7433" width="10.5703125" style="61" customWidth="1"/>
    <col min="7434" max="7438" width="9.140625" style="61"/>
    <col min="7439" max="7439" width="11.7109375" style="61" customWidth="1"/>
    <col min="7440" max="7685" width="9.140625" style="61"/>
    <col min="7686" max="7686" width="32.28515625" style="61" customWidth="1"/>
    <col min="7687" max="7687" width="14.5703125" style="61" customWidth="1"/>
    <col min="7688" max="7688" width="11.42578125" style="61" customWidth="1"/>
    <col min="7689" max="7689" width="10.5703125" style="61" customWidth="1"/>
    <col min="7690" max="7694" width="9.140625" style="61"/>
    <col min="7695" max="7695" width="11.7109375" style="61" customWidth="1"/>
    <col min="7696" max="7941" width="9.140625" style="61"/>
    <col min="7942" max="7942" width="32.28515625" style="61" customWidth="1"/>
    <col min="7943" max="7943" width="14.5703125" style="61" customWidth="1"/>
    <col min="7944" max="7944" width="11.42578125" style="61" customWidth="1"/>
    <col min="7945" max="7945" width="10.5703125" style="61" customWidth="1"/>
    <col min="7946" max="7950" width="9.140625" style="61"/>
    <col min="7951" max="7951" width="11.7109375" style="61" customWidth="1"/>
    <col min="7952" max="8197" width="9.140625" style="61"/>
    <col min="8198" max="8198" width="32.28515625" style="61" customWidth="1"/>
    <col min="8199" max="8199" width="14.5703125" style="61" customWidth="1"/>
    <col min="8200" max="8200" width="11.42578125" style="61" customWidth="1"/>
    <col min="8201" max="8201" width="10.5703125" style="61" customWidth="1"/>
    <col min="8202" max="8206" width="9.140625" style="61"/>
    <col min="8207" max="8207" width="11.7109375" style="61" customWidth="1"/>
    <col min="8208" max="8453" width="9.140625" style="61"/>
    <col min="8454" max="8454" width="32.28515625" style="61" customWidth="1"/>
    <col min="8455" max="8455" width="14.5703125" style="61" customWidth="1"/>
    <col min="8456" max="8456" width="11.42578125" style="61" customWidth="1"/>
    <col min="8457" max="8457" width="10.5703125" style="61" customWidth="1"/>
    <col min="8458" max="8462" width="9.140625" style="61"/>
    <col min="8463" max="8463" width="11.7109375" style="61" customWidth="1"/>
    <col min="8464" max="8709" width="9.140625" style="61"/>
    <col min="8710" max="8710" width="32.28515625" style="61" customWidth="1"/>
    <col min="8711" max="8711" width="14.5703125" style="61" customWidth="1"/>
    <col min="8712" max="8712" width="11.42578125" style="61" customWidth="1"/>
    <col min="8713" max="8713" width="10.5703125" style="61" customWidth="1"/>
    <col min="8714" max="8718" width="9.140625" style="61"/>
    <col min="8719" max="8719" width="11.7109375" style="61" customWidth="1"/>
    <col min="8720" max="8965" width="9.140625" style="61"/>
    <col min="8966" max="8966" width="32.28515625" style="61" customWidth="1"/>
    <col min="8967" max="8967" width="14.5703125" style="61" customWidth="1"/>
    <col min="8968" max="8968" width="11.42578125" style="61" customWidth="1"/>
    <col min="8969" max="8969" width="10.5703125" style="61" customWidth="1"/>
    <col min="8970" max="8974" width="9.140625" style="61"/>
    <col min="8975" max="8975" width="11.7109375" style="61" customWidth="1"/>
    <col min="8976" max="9221" width="9.140625" style="61"/>
    <col min="9222" max="9222" width="32.28515625" style="61" customWidth="1"/>
    <col min="9223" max="9223" width="14.5703125" style="61" customWidth="1"/>
    <col min="9224" max="9224" width="11.42578125" style="61" customWidth="1"/>
    <col min="9225" max="9225" width="10.5703125" style="61" customWidth="1"/>
    <col min="9226" max="9230" width="9.140625" style="61"/>
    <col min="9231" max="9231" width="11.7109375" style="61" customWidth="1"/>
    <col min="9232" max="9477" width="9.140625" style="61"/>
    <col min="9478" max="9478" width="32.28515625" style="61" customWidth="1"/>
    <col min="9479" max="9479" width="14.5703125" style="61" customWidth="1"/>
    <col min="9480" max="9480" width="11.42578125" style="61" customWidth="1"/>
    <col min="9481" max="9481" width="10.5703125" style="61" customWidth="1"/>
    <col min="9482" max="9486" width="9.140625" style="61"/>
    <col min="9487" max="9487" width="11.7109375" style="61" customWidth="1"/>
    <col min="9488" max="9733" width="9.140625" style="61"/>
    <col min="9734" max="9734" width="32.28515625" style="61" customWidth="1"/>
    <col min="9735" max="9735" width="14.5703125" style="61" customWidth="1"/>
    <col min="9736" max="9736" width="11.42578125" style="61" customWidth="1"/>
    <col min="9737" max="9737" width="10.5703125" style="61" customWidth="1"/>
    <col min="9738" max="9742" width="9.140625" style="61"/>
    <col min="9743" max="9743" width="11.7109375" style="61" customWidth="1"/>
    <col min="9744" max="9989" width="9.140625" style="61"/>
    <col min="9990" max="9990" width="32.28515625" style="61" customWidth="1"/>
    <col min="9991" max="9991" width="14.5703125" style="61" customWidth="1"/>
    <col min="9992" max="9992" width="11.42578125" style="61" customWidth="1"/>
    <col min="9993" max="9993" width="10.5703125" style="61" customWidth="1"/>
    <col min="9994" max="9998" width="9.140625" style="61"/>
    <col min="9999" max="9999" width="11.7109375" style="61" customWidth="1"/>
    <col min="10000" max="10245" width="9.140625" style="61"/>
    <col min="10246" max="10246" width="32.28515625" style="61" customWidth="1"/>
    <col min="10247" max="10247" width="14.5703125" style="61" customWidth="1"/>
    <col min="10248" max="10248" width="11.42578125" style="61" customWidth="1"/>
    <col min="10249" max="10249" width="10.5703125" style="61" customWidth="1"/>
    <col min="10250" max="10254" width="9.140625" style="61"/>
    <col min="10255" max="10255" width="11.7109375" style="61" customWidth="1"/>
    <col min="10256" max="10501" width="9.140625" style="61"/>
    <col min="10502" max="10502" width="32.28515625" style="61" customWidth="1"/>
    <col min="10503" max="10503" width="14.5703125" style="61" customWidth="1"/>
    <col min="10504" max="10504" width="11.42578125" style="61" customWidth="1"/>
    <col min="10505" max="10505" width="10.5703125" style="61" customWidth="1"/>
    <col min="10506" max="10510" width="9.140625" style="61"/>
    <col min="10511" max="10511" width="11.7109375" style="61" customWidth="1"/>
    <col min="10512" max="10757" width="9.140625" style="61"/>
    <col min="10758" max="10758" width="32.28515625" style="61" customWidth="1"/>
    <col min="10759" max="10759" width="14.5703125" style="61" customWidth="1"/>
    <col min="10760" max="10760" width="11.42578125" style="61" customWidth="1"/>
    <col min="10761" max="10761" width="10.5703125" style="61" customWidth="1"/>
    <col min="10762" max="10766" width="9.140625" style="61"/>
    <col min="10767" max="10767" width="11.7109375" style="61" customWidth="1"/>
    <col min="10768" max="11013" width="9.140625" style="61"/>
    <col min="11014" max="11014" width="32.28515625" style="61" customWidth="1"/>
    <col min="11015" max="11015" width="14.5703125" style="61" customWidth="1"/>
    <col min="11016" max="11016" width="11.42578125" style="61" customWidth="1"/>
    <col min="11017" max="11017" width="10.5703125" style="61" customWidth="1"/>
    <col min="11018" max="11022" width="9.140625" style="61"/>
    <col min="11023" max="11023" width="11.7109375" style="61" customWidth="1"/>
    <col min="11024" max="11269" width="9.140625" style="61"/>
    <col min="11270" max="11270" width="32.28515625" style="61" customWidth="1"/>
    <col min="11271" max="11271" width="14.5703125" style="61" customWidth="1"/>
    <col min="11272" max="11272" width="11.42578125" style="61" customWidth="1"/>
    <col min="11273" max="11273" width="10.5703125" style="61" customWidth="1"/>
    <col min="11274" max="11278" width="9.140625" style="61"/>
    <col min="11279" max="11279" width="11.7109375" style="61" customWidth="1"/>
    <col min="11280" max="11525" width="9.140625" style="61"/>
    <col min="11526" max="11526" width="32.28515625" style="61" customWidth="1"/>
    <col min="11527" max="11527" width="14.5703125" style="61" customWidth="1"/>
    <col min="11528" max="11528" width="11.42578125" style="61" customWidth="1"/>
    <col min="11529" max="11529" width="10.5703125" style="61" customWidth="1"/>
    <col min="11530" max="11534" width="9.140625" style="61"/>
    <col min="11535" max="11535" width="11.7109375" style="61" customWidth="1"/>
    <col min="11536" max="11781" width="9.140625" style="61"/>
    <col min="11782" max="11782" width="32.28515625" style="61" customWidth="1"/>
    <col min="11783" max="11783" width="14.5703125" style="61" customWidth="1"/>
    <col min="11784" max="11784" width="11.42578125" style="61" customWidth="1"/>
    <col min="11785" max="11785" width="10.5703125" style="61" customWidth="1"/>
    <col min="11786" max="11790" width="9.140625" style="61"/>
    <col min="11791" max="11791" width="11.7109375" style="61" customWidth="1"/>
    <col min="11792" max="12037" width="9.140625" style="61"/>
    <col min="12038" max="12038" width="32.28515625" style="61" customWidth="1"/>
    <col min="12039" max="12039" width="14.5703125" style="61" customWidth="1"/>
    <col min="12040" max="12040" width="11.42578125" style="61" customWidth="1"/>
    <col min="12041" max="12041" width="10.5703125" style="61" customWidth="1"/>
    <col min="12042" max="12046" width="9.140625" style="61"/>
    <col min="12047" max="12047" width="11.7109375" style="61" customWidth="1"/>
    <col min="12048" max="12293" width="9.140625" style="61"/>
    <col min="12294" max="12294" width="32.28515625" style="61" customWidth="1"/>
    <col min="12295" max="12295" width="14.5703125" style="61" customWidth="1"/>
    <col min="12296" max="12296" width="11.42578125" style="61" customWidth="1"/>
    <col min="12297" max="12297" width="10.5703125" style="61" customWidth="1"/>
    <col min="12298" max="12302" width="9.140625" style="61"/>
    <col min="12303" max="12303" width="11.7109375" style="61" customWidth="1"/>
    <col min="12304" max="12549" width="9.140625" style="61"/>
    <col min="12550" max="12550" width="32.28515625" style="61" customWidth="1"/>
    <col min="12551" max="12551" width="14.5703125" style="61" customWidth="1"/>
    <col min="12552" max="12552" width="11.42578125" style="61" customWidth="1"/>
    <col min="12553" max="12553" width="10.5703125" style="61" customWidth="1"/>
    <col min="12554" max="12558" width="9.140625" style="61"/>
    <col min="12559" max="12559" width="11.7109375" style="61" customWidth="1"/>
    <col min="12560" max="12805" width="9.140625" style="61"/>
    <col min="12806" max="12806" width="32.28515625" style="61" customWidth="1"/>
    <col min="12807" max="12807" width="14.5703125" style="61" customWidth="1"/>
    <col min="12808" max="12808" width="11.42578125" style="61" customWidth="1"/>
    <col min="12809" max="12809" width="10.5703125" style="61" customWidth="1"/>
    <col min="12810" max="12814" width="9.140625" style="61"/>
    <col min="12815" max="12815" width="11.7109375" style="61" customWidth="1"/>
    <col min="12816" max="13061" width="9.140625" style="61"/>
    <col min="13062" max="13062" width="32.28515625" style="61" customWidth="1"/>
    <col min="13063" max="13063" width="14.5703125" style="61" customWidth="1"/>
    <col min="13064" max="13064" width="11.42578125" style="61" customWidth="1"/>
    <col min="13065" max="13065" width="10.5703125" style="61" customWidth="1"/>
    <col min="13066" max="13070" width="9.140625" style="61"/>
    <col min="13071" max="13071" width="11.7109375" style="61" customWidth="1"/>
    <col min="13072" max="13317" width="9.140625" style="61"/>
    <col min="13318" max="13318" width="32.28515625" style="61" customWidth="1"/>
    <col min="13319" max="13319" width="14.5703125" style="61" customWidth="1"/>
    <col min="13320" max="13320" width="11.42578125" style="61" customWidth="1"/>
    <col min="13321" max="13321" width="10.5703125" style="61" customWidth="1"/>
    <col min="13322" max="13326" width="9.140625" style="61"/>
    <col min="13327" max="13327" width="11.7109375" style="61" customWidth="1"/>
    <col min="13328" max="13573" width="9.140625" style="61"/>
    <col min="13574" max="13574" width="32.28515625" style="61" customWidth="1"/>
    <col min="13575" max="13575" width="14.5703125" style="61" customWidth="1"/>
    <col min="13576" max="13576" width="11.42578125" style="61" customWidth="1"/>
    <col min="13577" max="13577" width="10.5703125" style="61" customWidth="1"/>
    <col min="13578" max="13582" width="9.140625" style="61"/>
    <col min="13583" max="13583" width="11.7109375" style="61" customWidth="1"/>
    <col min="13584" max="13829" width="9.140625" style="61"/>
    <col min="13830" max="13830" width="32.28515625" style="61" customWidth="1"/>
    <col min="13831" max="13831" width="14.5703125" style="61" customWidth="1"/>
    <col min="13832" max="13832" width="11.42578125" style="61" customWidth="1"/>
    <col min="13833" max="13833" width="10.5703125" style="61" customWidth="1"/>
    <col min="13834" max="13838" width="9.140625" style="61"/>
    <col min="13839" max="13839" width="11.7109375" style="61" customWidth="1"/>
    <col min="13840" max="14085" width="9.140625" style="61"/>
    <col min="14086" max="14086" width="32.28515625" style="61" customWidth="1"/>
    <col min="14087" max="14087" width="14.5703125" style="61" customWidth="1"/>
    <col min="14088" max="14088" width="11.42578125" style="61" customWidth="1"/>
    <col min="14089" max="14089" width="10.5703125" style="61" customWidth="1"/>
    <col min="14090" max="14094" width="9.140625" style="61"/>
    <col min="14095" max="14095" width="11.7109375" style="61" customWidth="1"/>
    <col min="14096" max="14341" width="9.140625" style="61"/>
    <col min="14342" max="14342" width="32.28515625" style="61" customWidth="1"/>
    <col min="14343" max="14343" width="14.5703125" style="61" customWidth="1"/>
    <col min="14344" max="14344" width="11.42578125" style="61" customWidth="1"/>
    <col min="14345" max="14345" width="10.5703125" style="61" customWidth="1"/>
    <col min="14346" max="14350" width="9.140625" style="61"/>
    <col min="14351" max="14351" width="11.7109375" style="61" customWidth="1"/>
    <col min="14352" max="14597" width="9.140625" style="61"/>
    <col min="14598" max="14598" width="32.28515625" style="61" customWidth="1"/>
    <col min="14599" max="14599" width="14.5703125" style="61" customWidth="1"/>
    <col min="14600" max="14600" width="11.42578125" style="61" customWidth="1"/>
    <col min="14601" max="14601" width="10.5703125" style="61" customWidth="1"/>
    <col min="14602" max="14606" width="9.140625" style="61"/>
    <col min="14607" max="14607" width="11.7109375" style="61" customWidth="1"/>
    <col min="14608" max="14853" width="9.140625" style="61"/>
    <col min="14854" max="14854" width="32.28515625" style="61" customWidth="1"/>
    <col min="14855" max="14855" width="14.5703125" style="61" customWidth="1"/>
    <col min="14856" max="14856" width="11.42578125" style="61" customWidth="1"/>
    <col min="14857" max="14857" width="10.5703125" style="61" customWidth="1"/>
    <col min="14858" max="14862" width="9.140625" style="61"/>
    <col min="14863" max="14863" width="11.7109375" style="61" customWidth="1"/>
    <col min="14864" max="15109" width="9.140625" style="61"/>
    <col min="15110" max="15110" width="32.28515625" style="61" customWidth="1"/>
    <col min="15111" max="15111" width="14.5703125" style="61" customWidth="1"/>
    <col min="15112" max="15112" width="11.42578125" style="61" customWidth="1"/>
    <col min="15113" max="15113" width="10.5703125" style="61" customWidth="1"/>
    <col min="15114" max="15118" width="9.140625" style="61"/>
    <col min="15119" max="15119" width="11.7109375" style="61" customWidth="1"/>
    <col min="15120" max="15365" width="9.140625" style="61"/>
    <col min="15366" max="15366" width="32.28515625" style="61" customWidth="1"/>
    <col min="15367" max="15367" width="14.5703125" style="61" customWidth="1"/>
    <col min="15368" max="15368" width="11.42578125" style="61" customWidth="1"/>
    <col min="15369" max="15369" width="10.5703125" style="61" customWidth="1"/>
    <col min="15370" max="15374" width="9.140625" style="61"/>
    <col min="15375" max="15375" width="11.7109375" style="61" customWidth="1"/>
    <col min="15376" max="15621" width="9.140625" style="61"/>
    <col min="15622" max="15622" width="32.28515625" style="61" customWidth="1"/>
    <col min="15623" max="15623" width="14.5703125" style="61" customWidth="1"/>
    <col min="15624" max="15624" width="11.42578125" style="61" customWidth="1"/>
    <col min="15625" max="15625" width="10.5703125" style="61" customWidth="1"/>
    <col min="15626" max="15630" width="9.140625" style="61"/>
    <col min="15631" max="15631" width="11.7109375" style="61" customWidth="1"/>
    <col min="15632" max="15877" width="9.140625" style="61"/>
    <col min="15878" max="15878" width="32.28515625" style="61" customWidth="1"/>
    <col min="15879" max="15879" width="14.5703125" style="61" customWidth="1"/>
    <col min="15880" max="15880" width="11.42578125" style="61" customWidth="1"/>
    <col min="15881" max="15881" width="10.5703125" style="61" customWidth="1"/>
    <col min="15882" max="15886" width="9.140625" style="61"/>
    <col min="15887" max="15887" width="11.7109375" style="61" customWidth="1"/>
    <col min="15888" max="16133" width="9.140625" style="61"/>
    <col min="16134" max="16134" width="32.28515625" style="61" customWidth="1"/>
    <col min="16135" max="16135" width="14.5703125" style="61" customWidth="1"/>
    <col min="16136" max="16136" width="11.42578125" style="61" customWidth="1"/>
    <col min="16137" max="16137" width="10.5703125" style="61" customWidth="1"/>
    <col min="16138" max="16142" width="9.140625" style="61"/>
    <col min="16143" max="16143" width="11.7109375" style="61" customWidth="1"/>
    <col min="16144" max="16384" width="9.140625" style="61"/>
  </cols>
  <sheetData>
    <row r="7" spans="2:20" ht="24.75" customHeight="1">
      <c r="C7" s="371" t="s">
        <v>759</v>
      </c>
      <c r="D7" s="371"/>
      <c r="E7" s="371"/>
      <c r="F7" s="371"/>
      <c r="G7" s="371"/>
      <c r="H7" s="118"/>
      <c r="I7" s="75" t="s">
        <v>765</v>
      </c>
      <c r="J7" s="75"/>
      <c r="K7" s="75"/>
      <c r="L7" s="75"/>
      <c r="M7" s="120">
        <f>'ES 2007-2013'!D31</f>
        <v>400000</v>
      </c>
      <c r="O7" s="372" t="s">
        <v>85</v>
      </c>
      <c r="P7" s="372"/>
      <c r="Q7" s="372"/>
      <c r="R7" s="372"/>
      <c r="S7" s="372"/>
      <c r="T7" s="75"/>
    </row>
    <row r="8" spans="2:20" ht="60" customHeight="1">
      <c r="C8" s="76" t="s">
        <v>758</v>
      </c>
      <c r="D8" s="76" t="s">
        <v>757</v>
      </c>
      <c r="E8" s="76" t="s">
        <v>86</v>
      </c>
      <c r="F8" s="76" t="s">
        <v>87</v>
      </c>
      <c r="G8" s="76" t="s">
        <v>88</v>
      </c>
      <c r="H8" s="119"/>
      <c r="I8" s="76" t="s">
        <v>760</v>
      </c>
      <c r="J8" s="76" t="s">
        <v>762</v>
      </c>
      <c r="K8" s="76" t="s">
        <v>761</v>
      </c>
      <c r="L8" s="76" t="s">
        <v>763</v>
      </c>
      <c r="M8" s="76" t="s">
        <v>764</v>
      </c>
      <c r="O8" s="76" t="s">
        <v>89</v>
      </c>
      <c r="P8" s="76" t="s">
        <v>90</v>
      </c>
      <c r="Q8" s="76" t="s">
        <v>91</v>
      </c>
      <c r="R8" s="76" t="s">
        <v>92</v>
      </c>
      <c r="S8" s="76" t="s">
        <v>93</v>
      </c>
      <c r="T8" s="76" t="s">
        <v>94</v>
      </c>
    </row>
    <row r="9" spans="2:20">
      <c r="B9" s="75" t="s">
        <v>117</v>
      </c>
      <c r="C9" s="77">
        <v>0.87</v>
      </c>
      <c r="D9" s="78">
        <f>C9*(1-$S$17)</f>
        <v>0.34800000000000003</v>
      </c>
      <c r="E9" s="79">
        <f>C9-D9</f>
        <v>0.52200000000000002</v>
      </c>
      <c r="F9" s="72">
        <f>E9*365</f>
        <v>190.53</v>
      </c>
      <c r="G9" s="80">
        <f>C9*365</f>
        <v>317.55</v>
      </c>
      <c r="H9" s="80"/>
      <c r="I9" s="80"/>
      <c r="J9" s="80"/>
      <c r="O9" s="61">
        <v>5</v>
      </c>
      <c r="P9" s="61">
        <v>10</v>
      </c>
      <c r="Q9" s="61">
        <f>O9*P9</f>
        <v>50</v>
      </c>
      <c r="R9" s="61">
        <f>168-Q9</f>
        <v>118</v>
      </c>
      <c r="S9" s="73">
        <f>R9/168</f>
        <v>0.70238095238095233</v>
      </c>
      <c r="T9" s="81"/>
    </row>
    <row r="10" spans="2:20">
      <c r="B10" s="75" t="s">
        <v>95</v>
      </c>
      <c r="C10" s="77">
        <v>1.2</v>
      </c>
      <c r="D10" s="78">
        <f>C10*(1-$S$17)</f>
        <v>0.48</v>
      </c>
      <c r="E10" s="79">
        <f t="shared" ref="E10:E13" si="0">C10-D10</f>
        <v>0.72</v>
      </c>
      <c r="F10" s="72">
        <f t="shared" ref="F10:F13" si="1">E10*365</f>
        <v>262.8</v>
      </c>
      <c r="G10" s="80">
        <f t="shared" ref="G10:G13" si="2">C10*365</f>
        <v>438</v>
      </c>
      <c r="H10" s="80"/>
      <c r="I10" s="80"/>
      <c r="J10" s="80"/>
      <c r="O10" s="61">
        <v>5</v>
      </c>
      <c r="P10" s="61">
        <v>12</v>
      </c>
      <c r="Q10" s="61">
        <f>O10*P10</f>
        <v>60</v>
      </c>
      <c r="R10" s="61">
        <f>168-Q10</f>
        <v>108</v>
      </c>
      <c r="S10" s="73">
        <f>R10/168</f>
        <v>0.6428571428571429</v>
      </c>
      <c r="T10" s="81">
        <v>0.4</v>
      </c>
    </row>
    <row r="11" spans="2:20">
      <c r="B11" s="75" t="s">
        <v>118</v>
      </c>
      <c r="C11" s="77">
        <v>1.9</v>
      </c>
      <c r="D11" s="78">
        <f>C11*(1-$S$17)</f>
        <v>0.76</v>
      </c>
      <c r="E11" s="79">
        <f t="shared" si="0"/>
        <v>1.1399999999999999</v>
      </c>
      <c r="F11" s="72">
        <f t="shared" si="1"/>
        <v>416.09999999999997</v>
      </c>
      <c r="G11" s="80">
        <f t="shared" si="2"/>
        <v>693.5</v>
      </c>
      <c r="H11" s="80"/>
      <c r="I11" s="80"/>
      <c r="J11" s="80"/>
      <c r="O11" s="61">
        <v>7</v>
      </c>
      <c r="P11" s="61">
        <v>10</v>
      </c>
      <c r="Q11" s="61">
        <f>O11*P11</f>
        <v>70</v>
      </c>
      <c r="R11" s="61">
        <f>168-Q11</f>
        <v>98</v>
      </c>
      <c r="S11" s="73">
        <f>R11/168</f>
        <v>0.58333333333333337</v>
      </c>
      <c r="T11" s="81"/>
    </row>
    <row r="12" spans="2:20">
      <c r="B12" s="75" t="s">
        <v>119</v>
      </c>
      <c r="C12" s="77">
        <v>1</v>
      </c>
      <c r="D12" s="78">
        <f>C12*(1-$S$17)</f>
        <v>0.4</v>
      </c>
      <c r="E12" s="79">
        <f t="shared" ref="E12" si="3">C12-D12</f>
        <v>0.6</v>
      </c>
      <c r="F12" s="72">
        <f t="shared" ref="F12" si="4">E12*365</f>
        <v>219</v>
      </c>
      <c r="G12" s="80">
        <f t="shared" ref="G12" si="5">C12*365</f>
        <v>365</v>
      </c>
      <c r="H12" s="80"/>
      <c r="I12" s="80"/>
      <c r="J12" s="80"/>
      <c r="O12" s="61">
        <v>7</v>
      </c>
      <c r="P12" s="61">
        <v>12</v>
      </c>
      <c r="Q12" s="61">
        <f>O12*P12</f>
        <v>84</v>
      </c>
      <c r="R12" s="61">
        <f>168-Q12</f>
        <v>84</v>
      </c>
      <c r="S12" s="73">
        <f>R12/168</f>
        <v>0.5</v>
      </c>
      <c r="T12" s="81">
        <v>0.6</v>
      </c>
    </row>
    <row r="13" spans="2:20">
      <c r="B13" s="75" t="s">
        <v>1381</v>
      </c>
      <c r="C13" s="82">
        <v>0.16</v>
      </c>
      <c r="D13" s="78">
        <f>C13*(1-$S$17)</f>
        <v>6.4000000000000001E-2</v>
      </c>
      <c r="E13" s="79">
        <f t="shared" si="0"/>
        <v>9.6000000000000002E-2</v>
      </c>
      <c r="F13" s="72">
        <f t="shared" si="1"/>
        <v>35.04</v>
      </c>
      <c r="G13" s="80">
        <f t="shared" si="2"/>
        <v>58.4</v>
      </c>
      <c r="H13" s="80"/>
      <c r="I13" s="80"/>
      <c r="J13" s="80"/>
    </row>
    <row r="14" spans="2:20">
      <c r="B14" s="75"/>
      <c r="C14" s="82"/>
      <c r="D14" s="78"/>
      <c r="E14" s="79"/>
      <c r="F14" s="72"/>
      <c r="G14" s="80"/>
      <c r="H14" s="80"/>
      <c r="I14" s="80"/>
      <c r="J14" s="80"/>
    </row>
    <row r="15" spans="2:20">
      <c r="B15" s="75" t="s">
        <v>123</v>
      </c>
      <c r="C15" s="82"/>
      <c r="D15" s="78"/>
      <c r="E15" s="79"/>
      <c r="F15" s="72">
        <f>C34</f>
        <v>287.98500000000001</v>
      </c>
      <c r="G15" s="80">
        <f>F15/$S$17</f>
        <v>479.97500000000002</v>
      </c>
      <c r="H15" s="80"/>
      <c r="I15" s="80">
        <f>G15</f>
        <v>479.97500000000002</v>
      </c>
      <c r="J15" s="80">
        <v>100</v>
      </c>
      <c r="K15" s="80">
        <f>SUM(I15:J15)</f>
        <v>579.97500000000002</v>
      </c>
      <c r="L15" s="80">
        <f>(K15*222000)/8760/1000</f>
        <v>14.697996575342465</v>
      </c>
      <c r="M15" s="80">
        <f>((F15)*222000)/8760/1000</f>
        <v>7.2982500000000003</v>
      </c>
    </row>
    <row r="16" spans="2:20">
      <c r="B16" s="75" t="s">
        <v>124</v>
      </c>
      <c r="C16" s="82"/>
      <c r="D16" s="78"/>
      <c r="E16" s="79"/>
      <c r="F16" s="72">
        <f>D34</f>
        <v>237.28649999999999</v>
      </c>
      <c r="G16" s="80">
        <f>F16/$S$17</f>
        <v>395.47750000000002</v>
      </c>
      <c r="H16" s="80"/>
      <c r="I16" s="80">
        <f>G16</f>
        <v>395.47750000000002</v>
      </c>
      <c r="J16" s="80">
        <v>100</v>
      </c>
      <c r="K16" s="80">
        <f>SUM(I16:J16)</f>
        <v>495.47750000000002</v>
      </c>
      <c r="L16" s="80">
        <f>(K16*222000)/8760/1000</f>
        <v>12.556621575342465</v>
      </c>
      <c r="M16" s="80">
        <f>((F16)*222000)/8760/1000</f>
        <v>6.0134249999999998</v>
      </c>
      <c r="S16" s="73">
        <f>SUMPRODUCT(S9:S12,T9:T12)</f>
        <v>0.55714285714285716</v>
      </c>
      <c r="T16" s="61" t="s">
        <v>97</v>
      </c>
    </row>
    <row r="17" spans="2:20">
      <c r="S17" s="83">
        <v>0.6</v>
      </c>
      <c r="T17" s="61" t="s">
        <v>112</v>
      </c>
    </row>
    <row r="18" spans="2:20">
      <c r="B18" s="75" t="s">
        <v>98</v>
      </c>
      <c r="D18" s="84"/>
    </row>
    <row r="19" spans="2:20">
      <c r="B19" s="75" t="s">
        <v>99</v>
      </c>
      <c r="C19" s="77">
        <v>1.9</v>
      </c>
      <c r="D19" s="84">
        <f>(1-36%)*C19</f>
        <v>1.216</v>
      </c>
      <c r="E19" s="79">
        <f t="shared" ref="E19" si="6">C19-D19</f>
        <v>0.68399999999999994</v>
      </c>
      <c r="F19" s="72">
        <f t="shared" ref="F19" si="7">E19*365</f>
        <v>249.65999999999997</v>
      </c>
      <c r="G19" s="80">
        <f t="shared" ref="G19" si="8">C19*365</f>
        <v>693.5</v>
      </c>
      <c r="H19" s="80"/>
      <c r="I19" s="80"/>
      <c r="J19" s="80"/>
    </row>
    <row r="21" spans="2:20">
      <c r="C21" s="371" t="s">
        <v>1075</v>
      </c>
      <c r="D21" s="371"/>
      <c r="E21" s="371"/>
      <c r="F21" s="371"/>
      <c r="G21" s="371"/>
      <c r="H21" s="118"/>
      <c r="I21" s="75" t="s">
        <v>769</v>
      </c>
      <c r="J21" s="75"/>
      <c r="K21" s="75"/>
      <c r="L21" s="75"/>
      <c r="M21" s="120">
        <f>'ES 2007-2013'!D30</f>
        <v>64000</v>
      </c>
    </row>
    <row r="22" spans="2:20" ht="38.25">
      <c r="C22" s="75" t="s">
        <v>100</v>
      </c>
      <c r="D22" s="75" t="s">
        <v>101</v>
      </c>
      <c r="E22" s="76" t="s">
        <v>1076</v>
      </c>
      <c r="F22" s="76" t="s">
        <v>1077</v>
      </c>
      <c r="G22" s="76" t="s">
        <v>88</v>
      </c>
      <c r="H22" s="119"/>
      <c r="I22" s="76" t="s">
        <v>760</v>
      </c>
      <c r="J22" s="76" t="s">
        <v>762</v>
      </c>
      <c r="K22" s="76" t="s">
        <v>761</v>
      </c>
      <c r="L22" s="76" t="s">
        <v>763</v>
      </c>
      <c r="M22" s="76" t="s">
        <v>764</v>
      </c>
    </row>
    <row r="23" spans="2:20">
      <c r="B23" s="75" t="s">
        <v>768</v>
      </c>
      <c r="C23" s="77">
        <f>D36</f>
        <v>1.0835000000000001</v>
      </c>
      <c r="D23" s="77">
        <v>0.8</v>
      </c>
      <c r="E23" s="79">
        <f>C23-D23</f>
        <v>0.28350000000000009</v>
      </c>
      <c r="F23" s="72">
        <f>E23*365</f>
        <v>103.47750000000003</v>
      </c>
      <c r="G23" s="80">
        <f t="shared" ref="G23" si="9">C23*365</f>
        <v>395.47750000000002</v>
      </c>
      <c r="H23" s="80"/>
      <c r="I23" s="80">
        <f>G23</f>
        <v>395.47750000000002</v>
      </c>
      <c r="J23" s="80">
        <v>100</v>
      </c>
      <c r="K23" s="80">
        <f>SUM(I23:J23)</f>
        <v>495.47750000000002</v>
      </c>
      <c r="L23" s="77">
        <f>(K23*$M$21)/8760/1000</f>
        <v>3.6199269406392696</v>
      </c>
      <c r="M23" s="77">
        <f>((F23)*$M$21)/8760/1000</f>
        <v>0.75600000000000023</v>
      </c>
    </row>
    <row r="27" spans="2:20" ht="38.25">
      <c r="C27" s="76" t="s">
        <v>121</v>
      </c>
      <c r="D27" s="76" t="s">
        <v>122</v>
      </c>
    </row>
    <row r="28" spans="2:20">
      <c r="B28" s="75" t="s">
        <v>117</v>
      </c>
      <c r="C28" s="81">
        <v>0</v>
      </c>
      <c r="D28" s="81">
        <v>0.05</v>
      </c>
    </row>
    <row r="29" spans="2:20">
      <c r="B29" s="75" t="s">
        <v>95</v>
      </c>
      <c r="C29" s="81"/>
    </row>
    <row r="30" spans="2:20">
      <c r="B30" s="75" t="s">
        <v>118</v>
      </c>
      <c r="C30" s="81">
        <v>0.35</v>
      </c>
      <c r="D30" s="81">
        <v>0.1</v>
      </c>
    </row>
    <row r="31" spans="2:20">
      <c r="B31" s="75" t="s">
        <v>119</v>
      </c>
      <c r="C31" s="81">
        <v>0.65</v>
      </c>
      <c r="D31" s="81">
        <v>0.85</v>
      </c>
    </row>
    <row r="32" spans="2:20">
      <c r="B32" s="75" t="s">
        <v>96</v>
      </c>
    </row>
    <row r="34" spans="2:4">
      <c r="B34" s="75" t="s">
        <v>120</v>
      </c>
      <c r="C34" s="80">
        <f>SUMPRODUCT(C28:C32,$F$9:$F$13)</f>
        <v>287.98500000000001</v>
      </c>
      <c r="D34" s="80">
        <f>SUMPRODUCT(D28:D32,$F$9:$F$13)</f>
        <v>237.28649999999999</v>
      </c>
    </row>
    <row r="35" spans="2:4">
      <c r="B35" s="75" t="s">
        <v>767</v>
      </c>
      <c r="C35" s="82">
        <f>C34/365</f>
        <v>0.78900000000000003</v>
      </c>
      <c r="D35" s="82">
        <f>D34/365</f>
        <v>0.65010000000000001</v>
      </c>
    </row>
    <row r="36" spans="2:4">
      <c r="B36" s="75" t="s">
        <v>766</v>
      </c>
      <c r="C36" s="77">
        <f>C35/$S$17</f>
        <v>1.3150000000000002</v>
      </c>
      <c r="D36" s="77">
        <f>D35/$S$17</f>
        <v>1.0835000000000001</v>
      </c>
    </row>
    <row r="41" spans="2:4">
      <c r="B41" s="75" t="s">
        <v>1066</v>
      </c>
      <c r="C41" s="75"/>
    </row>
    <row r="42" spans="2:4">
      <c r="B42" s="61" t="s">
        <v>1067</v>
      </c>
      <c r="C42" s="231">
        <f>'ES 2007-2013'!D31</f>
        <v>400000</v>
      </c>
    </row>
    <row r="43" spans="2:4">
      <c r="B43" s="61" t="s">
        <v>1068</v>
      </c>
      <c r="C43" s="81">
        <v>0.5</v>
      </c>
    </row>
    <row r="44" spans="2:4">
      <c r="B44" s="61" t="s">
        <v>1069</v>
      </c>
      <c r="C44" s="72">
        <f>C42*C43</f>
        <v>200000</v>
      </c>
    </row>
    <row r="45" spans="2:4">
      <c r="B45" s="61" t="s">
        <v>1071</v>
      </c>
      <c r="C45" s="80">
        <f>D34</f>
        <v>237.28649999999999</v>
      </c>
    </row>
    <row r="46" spans="2:4">
      <c r="B46" s="61" t="s">
        <v>1070</v>
      </c>
      <c r="C46" s="232">
        <f>C44*C45/8760/1000</f>
        <v>5.4175000000000004</v>
      </c>
    </row>
    <row r="48" spans="2:4">
      <c r="B48" s="61" t="s">
        <v>1072</v>
      </c>
      <c r="C48" s="231">
        <f>'ES 2007-2013'!D30</f>
        <v>64000</v>
      </c>
    </row>
    <row r="49" spans="2:5">
      <c r="B49" s="61" t="s">
        <v>1068</v>
      </c>
      <c r="C49" s="81">
        <v>0.5</v>
      </c>
    </row>
    <row r="50" spans="2:5">
      <c r="B50" s="61" t="s">
        <v>1069</v>
      </c>
      <c r="C50" s="72">
        <f>C48*C49</f>
        <v>32000</v>
      </c>
    </row>
    <row r="51" spans="2:5">
      <c r="B51" s="61" t="s">
        <v>1185</v>
      </c>
      <c r="C51" s="81">
        <v>0.8</v>
      </c>
    </row>
    <row r="52" spans="2:5">
      <c r="B52" s="61" t="s">
        <v>1183</v>
      </c>
      <c r="C52" s="80">
        <f>F9</f>
        <v>190.53</v>
      </c>
      <c r="E52" s="79"/>
    </row>
    <row r="53" spans="2:5">
      <c r="B53" s="61" t="s">
        <v>1184</v>
      </c>
      <c r="C53" s="72">
        <f>F16</f>
        <v>237.28649999999999</v>
      </c>
    </row>
    <row r="54" spans="2:5">
      <c r="B54" s="61" t="s">
        <v>1186</v>
      </c>
      <c r="C54" s="81">
        <f>1-C51</f>
        <v>0.19999999999999996</v>
      </c>
    </row>
    <row r="56" spans="2:5">
      <c r="B56" s="61" t="s">
        <v>1070</v>
      </c>
      <c r="C56" s="79">
        <f>C50*((C51*C52)+(C54*C53))/8760/1000</f>
        <v>0.73016000000000003</v>
      </c>
    </row>
    <row r="57" spans="2:5">
      <c r="B57" s="61" t="s">
        <v>1073</v>
      </c>
      <c r="C57" s="232">
        <f>C56*20</f>
        <v>14.603200000000001</v>
      </c>
    </row>
  </sheetData>
  <mergeCells count="3">
    <mergeCell ref="C7:G7"/>
    <mergeCell ref="O7:S7"/>
    <mergeCell ref="C21:G2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12"/>
  <dimension ref="A2:H10"/>
  <sheetViews>
    <sheetView zoomScale="115" zoomScaleNormal="115" workbookViewId="0">
      <selection activeCell="D10" sqref="D10"/>
    </sheetView>
  </sheetViews>
  <sheetFormatPr defaultRowHeight="12.75"/>
  <cols>
    <col min="2" max="2" width="32.85546875" customWidth="1"/>
    <col min="3" max="3" width="11.5703125" customWidth="1"/>
    <col min="4" max="4" width="46.7109375" customWidth="1"/>
  </cols>
  <sheetData>
    <row r="2" spans="1:8">
      <c r="A2" s="60"/>
      <c r="B2" s="60"/>
      <c r="C2" s="60"/>
      <c r="D2" s="60"/>
      <c r="E2" s="60"/>
      <c r="F2" s="60"/>
      <c r="G2" s="60"/>
      <c r="H2" s="60"/>
    </row>
    <row r="5" spans="1:8">
      <c r="B5" s="60"/>
      <c r="C5" s="60" t="s">
        <v>102</v>
      </c>
      <c r="D5" s="60" t="s">
        <v>104</v>
      </c>
    </row>
    <row r="6" spans="1:8">
      <c r="B6" s="60" t="s">
        <v>108</v>
      </c>
      <c r="C6" s="85">
        <v>15</v>
      </c>
      <c r="D6" t="s">
        <v>105</v>
      </c>
    </row>
    <row r="7" spans="1:8">
      <c r="B7" s="60" t="s">
        <v>103</v>
      </c>
      <c r="C7" s="85">
        <f>0.25*41.39</f>
        <v>10.3475</v>
      </c>
      <c r="D7" t="s">
        <v>109</v>
      </c>
    </row>
    <row r="8" spans="1:8" ht="15" customHeight="1">
      <c r="B8" s="60" t="s">
        <v>106</v>
      </c>
      <c r="C8" s="86">
        <f>SUM(C6:C7)</f>
        <v>25.3475</v>
      </c>
    </row>
    <row r="10" spans="1:8">
      <c r="B10" s="60" t="s">
        <v>107</v>
      </c>
      <c r="C10" s="85">
        <v>35</v>
      </c>
      <c r="D10" t="s">
        <v>110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3:R54"/>
  <sheetViews>
    <sheetView topLeftCell="A28" workbookViewId="0">
      <selection activeCell="J47" sqref="J47"/>
    </sheetView>
  </sheetViews>
  <sheetFormatPr defaultRowHeight="15"/>
  <cols>
    <col min="1" max="1" width="4.85546875" style="290" customWidth="1"/>
    <col min="2" max="3" width="11.42578125" style="290" customWidth="1"/>
    <col min="4" max="4" width="31" style="290" customWidth="1"/>
    <col min="5" max="5" width="13.5703125" style="290" customWidth="1"/>
    <col min="6" max="6" width="11.42578125" style="290" customWidth="1"/>
    <col min="7" max="7" width="12.5703125" style="290" customWidth="1"/>
    <col min="8" max="8" width="13" style="290" customWidth="1"/>
    <col min="9" max="9" width="13.42578125" style="290" customWidth="1"/>
    <col min="10" max="11" width="14.42578125" style="290" customWidth="1"/>
    <col min="12" max="12" width="15.5703125" style="290" customWidth="1"/>
    <col min="13" max="13" width="8.28515625" style="290" customWidth="1"/>
    <col min="14" max="14" width="11.42578125" style="290" customWidth="1"/>
    <col min="15" max="16384" width="9.140625" style="290"/>
  </cols>
  <sheetData>
    <row r="3" spans="2:15" ht="75">
      <c r="B3" s="310" t="s">
        <v>1348</v>
      </c>
      <c r="C3" s="310" t="s">
        <v>1349</v>
      </c>
      <c r="D3" s="310" t="s">
        <v>1350</v>
      </c>
      <c r="E3" s="310" t="s">
        <v>1351</v>
      </c>
      <c r="F3" s="310" t="s">
        <v>1352</v>
      </c>
      <c r="G3" s="311" t="s">
        <v>1353</v>
      </c>
      <c r="H3" s="311" t="s">
        <v>1354</v>
      </c>
      <c r="I3" s="311" t="s">
        <v>1355</v>
      </c>
      <c r="J3" s="311" t="s">
        <v>1356</v>
      </c>
      <c r="K3" s="311" t="s">
        <v>1357</v>
      </c>
      <c r="L3" s="311" t="s">
        <v>765</v>
      </c>
      <c r="M3" s="311" t="s">
        <v>1373</v>
      </c>
    </row>
    <row r="4" spans="2:15">
      <c r="B4" s="290">
        <v>2007</v>
      </c>
      <c r="C4" s="312">
        <v>624428</v>
      </c>
      <c r="D4" s="290">
        <v>17</v>
      </c>
      <c r="E4" s="313">
        <v>0.82</v>
      </c>
      <c r="F4" s="313">
        <v>0.52</v>
      </c>
      <c r="G4" s="314">
        <f t="shared" ref="G4:G10" si="0">1-F4</f>
        <v>0.48</v>
      </c>
      <c r="H4" s="314">
        <f t="shared" ref="H4:H10" si="1">F4+G4</f>
        <v>1</v>
      </c>
      <c r="I4" s="315">
        <f t="shared" ref="I4:I10" si="2">J4-C4</f>
        <v>576395.07692307699</v>
      </c>
      <c r="J4" s="315">
        <f t="shared" ref="J4:J10" si="3">C4/F4</f>
        <v>1200823.076923077</v>
      </c>
      <c r="K4" s="315">
        <v>7</v>
      </c>
      <c r="L4" s="316">
        <f>ROUND(J4/(1/K4),-5)</f>
        <v>8400000</v>
      </c>
      <c r="M4" s="316"/>
      <c r="O4" s="312"/>
    </row>
    <row r="5" spans="2:15">
      <c r="B5" s="290">
        <v>2008</v>
      </c>
      <c r="C5" s="312">
        <v>515868</v>
      </c>
      <c r="D5" s="290">
        <v>17</v>
      </c>
      <c r="E5" s="313">
        <v>0.94</v>
      </c>
      <c r="F5" s="313">
        <v>0.41</v>
      </c>
      <c r="G5" s="314">
        <f t="shared" si="0"/>
        <v>0.59000000000000008</v>
      </c>
      <c r="H5" s="314">
        <f t="shared" si="1"/>
        <v>1</v>
      </c>
      <c r="I5" s="315">
        <f t="shared" si="2"/>
        <v>742346.63414634159</v>
      </c>
      <c r="J5" s="315">
        <f t="shared" si="3"/>
        <v>1258214.6341463416</v>
      </c>
      <c r="K5" s="315">
        <v>7</v>
      </c>
      <c r="L5" s="316">
        <f t="shared" ref="L5:L10" si="4">ROUND(J5/(1/K5),-5)</f>
        <v>8800000</v>
      </c>
      <c r="M5" s="334">
        <f>(J5/J4)-1</f>
        <v>4.7793516235815181E-2</v>
      </c>
      <c r="N5" s="331"/>
      <c r="O5" s="312"/>
    </row>
    <row r="6" spans="2:15">
      <c r="B6" s="290">
        <v>2009</v>
      </c>
      <c r="C6" s="312">
        <v>575000</v>
      </c>
      <c r="D6" s="290">
        <v>18</v>
      </c>
      <c r="E6" s="313">
        <v>0.94</v>
      </c>
      <c r="F6" s="313">
        <v>0.43</v>
      </c>
      <c r="G6" s="314">
        <f t="shared" si="0"/>
        <v>0.57000000000000006</v>
      </c>
      <c r="H6" s="314">
        <f t="shared" si="1"/>
        <v>1</v>
      </c>
      <c r="I6" s="315">
        <f t="shared" si="2"/>
        <v>762209.30232558143</v>
      </c>
      <c r="J6" s="315">
        <f t="shared" si="3"/>
        <v>1337209.3023255814</v>
      </c>
      <c r="K6" s="315">
        <v>7</v>
      </c>
      <c r="L6" s="316">
        <f t="shared" si="4"/>
        <v>9400000</v>
      </c>
      <c r="M6" s="334">
        <f t="shared" ref="M6:M15" si="5">(J6/J5)-1</f>
        <v>6.2783142109005263E-2</v>
      </c>
      <c r="N6" s="331"/>
      <c r="O6" s="312"/>
    </row>
    <row r="7" spans="2:15">
      <c r="B7" s="290">
        <v>2010</v>
      </c>
      <c r="C7" s="312">
        <v>982000</v>
      </c>
      <c r="D7" s="290">
        <v>27</v>
      </c>
      <c r="E7" s="313">
        <v>0.85</v>
      </c>
      <c r="F7" s="313">
        <v>0.68</v>
      </c>
      <c r="G7" s="314">
        <f t="shared" si="0"/>
        <v>0.31999999999999995</v>
      </c>
      <c r="H7" s="314">
        <f t="shared" si="1"/>
        <v>1</v>
      </c>
      <c r="I7" s="315">
        <f t="shared" si="2"/>
        <v>462117.64705882338</v>
      </c>
      <c r="J7" s="315">
        <f t="shared" si="3"/>
        <v>1444117.6470588234</v>
      </c>
      <c r="K7" s="315">
        <v>6.5</v>
      </c>
      <c r="L7" s="316">
        <f t="shared" si="4"/>
        <v>9400000</v>
      </c>
      <c r="M7" s="334">
        <f t="shared" si="5"/>
        <v>7.9948849104859221E-2</v>
      </c>
      <c r="N7" s="331"/>
      <c r="O7" s="312"/>
    </row>
    <row r="8" spans="2:15">
      <c r="B8" s="290">
        <v>2011</v>
      </c>
      <c r="C8" s="312">
        <v>1348000</v>
      </c>
      <c r="D8" s="290">
        <v>27</v>
      </c>
      <c r="E8" s="313">
        <v>1</v>
      </c>
      <c r="F8" s="313">
        <v>0.62</v>
      </c>
      <c r="G8" s="314">
        <f t="shared" si="0"/>
        <v>0.38</v>
      </c>
      <c r="H8" s="314">
        <f t="shared" si="1"/>
        <v>1</v>
      </c>
      <c r="I8" s="315">
        <f t="shared" si="2"/>
        <v>826193.54838709673</v>
      </c>
      <c r="J8" s="315">
        <f t="shared" si="3"/>
        <v>2174193.5483870967</v>
      </c>
      <c r="K8" s="315">
        <v>5</v>
      </c>
      <c r="L8" s="316">
        <f t="shared" si="4"/>
        <v>10900000</v>
      </c>
      <c r="M8" s="334">
        <f t="shared" si="5"/>
        <v>0.50555154063464958</v>
      </c>
      <c r="N8" s="331"/>
      <c r="O8" s="312"/>
    </row>
    <row r="9" spans="2:15">
      <c r="B9" s="290">
        <v>2012</v>
      </c>
      <c r="C9" s="312">
        <v>1184000</v>
      </c>
      <c r="D9" s="290">
        <v>32</v>
      </c>
      <c r="E9" s="313">
        <v>0.84</v>
      </c>
      <c r="F9" s="313">
        <v>0.57999999999999996</v>
      </c>
      <c r="G9" s="314">
        <f t="shared" si="0"/>
        <v>0.42000000000000004</v>
      </c>
      <c r="H9" s="314">
        <f t="shared" si="1"/>
        <v>1</v>
      </c>
      <c r="I9" s="315">
        <f t="shared" si="2"/>
        <v>857379.31034482783</v>
      </c>
      <c r="J9" s="315">
        <f t="shared" si="3"/>
        <v>2041379.3103448278</v>
      </c>
      <c r="K9" s="315">
        <v>5</v>
      </c>
      <c r="L9" s="316">
        <f t="shared" si="4"/>
        <v>10200000</v>
      </c>
      <c r="M9" s="334">
        <f t="shared" si="5"/>
        <v>-6.1086667348818069E-2</v>
      </c>
      <c r="N9" s="331"/>
      <c r="O9" s="312"/>
    </row>
    <row r="10" spans="2:15">
      <c r="B10" s="290">
        <v>2013</v>
      </c>
      <c r="C10" s="312">
        <v>1573000</v>
      </c>
      <c r="D10" s="290">
        <v>34</v>
      </c>
      <c r="E10" s="313">
        <v>0.81</v>
      </c>
      <c r="F10" s="313">
        <v>0.86</v>
      </c>
      <c r="G10" s="314">
        <f t="shared" si="0"/>
        <v>0.14000000000000001</v>
      </c>
      <c r="H10" s="314">
        <f t="shared" si="1"/>
        <v>1</v>
      </c>
      <c r="I10" s="315">
        <f t="shared" si="2"/>
        <v>256069.7674418604</v>
      </c>
      <c r="J10" s="315">
        <f t="shared" si="3"/>
        <v>1829069.7674418604</v>
      </c>
      <c r="K10" s="315">
        <v>5</v>
      </c>
      <c r="L10" s="316">
        <f t="shared" si="4"/>
        <v>9100000</v>
      </c>
      <c r="M10" s="334">
        <f t="shared" si="5"/>
        <v>-0.10400298554368337</v>
      </c>
      <c r="N10" s="331"/>
      <c r="O10" s="312"/>
    </row>
    <row r="11" spans="2:15">
      <c r="B11" s="290">
        <v>2014</v>
      </c>
      <c r="C11" s="312"/>
      <c r="E11" s="313"/>
      <c r="F11" s="313"/>
      <c r="G11" s="314"/>
      <c r="H11" s="314"/>
      <c r="I11" s="315"/>
      <c r="J11" s="333">
        <f>TREND(J4:J10,B4:B10,B11)</f>
        <v>2224722.9938060641</v>
      </c>
      <c r="K11" s="315"/>
      <c r="L11" s="317">
        <f>AVERAGE(L7:L10)</f>
        <v>9900000</v>
      </c>
      <c r="M11" s="334">
        <f t="shared" si="5"/>
        <v>0.21631390634025127</v>
      </c>
      <c r="N11" s="331"/>
      <c r="O11" s="312"/>
    </row>
    <row r="12" spans="2:15">
      <c r="B12" s="290">
        <v>2015</v>
      </c>
      <c r="C12" s="312"/>
      <c r="E12" s="313"/>
      <c r="F12" s="313"/>
      <c r="G12" s="314"/>
      <c r="H12" s="314"/>
      <c r="I12" s="315"/>
      <c r="J12" s="333">
        <f t="shared" ref="J12:J15" si="6">TREND(J5:J11,B5:B11,B12)</f>
        <v>2398487.8394297361</v>
      </c>
      <c r="K12" s="315"/>
      <c r="M12" s="334">
        <f t="shared" si="5"/>
        <v>7.810628384183449E-2</v>
      </c>
      <c r="N12" s="331"/>
      <c r="O12" s="312"/>
    </row>
    <row r="13" spans="2:15">
      <c r="B13" s="290">
        <v>2016</v>
      </c>
      <c r="J13" s="333">
        <f t="shared" si="6"/>
        <v>2549871.8475222588</v>
      </c>
      <c r="M13" s="334">
        <f t="shared" si="5"/>
        <v>6.3116437617009469E-2</v>
      </c>
      <c r="N13" s="331"/>
      <c r="O13" s="312"/>
    </row>
    <row r="14" spans="2:15">
      <c r="B14" s="290">
        <v>2017</v>
      </c>
      <c r="J14" s="333">
        <f t="shared" si="6"/>
        <v>2658719.6887038946</v>
      </c>
      <c r="M14" s="334">
        <f t="shared" si="5"/>
        <v>4.2687573215651753E-2</v>
      </c>
      <c r="N14" s="331"/>
      <c r="O14" s="312"/>
    </row>
    <row r="15" spans="2:15">
      <c r="B15" s="290">
        <v>2018</v>
      </c>
      <c r="J15" s="333">
        <f t="shared" si="6"/>
        <v>2702346.6518469751</v>
      </c>
      <c r="M15" s="334">
        <f t="shared" si="5"/>
        <v>1.640901194978861E-2</v>
      </c>
      <c r="N15" s="331"/>
      <c r="O15" s="312"/>
    </row>
    <row r="16" spans="2:15">
      <c r="M16" s="335">
        <f>(J15/J4)^(1/(B15-B5))-1</f>
        <v>8.4491627029833261E-2</v>
      </c>
    </row>
    <row r="23" spans="2:6">
      <c r="D23" s="318">
        <f>ROUND(AVERAGE(F4:F7),1)</f>
        <v>0.5</v>
      </c>
      <c r="E23" s="290" t="s">
        <v>1368</v>
      </c>
    </row>
    <row r="24" spans="2:6">
      <c r="D24" s="312">
        <f>ROUND(AVERAGE(J4:J10),-5)</f>
        <v>1600000</v>
      </c>
      <c r="E24" s="290" t="s">
        <v>1370</v>
      </c>
    </row>
    <row r="25" spans="2:6">
      <c r="B25" s="310"/>
      <c r="C25" s="310"/>
      <c r="D25" s="312">
        <f>ROUND(AVERAGE(J7:J10),-5)</f>
        <v>1900000</v>
      </c>
      <c r="E25" s="290" t="s">
        <v>1371</v>
      </c>
      <c r="F25" s="310"/>
    </row>
    <row r="26" spans="2:6">
      <c r="C26" s="312"/>
      <c r="D26" s="312">
        <f>ROUND(L11,-6)</f>
        <v>10000000</v>
      </c>
      <c r="E26" s="290" t="s">
        <v>1364</v>
      </c>
      <c r="F26" s="313"/>
    </row>
    <row r="27" spans="2:6">
      <c r="C27" s="312"/>
      <c r="F27" s="313"/>
    </row>
    <row r="28" spans="2:6">
      <c r="C28" s="312"/>
      <c r="E28" s="313"/>
      <c r="F28" s="313"/>
    </row>
    <row r="29" spans="2:6">
      <c r="C29" s="312"/>
      <c r="F29" s="313"/>
    </row>
    <row r="30" spans="2:6">
      <c r="C30" s="312"/>
      <c r="D30" s="332">
        <f>D24*4%</f>
        <v>64000</v>
      </c>
      <c r="E30" s="313" t="s">
        <v>1369</v>
      </c>
      <c r="F30" s="313"/>
    </row>
    <row r="31" spans="2:6">
      <c r="C31" s="312"/>
      <c r="D31" s="312">
        <f>D26*4%</f>
        <v>400000</v>
      </c>
      <c r="E31" s="313" t="s">
        <v>1365</v>
      </c>
      <c r="F31" s="313"/>
    </row>
    <row r="32" spans="2:6">
      <c r="C32" s="312"/>
      <c r="D32" s="336">
        <v>7.0000000000000007E-2</v>
      </c>
      <c r="E32" s="313" t="s">
        <v>1372</v>
      </c>
      <c r="F32" s="313"/>
    </row>
    <row r="34" spans="4:18" ht="39">
      <c r="D34" s="76" t="s">
        <v>1000</v>
      </c>
      <c r="E34" s="76" t="s">
        <v>1061</v>
      </c>
      <c r="F34" s="76" t="s">
        <v>1064</v>
      </c>
      <c r="G34" s="76" t="s">
        <v>104</v>
      </c>
    </row>
    <row r="35" spans="4:18">
      <c r="D35" s="61" t="s">
        <v>112</v>
      </c>
      <c r="E35" s="81">
        <v>0.3</v>
      </c>
      <c r="F35" s="81">
        <v>0.7</v>
      </c>
      <c r="G35" s="61" t="s">
        <v>1065</v>
      </c>
    </row>
    <row r="36" spans="4:18">
      <c r="D36" s="61" t="s">
        <v>112</v>
      </c>
      <c r="E36" s="81">
        <v>0.8</v>
      </c>
      <c r="F36" s="81">
        <v>0.2</v>
      </c>
      <c r="G36" s="61" t="s">
        <v>1062</v>
      </c>
    </row>
    <row r="37" spans="4:18">
      <c r="D37" s="61" t="s">
        <v>112</v>
      </c>
      <c r="E37" s="81">
        <v>0.9</v>
      </c>
      <c r="F37" s="81">
        <v>0.1</v>
      </c>
      <c r="G37" s="61" t="s">
        <v>1063</v>
      </c>
    </row>
    <row r="38" spans="4:18">
      <c r="D38" s="61" t="s">
        <v>112</v>
      </c>
      <c r="E38" s="81">
        <v>0.9</v>
      </c>
      <c r="F38" s="81">
        <v>0.1</v>
      </c>
      <c r="G38" s="61" t="s">
        <v>1366</v>
      </c>
    </row>
    <row r="39" spans="4:18">
      <c r="D39" s="61"/>
      <c r="E39" s="61"/>
      <c r="F39" s="61"/>
      <c r="G39" s="61"/>
    </row>
    <row r="40" spans="4:18">
      <c r="D40" s="268" t="s">
        <v>1199</v>
      </c>
      <c r="E40" s="269">
        <v>0.8</v>
      </c>
      <c r="F40" s="61"/>
      <c r="G40" s="61" t="s">
        <v>1417</v>
      </c>
    </row>
    <row r="41" spans="4:18">
      <c r="D41" s="268" t="s">
        <v>1384</v>
      </c>
      <c r="E41" s="269">
        <f>1-E40</f>
        <v>0.19999999999999996</v>
      </c>
      <c r="G41" s="61" t="s">
        <v>1417</v>
      </c>
    </row>
    <row r="42" spans="4:18">
      <c r="D42" s="347" t="s">
        <v>11</v>
      </c>
      <c r="E42" s="348">
        <v>6</v>
      </c>
      <c r="G42" s="61" t="s">
        <v>1388</v>
      </c>
    </row>
    <row r="43" spans="4:18">
      <c r="K43" s="319" t="s">
        <v>1367</v>
      </c>
      <c r="L43" s="320"/>
      <c r="M43" s="320"/>
      <c r="N43" s="320"/>
      <c r="O43" s="320"/>
      <c r="P43" s="320"/>
      <c r="Q43" s="320"/>
      <c r="R43" s="321"/>
    </row>
    <row r="44" spans="4:18">
      <c r="D44" s="75" t="s">
        <v>1345</v>
      </c>
      <c r="E44" s="75"/>
      <c r="F44" s="75"/>
      <c r="G44" s="75"/>
      <c r="H44" s="75"/>
      <c r="I44" s="75"/>
      <c r="K44" s="322" t="s">
        <v>1358</v>
      </c>
      <c r="L44" s="323"/>
      <c r="M44" s="323"/>
      <c r="N44" s="323"/>
      <c r="O44" s="323"/>
      <c r="P44" s="323"/>
      <c r="Q44" s="323"/>
      <c r="R44" s="324"/>
    </row>
    <row r="45" spans="4:18">
      <c r="D45" s="61" t="s">
        <v>1378</v>
      </c>
      <c r="E45" s="72">
        <f>D30</f>
        <v>64000</v>
      </c>
      <c r="F45" s="61"/>
      <c r="G45" s="61" t="s">
        <v>1340</v>
      </c>
      <c r="H45" s="61"/>
      <c r="I45" s="61"/>
      <c r="K45" s="325">
        <f>SUM(J4:J10)</f>
        <v>11285007.286627609</v>
      </c>
      <c r="L45" s="323" t="s">
        <v>1359</v>
      </c>
      <c r="M45" s="323"/>
      <c r="N45" s="323"/>
      <c r="O45" s="323"/>
      <c r="P45" s="323"/>
      <c r="Q45" s="323"/>
      <c r="R45" s="324"/>
    </row>
    <row r="46" spans="4:18">
      <c r="D46" s="61" t="s">
        <v>1341</v>
      </c>
      <c r="E46" s="72">
        <f>E45*F46</f>
        <v>44800</v>
      </c>
      <c r="F46" s="81">
        <v>0.7</v>
      </c>
      <c r="G46" s="61" t="s">
        <v>1342</v>
      </c>
      <c r="H46" s="61"/>
      <c r="I46" s="61"/>
      <c r="K46" s="325">
        <f>(1.634+3.97+7.062)*1000000</f>
        <v>12666000</v>
      </c>
      <c r="L46" s="323" t="s">
        <v>1360</v>
      </c>
      <c r="M46" s="323"/>
      <c r="N46" s="323"/>
      <c r="O46" s="323"/>
      <c r="P46" s="323"/>
      <c r="Q46" s="323"/>
      <c r="R46" s="324"/>
    </row>
    <row r="47" spans="4:18">
      <c r="D47" s="61"/>
      <c r="E47" s="61"/>
      <c r="F47" s="61"/>
      <c r="G47" s="61"/>
      <c r="H47" s="61"/>
      <c r="I47" s="61"/>
      <c r="K47" s="325">
        <v>318900000</v>
      </c>
      <c r="L47" s="323" t="s">
        <v>1361</v>
      </c>
      <c r="M47" s="323"/>
      <c r="N47" s="323"/>
      <c r="O47" s="323"/>
      <c r="P47" s="323"/>
      <c r="Q47" s="323"/>
      <c r="R47" s="324"/>
    </row>
    <row r="48" spans="4:18">
      <c r="D48" s="61" t="s">
        <v>1338</v>
      </c>
      <c r="E48" s="72">
        <f>E46*F48</f>
        <v>35840</v>
      </c>
      <c r="F48" s="81">
        <f>'ES 2007-2013'!$E$40</f>
        <v>0.8</v>
      </c>
      <c r="G48" s="61"/>
      <c r="H48" s="61"/>
      <c r="I48" s="61"/>
      <c r="K48" s="326">
        <f>K46/K47</f>
        <v>3.9717779868297269E-2</v>
      </c>
      <c r="L48" s="323" t="s">
        <v>1362</v>
      </c>
      <c r="M48" s="323"/>
      <c r="N48" s="323"/>
      <c r="O48" s="323"/>
      <c r="P48" s="323"/>
      <c r="Q48" s="323"/>
      <c r="R48" s="324"/>
    </row>
    <row r="49" spans="4:18">
      <c r="D49" s="61" t="s">
        <v>1339</v>
      </c>
      <c r="E49" s="72">
        <f>E46*F49</f>
        <v>8959.9999999999982</v>
      </c>
      <c r="F49" s="81">
        <f>1-F48</f>
        <v>0.19999999999999996</v>
      </c>
      <c r="G49" s="61"/>
      <c r="H49" s="61"/>
      <c r="I49" s="61"/>
      <c r="K49" s="327">
        <f>K45*K48</f>
        <v>448215.43522240606</v>
      </c>
      <c r="L49" s="328" t="s">
        <v>1363</v>
      </c>
      <c r="M49" s="329"/>
      <c r="N49" s="329"/>
      <c r="O49" s="329"/>
      <c r="P49" s="329"/>
      <c r="Q49" s="329"/>
      <c r="R49" s="330"/>
    </row>
    <row r="50" spans="4:18">
      <c r="D50" s="61"/>
      <c r="E50" s="61"/>
      <c r="F50" s="61"/>
      <c r="G50" s="61"/>
      <c r="H50" s="61"/>
      <c r="I50" s="61"/>
    </row>
    <row r="51" spans="4:18">
      <c r="D51" s="61" t="s">
        <v>1343</v>
      </c>
      <c r="E51" s="72">
        <f>F51*E48</f>
        <v>17920</v>
      </c>
      <c r="F51" s="81">
        <f>D23</f>
        <v>0.5</v>
      </c>
      <c r="G51" s="61" t="s">
        <v>1379</v>
      </c>
      <c r="H51" s="61"/>
      <c r="I51" s="61"/>
    </row>
    <row r="52" spans="4:18">
      <c r="D52" s="61" t="s">
        <v>1344</v>
      </c>
      <c r="E52" s="72">
        <f>F52*E49</f>
        <v>4479.9999999999991</v>
      </c>
      <c r="F52" s="81">
        <f>D23</f>
        <v>0.5</v>
      </c>
      <c r="G52" s="61"/>
      <c r="H52" s="61"/>
      <c r="I52" s="61"/>
    </row>
    <row r="53" spans="4:18">
      <c r="D53" s="61" t="s">
        <v>1346</v>
      </c>
      <c r="E53" s="72">
        <f>E48*F53</f>
        <v>17920</v>
      </c>
      <c r="F53" s="81">
        <f>1-F51</f>
        <v>0.5</v>
      </c>
      <c r="G53" s="61"/>
      <c r="H53" s="61"/>
      <c r="I53" s="61"/>
    </row>
    <row r="54" spans="4:18">
      <c r="D54" s="61" t="s">
        <v>1347</v>
      </c>
      <c r="E54" s="72">
        <f>E49*F54</f>
        <v>4479.9999999999991</v>
      </c>
      <c r="F54" s="81">
        <f>1-F52</f>
        <v>0.5</v>
      </c>
      <c r="G54" s="61"/>
      <c r="H54" s="61"/>
      <c r="I54" s="6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forRPM</vt:lpstr>
      <vt:lpstr>SC-NR</vt:lpstr>
      <vt:lpstr>7PSourceSummary</vt:lpstr>
      <vt:lpstr>M_Input_Out</vt:lpstr>
      <vt:lpstr>M_Input</vt:lpstr>
      <vt:lpstr>MMap</vt:lpstr>
      <vt:lpstr>Savings</vt:lpstr>
      <vt:lpstr>Cost</vt:lpstr>
      <vt:lpstr>ES 2007-2013</vt:lpstr>
      <vt:lpstr>ESTAR ASAP</vt:lpstr>
      <vt:lpstr>Notes</vt:lpstr>
      <vt:lpstr>EnergyStarProductList</vt:lpstr>
      <vt:lpstr>ES Pivot</vt:lpstr>
      <vt:lpstr>Sources</vt:lpstr>
      <vt:lpstr>ToDo7P</vt:lpstr>
      <vt:lpstr>U.S. and State totals</vt:lpstr>
      <vt:lpstr>LOG</vt:lpstr>
      <vt:lpstr>MeasOut</vt:lpstr>
      <vt:lpstr>'U.S. and State totals'!Print_Titles</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2015-03-19T06:03:47Z</dcterms:modified>
</cp:coreProperties>
</file>