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135" windowWidth="23910" windowHeight="9975" activeTab="1"/>
  </bookViews>
  <sheets>
    <sheet name="forRPM" sheetId="10" r:id="rId1"/>
    <sheet name="7PSourceSummary" sheetId="5" r:id="rId2"/>
    <sheet name="SC-Retro" sheetId="3" r:id="rId3"/>
    <sheet name="M_Input_Out" sheetId="23" r:id="rId4"/>
    <sheet name="M_Input" sheetId="6" r:id="rId5"/>
    <sheet name="MMap" sheetId="15" r:id="rId6"/>
    <sheet name="CBSA Window by Size" sheetId="22" r:id="rId7"/>
    <sheet name="CBSA Data" sheetId="11" r:id="rId8"/>
    <sheet name="Cost Data" sheetId="14" r:id="rId9"/>
    <sheet name="Energy Savings SmOff_Gas" sheetId="16" r:id="rId10"/>
    <sheet name="Energy Savings SmOff_HP" sheetId="17" r:id="rId11"/>
    <sheet name="Energy Savings MidOff_PVAV_E" sheetId="18" r:id="rId12"/>
    <sheet name="Energy Savings MidOff_PVAV_G" sheetId="19" r:id="rId13"/>
    <sheet name="Energy Savings LrgOff_G" sheetId="20" r:id="rId14"/>
    <sheet name="Notes" sheetId="21" r:id="rId15"/>
    <sheet name="Kennedy Out" sheetId="12" r:id="rId16"/>
    <sheet name="ToDo7P" sheetId="8" r:id="rId17"/>
  </sheets>
  <externalReferences>
    <externalReference r:id="rId18"/>
    <externalReference r:id="rId19"/>
    <externalReference r:id="rId20"/>
    <externalReference r:id="rId21"/>
  </externalReferences>
  <definedNames>
    <definedName name="_Key1" hidden="1">#REF!</definedName>
    <definedName name="_Order1" hidden="1">255</definedName>
    <definedName name="_Sort" hidden="1">#REF!</definedName>
    <definedName name="ACHIEV">[1]!ACHIEV</definedName>
    <definedName name="APPLIC">[1]!APPLIC</definedName>
    <definedName name="BLDGTYPE">[1]!BLDGTYPE</definedName>
    <definedName name="DataTable2">[3]!Table2[#Data]</definedName>
    <definedName name="High_rise_Office__VAV_with_Central_Chillers___Gas_Boilers">'Energy Savings LrgOff_G'!$K$3:$V$18</definedName>
    <definedName name="MeasOut">M_Input_Out!$A$1:$AO$85</definedName>
    <definedName name="Mid_rise_Office__Apackaged_VAV_with_Electric_reheat">'Energy Savings MidOff_PVAV_E'!$K$3:$V$18</definedName>
    <definedName name="Mid_rise_Office__Apackaged_VAV_with_Gas">'Energy Savings MidOff_PVAV_G'!$K$3:$V$18</definedName>
    <definedName name="Population">'[2]Pop Forecast (Base Case)'!$B$5:$BC$10</definedName>
    <definedName name="POST2013">[1]!POST2013</definedName>
    <definedName name="Row_Offset">'[3]CBSA Site Summary Table '!$VG$3</definedName>
    <definedName name="Single_Glaze_by_System_Type">'CBSA Window by Size'!$Z$40:$AE$43</definedName>
    <definedName name="Small_Office__AC_with_Gas_Furnace">'Energy Savings SmOff_Gas'!$K$3:$V$18</definedName>
    <definedName name="Small_Office__Air_source_Heat_Pump">'Energy Savings SmOff_HP'!$K$3:$V$18</definedName>
    <definedName name="VSTOCK">[1]Lookup!$C$4:$D$12</definedName>
  </definedNames>
  <calcPr calcId="125725"/>
</workbook>
</file>

<file path=xl/calcChain.xml><?xml version="1.0" encoding="utf-8"?>
<calcChain xmlns="http://schemas.openxmlformats.org/spreadsheetml/2006/main">
  <c r="C4" i="10"/>
  <c r="A4" s="1"/>
  <c r="A5"/>
  <c r="C5"/>
  <c r="C6"/>
  <c r="A6" s="1"/>
  <c r="C7"/>
  <c r="A7" s="1"/>
  <c r="C8"/>
  <c r="A8" s="1"/>
  <c r="C9"/>
  <c r="A9" s="1"/>
  <c r="A10"/>
  <c r="C10"/>
  <c r="C11"/>
  <c r="A11" s="1"/>
  <c r="C12"/>
  <c r="A12" s="1"/>
  <c r="A13"/>
  <c r="C13"/>
  <c r="C14"/>
  <c r="A14" s="1"/>
  <c r="C15"/>
  <c r="A15" s="1"/>
  <c r="A16"/>
  <c r="C16"/>
  <c r="A17"/>
  <c r="C17"/>
  <c r="A18"/>
  <c r="C18"/>
  <c r="C19"/>
  <c r="A19" s="1"/>
  <c r="C20"/>
  <c r="A20" s="1"/>
  <c r="A21"/>
  <c r="C21"/>
  <c r="A22"/>
  <c r="C22"/>
  <c r="C23"/>
  <c r="A23" s="1"/>
  <c r="I4" l="1"/>
  <c r="J4"/>
  <c r="I5"/>
  <c r="J5"/>
  <c r="I6"/>
  <c r="J6"/>
  <c r="I7"/>
  <c r="J7"/>
  <c r="I8"/>
  <c r="J8"/>
  <c r="I9"/>
  <c r="J9"/>
  <c r="I10"/>
  <c r="J10"/>
  <c r="I11"/>
  <c r="J11"/>
  <c r="I12"/>
  <c r="J12"/>
  <c r="I13"/>
  <c r="J13"/>
  <c r="I14"/>
  <c r="J14"/>
  <c r="I15"/>
  <c r="J15"/>
  <c r="I16"/>
  <c r="J16"/>
  <c r="I17"/>
  <c r="J17"/>
  <c r="I18"/>
  <c r="J18"/>
  <c r="I19"/>
  <c r="J19"/>
  <c r="I20"/>
  <c r="J20"/>
  <c r="I21"/>
  <c r="J21"/>
  <c r="I22"/>
  <c r="J22"/>
  <c r="I23"/>
  <c r="J23"/>
  <c r="J3"/>
  <c r="I3"/>
  <c r="AG18" l="1"/>
  <c r="AK18"/>
  <c r="AO18"/>
  <c r="AS18"/>
  <c r="AW18"/>
  <c r="BA18"/>
  <c r="AF18"/>
  <c r="AJ18"/>
  <c r="AN18"/>
  <c r="AR18"/>
  <c r="AV18"/>
  <c r="AZ18"/>
  <c r="BD18"/>
  <c r="H18"/>
  <c r="AI18"/>
  <c r="AM18"/>
  <c r="AQ18"/>
  <c r="AU18"/>
  <c r="AY18"/>
  <c r="BC18"/>
  <c r="G18"/>
  <c r="AT18"/>
  <c r="F18"/>
  <c r="AP18"/>
  <c r="AH18"/>
  <c r="AL18"/>
  <c r="BB18"/>
  <c r="AX18"/>
  <c r="AI12"/>
  <c r="AM12"/>
  <c r="AQ12"/>
  <c r="AU12"/>
  <c r="AY12"/>
  <c r="BC12"/>
  <c r="F12"/>
  <c r="AH12"/>
  <c r="AL12"/>
  <c r="AP12"/>
  <c r="AT12"/>
  <c r="AX12"/>
  <c r="BB12"/>
  <c r="AG12"/>
  <c r="AK12"/>
  <c r="AO12"/>
  <c r="AS12"/>
  <c r="AW12"/>
  <c r="BA12"/>
  <c r="H12"/>
  <c r="AJ12"/>
  <c r="AZ12"/>
  <c r="AN12"/>
  <c r="G12"/>
  <c r="AF12"/>
  <c r="AV12"/>
  <c r="BD12"/>
  <c r="AR12"/>
  <c r="AG6"/>
  <c r="AK6"/>
  <c r="AO6"/>
  <c r="AS6"/>
  <c r="AW6"/>
  <c r="BA6"/>
  <c r="H6"/>
  <c r="AF6"/>
  <c r="AJ6"/>
  <c r="AN6"/>
  <c r="AR6"/>
  <c r="AV6"/>
  <c r="AZ6"/>
  <c r="BD6"/>
  <c r="G6"/>
  <c r="AI6"/>
  <c r="AM6"/>
  <c r="AQ6"/>
  <c r="AU6"/>
  <c r="AY6"/>
  <c r="BC6"/>
  <c r="F6"/>
  <c r="AP6"/>
  <c r="AL6"/>
  <c r="BB6"/>
  <c r="AT6"/>
  <c r="AH6"/>
  <c r="AX6"/>
  <c r="AJ3"/>
  <c r="AN3"/>
  <c r="AR3"/>
  <c r="AV3"/>
  <c r="AZ3"/>
  <c r="BD3"/>
  <c r="AI3"/>
  <c r="AM3"/>
  <c r="AQ3"/>
  <c r="AU3"/>
  <c r="AY3"/>
  <c r="BC3"/>
  <c r="AH3"/>
  <c r="AL3"/>
  <c r="AP3"/>
  <c r="AT3"/>
  <c r="AX3"/>
  <c r="BB3"/>
  <c r="AO3"/>
  <c r="AF3"/>
  <c r="H3"/>
  <c r="G3"/>
  <c r="AK3"/>
  <c r="BA3"/>
  <c r="AG3"/>
  <c r="AW3"/>
  <c r="F3"/>
  <c r="AS3"/>
  <c r="AG22"/>
  <c r="AK22"/>
  <c r="AO22"/>
  <c r="AS22"/>
  <c r="AW22"/>
  <c r="BA22"/>
  <c r="AF22"/>
  <c r="AJ22"/>
  <c r="AN22"/>
  <c r="AR22"/>
  <c r="AV22"/>
  <c r="AZ22"/>
  <c r="BD22"/>
  <c r="AI22"/>
  <c r="AM22"/>
  <c r="AQ22"/>
  <c r="AU22"/>
  <c r="AY22"/>
  <c r="BC22"/>
  <c r="AP22"/>
  <c r="F22"/>
  <c r="AL22"/>
  <c r="BB22"/>
  <c r="H22"/>
  <c r="AH22"/>
  <c r="AX22"/>
  <c r="G22"/>
  <c r="AT22"/>
  <c r="AI16"/>
  <c r="AM16"/>
  <c r="AQ16"/>
  <c r="AU16"/>
  <c r="AY16"/>
  <c r="BC16"/>
  <c r="G16"/>
  <c r="AH16"/>
  <c r="AL16"/>
  <c r="AP16"/>
  <c r="AT16"/>
  <c r="AX16"/>
  <c r="BB16"/>
  <c r="F16"/>
  <c r="AG16"/>
  <c r="AK16"/>
  <c r="AO16"/>
  <c r="AS16"/>
  <c r="AW16"/>
  <c r="BA16"/>
  <c r="AF16"/>
  <c r="AV16"/>
  <c r="AR16"/>
  <c r="AZ16"/>
  <c r="AN16"/>
  <c r="BD16"/>
  <c r="H16"/>
  <c r="AJ16"/>
  <c r="AG10"/>
  <c r="AK10"/>
  <c r="AO10"/>
  <c r="AS10"/>
  <c r="AW10"/>
  <c r="BA10"/>
  <c r="F10"/>
  <c r="AF10"/>
  <c r="AJ10"/>
  <c r="AN10"/>
  <c r="AR10"/>
  <c r="AV10"/>
  <c r="AZ10"/>
  <c r="BD10"/>
  <c r="AI10"/>
  <c r="AM10"/>
  <c r="AQ10"/>
  <c r="AU10"/>
  <c r="AY10"/>
  <c r="BC10"/>
  <c r="H10"/>
  <c r="AL10"/>
  <c r="BB10"/>
  <c r="AH10"/>
  <c r="AX10"/>
  <c r="AT10"/>
  <c r="AP10"/>
  <c r="G10"/>
  <c r="AI4"/>
  <c r="AM4"/>
  <c r="AQ4"/>
  <c r="AU4"/>
  <c r="AY4"/>
  <c r="BC4"/>
  <c r="F4"/>
  <c r="AH4"/>
  <c r="AL4"/>
  <c r="AP4"/>
  <c r="AT4"/>
  <c r="AX4"/>
  <c r="BB4"/>
  <c r="AG4"/>
  <c r="AK4"/>
  <c r="AO4"/>
  <c r="AS4"/>
  <c r="AW4"/>
  <c r="BA4"/>
  <c r="H4"/>
  <c r="AR4"/>
  <c r="G4"/>
  <c r="AN4"/>
  <c r="BD4"/>
  <c r="AV4"/>
  <c r="AJ4"/>
  <c r="AZ4"/>
  <c r="AF4"/>
  <c r="AI20"/>
  <c r="AM20"/>
  <c r="AQ20"/>
  <c r="AU20"/>
  <c r="AY20"/>
  <c r="BC20"/>
  <c r="AH20"/>
  <c r="AL20"/>
  <c r="AP20"/>
  <c r="AT20"/>
  <c r="AX20"/>
  <c r="BB20"/>
  <c r="H20"/>
  <c r="AG20"/>
  <c r="AK20"/>
  <c r="AO20"/>
  <c r="AS20"/>
  <c r="AW20"/>
  <c r="BA20"/>
  <c r="AR20"/>
  <c r="F20"/>
  <c r="AF20"/>
  <c r="AN20"/>
  <c r="BD20"/>
  <c r="AV20"/>
  <c r="G20"/>
  <c r="AJ20"/>
  <c r="AZ20"/>
  <c r="AG14"/>
  <c r="AK14"/>
  <c r="AO14"/>
  <c r="AS14"/>
  <c r="AW14"/>
  <c r="BA14"/>
  <c r="H14"/>
  <c r="AF14"/>
  <c r="AJ14"/>
  <c r="AN14"/>
  <c r="AR14"/>
  <c r="AV14"/>
  <c r="AZ14"/>
  <c r="BD14"/>
  <c r="G14"/>
  <c r="AI14"/>
  <c r="AM14"/>
  <c r="AQ14"/>
  <c r="AU14"/>
  <c r="AY14"/>
  <c r="BC14"/>
  <c r="F14"/>
  <c r="AH14"/>
  <c r="AX14"/>
  <c r="AT14"/>
  <c r="AL14"/>
  <c r="AP14"/>
  <c r="BB14"/>
  <c r="AI8"/>
  <c r="AM8"/>
  <c r="AQ8"/>
  <c r="AU8"/>
  <c r="AY8"/>
  <c r="BC8"/>
  <c r="H8"/>
  <c r="AH8"/>
  <c r="AL8"/>
  <c r="AP8"/>
  <c r="AT8"/>
  <c r="AX8"/>
  <c r="BB8"/>
  <c r="G8"/>
  <c r="AG8"/>
  <c r="AK8"/>
  <c r="AO8"/>
  <c r="AS8"/>
  <c r="AW8"/>
  <c r="BA8"/>
  <c r="F8"/>
  <c r="AN8"/>
  <c r="BD8"/>
  <c r="AJ8"/>
  <c r="AZ8"/>
  <c r="AR8"/>
  <c r="AF8"/>
  <c r="AV8"/>
  <c r="AF23"/>
  <c r="AJ23"/>
  <c r="AN23"/>
  <c r="AR23"/>
  <c r="AV23"/>
  <c r="AZ23"/>
  <c r="BD23"/>
  <c r="AI23"/>
  <c r="AM23"/>
  <c r="AQ23"/>
  <c r="AU23"/>
  <c r="AY23"/>
  <c r="BC23"/>
  <c r="AH23"/>
  <c r="AL23"/>
  <c r="AP23"/>
  <c r="AT23"/>
  <c r="AX23"/>
  <c r="BB23"/>
  <c r="AG23"/>
  <c r="AW23"/>
  <c r="BA23"/>
  <c r="AS23"/>
  <c r="H23"/>
  <c r="AK23"/>
  <c r="F23"/>
  <c r="AO23"/>
  <c r="G23"/>
  <c r="AH21"/>
  <c r="AL21"/>
  <c r="AP21"/>
  <c r="AT21"/>
  <c r="AX21"/>
  <c r="BB21"/>
  <c r="AG21"/>
  <c r="AK21"/>
  <c r="AO21"/>
  <c r="AS21"/>
  <c r="AW21"/>
  <c r="BA21"/>
  <c r="AF21"/>
  <c r="AJ21"/>
  <c r="AN21"/>
  <c r="AR21"/>
  <c r="AV21"/>
  <c r="AZ21"/>
  <c r="BD21"/>
  <c r="AI21"/>
  <c r="AY21"/>
  <c r="F21"/>
  <c r="BC21"/>
  <c r="AU21"/>
  <c r="AQ21"/>
  <c r="H21"/>
  <c r="AM21"/>
  <c r="G21"/>
  <c r="AF19"/>
  <c r="AJ19"/>
  <c r="AN19"/>
  <c r="AR19"/>
  <c r="AV19"/>
  <c r="AZ19"/>
  <c r="BD19"/>
  <c r="AI19"/>
  <c r="AM19"/>
  <c r="AQ19"/>
  <c r="AU19"/>
  <c r="AY19"/>
  <c r="BC19"/>
  <c r="H19"/>
  <c r="AH19"/>
  <c r="AL19"/>
  <c r="AP19"/>
  <c r="AT19"/>
  <c r="AX19"/>
  <c r="BB19"/>
  <c r="G19"/>
  <c r="AK19"/>
  <c r="BA19"/>
  <c r="AO19"/>
  <c r="AG19"/>
  <c r="AW19"/>
  <c r="AS19"/>
  <c r="F19"/>
  <c r="AH17"/>
  <c r="AL17"/>
  <c r="AP17"/>
  <c r="AT17"/>
  <c r="AX17"/>
  <c r="BB17"/>
  <c r="F17"/>
  <c r="AG17"/>
  <c r="AK17"/>
  <c r="AO17"/>
  <c r="AS17"/>
  <c r="AW17"/>
  <c r="BA17"/>
  <c r="AF17"/>
  <c r="AJ17"/>
  <c r="AN17"/>
  <c r="AR17"/>
  <c r="AV17"/>
  <c r="AZ17"/>
  <c r="BD17"/>
  <c r="H17"/>
  <c r="AM17"/>
  <c r="BC17"/>
  <c r="AQ17"/>
  <c r="G17"/>
  <c r="AI17"/>
  <c r="AY17"/>
  <c r="AU17"/>
  <c r="AF15"/>
  <c r="AJ15"/>
  <c r="AN15"/>
  <c r="AR15"/>
  <c r="AV15"/>
  <c r="AZ15"/>
  <c r="BD15"/>
  <c r="H15"/>
  <c r="AI15"/>
  <c r="AM15"/>
  <c r="AQ15"/>
  <c r="AU15"/>
  <c r="AY15"/>
  <c r="BC15"/>
  <c r="G15"/>
  <c r="AH15"/>
  <c r="AL15"/>
  <c r="AP15"/>
  <c r="AT15"/>
  <c r="AX15"/>
  <c r="BB15"/>
  <c r="F15"/>
  <c r="AO15"/>
  <c r="AS15"/>
  <c r="AK15"/>
  <c r="BA15"/>
  <c r="AG15"/>
  <c r="AW15"/>
  <c r="AH13"/>
  <c r="AL13"/>
  <c r="AP13"/>
  <c r="AT13"/>
  <c r="AX13"/>
  <c r="BB13"/>
  <c r="AG13"/>
  <c r="AK13"/>
  <c r="AO13"/>
  <c r="AS13"/>
  <c r="AW13"/>
  <c r="BA13"/>
  <c r="H13"/>
  <c r="AF13"/>
  <c r="AJ13"/>
  <c r="AN13"/>
  <c r="AR13"/>
  <c r="AV13"/>
  <c r="AZ13"/>
  <c r="BD13"/>
  <c r="G13"/>
  <c r="AQ13"/>
  <c r="F13"/>
  <c r="AM13"/>
  <c r="BC13"/>
  <c r="AI13"/>
  <c r="AY13"/>
  <c r="AU13"/>
  <c r="AF11"/>
  <c r="AJ11"/>
  <c r="AN11"/>
  <c r="AR11"/>
  <c r="AV11"/>
  <c r="AZ11"/>
  <c r="BD11"/>
  <c r="F11"/>
  <c r="AI11"/>
  <c r="AM11"/>
  <c r="AQ11"/>
  <c r="AU11"/>
  <c r="AY11"/>
  <c r="BC11"/>
  <c r="AH11"/>
  <c r="AL11"/>
  <c r="AP11"/>
  <c r="AT11"/>
  <c r="AX11"/>
  <c r="BB11"/>
  <c r="H11"/>
  <c r="AS11"/>
  <c r="AO11"/>
  <c r="G11"/>
  <c r="AG11"/>
  <c r="AK11"/>
  <c r="BA11"/>
  <c r="AW11"/>
  <c r="AH9"/>
  <c r="AL9"/>
  <c r="AP9"/>
  <c r="AT9"/>
  <c r="AX9"/>
  <c r="BB9"/>
  <c r="G9"/>
  <c r="AG9"/>
  <c r="AK9"/>
  <c r="AO9"/>
  <c r="AS9"/>
  <c r="AW9"/>
  <c r="BA9"/>
  <c r="F9"/>
  <c r="AF9"/>
  <c r="AJ9"/>
  <c r="AN9"/>
  <c r="AR9"/>
  <c r="AV9"/>
  <c r="AZ9"/>
  <c r="BD9"/>
  <c r="AU9"/>
  <c r="AQ9"/>
  <c r="AY9"/>
  <c r="AM9"/>
  <c r="BC9"/>
  <c r="H9"/>
  <c r="AI9"/>
  <c r="AF7"/>
  <c r="AJ7"/>
  <c r="AN7"/>
  <c r="AR7"/>
  <c r="AV7"/>
  <c r="AZ7"/>
  <c r="BD7"/>
  <c r="H7"/>
  <c r="AI7"/>
  <c r="AM7"/>
  <c r="AQ7"/>
  <c r="AU7"/>
  <c r="AY7"/>
  <c r="BC7"/>
  <c r="G7"/>
  <c r="AH7"/>
  <c r="AL7"/>
  <c r="AP7"/>
  <c r="AT7"/>
  <c r="AX7"/>
  <c r="BB7"/>
  <c r="F7"/>
  <c r="AG7"/>
  <c r="AW7"/>
  <c r="AS7"/>
  <c r="AK7"/>
  <c r="AO7"/>
  <c r="BA7"/>
  <c r="AH5"/>
  <c r="AL5"/>
  <c r="AP5"/>
  <c r="AT5"/>
  <c r="AX5"/>
  <c r="BB5"/>
  <c r="AG5"/>
  <c r="AK5"/>
  <c r="AO5"/>
  <c r="AS5"/>
  <c r="AW5"/>
  <c r="BA5"/>
  <c r="H5"/>
  <c r="AF5"/>
  <c r="AJ5"/>
  <c r="AN5"/>
  <c r="AR5"/>
  <c r="AV5"/>
  <c r="AZ5"/>
  <c r="BD5"/>
  <c r="G5"/>
  <c r="AI5"/>
  <c r="AY5"/>
  <c r="AM5"/>
  <c r="AU5"/>
  <c r="F5"/>
  <c r="AQ5"/>
  <c r="BC5"/>
  <c r="C3"/>
  <c r="A3" s="1"/>
  <c r="K21" i="15"/>
  <c r="K22"/>
  <c r="K23"/>
  <c r="K24"/>
  <c r="K25"/>
  <c r="K26"/>
  <c r="D146" i="3"/>
  <c r="A149"/>
  <c r="B149"/>
  <c r="A150"/>
  <c r="B150"/>
  <c r="A151"/>
  <c r="B151"/>
  <c r="A152"/>
  <c r="B152"/>
  <c r="A153"/>
  <c r="B153"/>
  <c r="A154"/>
  <c r="B154"/>
  <c r="A155"/>
  <c r="B155"/>
  <c r="A156"/>
  <c r="B156"/>
  <c r="A157"/>
  <c r="B157"/>
  <c r="A158"/>
  <c r="B158"/>
  <c r="A159"/>
  <c r="B159"/>
  <c r="A160"/>
  <c r="B160"/>
  <c r="A161"/>
  <c r="B161"/>
  <c r="A162"/>
  <c r="B162"/>
  <c r="A163"/>
  <c r="B163"/>
  <c r="A164"/>
  <c r="B164"/>
  <c r="A165"/>
  <c r="B165"/>
  <c r="A166"/>
  <c r="B166"/>
  <c r="A167"/>
  <c r="B167"/>
  <c r="A168"/>
  <c r="B168"/>
  <c r="Z66"/>
  <c r="Y66" s="1"/>
  <c r="Y67"/>
  <c r="Z67"/>
  <c r="Z68"/>
  <c r="Y68" s="1"/>
  <c r="Y69"/>
  <c r="Z69"/>
  <c r="Z70"/>
  <c r="Y70" s="1"/>
  <c r="Y71"/>
  <c r="Z71"/>
  <c r="Z72"/>
  <c r="Y72" s="1"/>
  <c r="Y73"/>
  <c r="Z73"/>
  <c r="Z74"/>
  <c r="Y74" s="1"/>
  <c r="Y75"/>
  <c r="Z75"/>
  <c r="Z76"/>
  <c r="Y76" s="1"/>
  <c r="Y77"/>
  <c r="Z77"/>
  <c r="Z78"/>
  <c r="Y78" s="1"/>
  <c r="Y79"/>
  <c r="Z79"/>
  <c r="Z80"/>
  <c r="Y80" s="1"/>
  <c r="Y81"/>
  <c r="Z81"/>
  <c r="Z82"/>
  <c r="Y82" s="1"/>
  <c r="Y83"/>
  <c r="Z83"/>
  <c r="Z84"/>
  <c r="Y84" s="1"/>
  <c r="Y85"/>
  <c r="Z85"/>
  <c r="Z65"/>
  <c r="D60"/>
  <c r="V17" i="15" l="1"/>
  <c r="S7"/>
  <c r="S8"/>
  <c r="V8" s="1"/>
  <c r="S9"/>
  <c r="V9" s="1"/>
  <c r="S10"/>
  <c r="S11"/>
  <c r="S12"/>
  <c r="V12" s="1"/>
  <c r="S13"/>
  <c r="V13" s="1"/>
  <c r="S14"/>
  <c r="S15"/>
  <c r="S16"/>
  <c r="V16" s="1"/>
  <c r="S17"/>
  <c r="S18"/>
  <c r="S19"/>
  <c r="S20"/>
  <c r="V20" s="1"/>
  <c r="S21"/>
  <c r="V21" s="1"/>
  <c r="S22"/>
  <c r="S23"/>
  <c r="S24"/>
  <c r="V24" s="1"/>
  <c r="S25"/>
  <c r="V25" s="1"/>
  <c r="S26"/>
  <c r="S6"/>
  <c r="N54" i="11"/>
  <c r="M54"/>
  <c r="M52"/>
  <c r="T7" i="15"/>
  <c r="V7" s="1"/>
  <c r="T8"/>
  <c r="T9"/>
  <c r="T10"/>
  <c r="V10" s="1"/>
  <c r="T11"/>
  <c r="V11" s="1"/>
  <c r="T12"/>
  <c r="T13"/>
  <c r="T14"/>
  <c r="V14" s="1"/>
  <c r="T15"/>
  <c r="V15" s="1"/>
  <c r="T16"/>
  <c r="T17"/>
  <c r="T18"/>
  <c r="V18" s="1"/>
  <c r="T19"/>
  <c r="V19" s="1"/>
  <c r="T20"/>
  <c r="T21"/>
  <c r="T22"/>
  <c r="V22" s="1"/>
  <c r="T23"/>
  <c r="V23" s="1"/>
  <c r="T24"/>
  <c r="T25"/>
  <c r="T26"/>
  <c r="V26" s="1"/>
  <c r="T6"/>
  <c r="V6" s="1"/>
  <c r="X19" i="11"/>
  <c r="X18"/>
  <c r="AD23"/>
  <c r="E33" i="3" s="1"/>
  <c r="C8"/>
  <c r="C213"/>
  <c r="X212"/>
  <c r="W212"/>
  <c r="V212"/>
  <c r="U212"/>
  <c r="T212"/>
  <c r="S212"/>
  <c r="R212"/>
  <c r="Q212"/>
  <c r="P212"/>
  <c r="O212"/>
  <c r="N212"/>
  <c r="M212"/>
  <c r="L212"/>
  <c r="K212"/>
  <c r="J212"/>
  <c r="I212"/>
  <c r="H212"/>
  <c r="G212"/>
  <c r="F212"/>
  <c r="E212"/>
  <c r="B148"/>
  <c r="A148"/>
  <c r="Y65"/>
  <c r="X30"/>
  <c r="Z30" s="1"/>
  <c r="W30"/>
  <c r="V30"/>
  <c r="U30"/>
  <c r="T30"/>
  <c r="S30"/>
  <c r="R30"/>
  <c r="Q30"/>
  <c r="P30"/>
  <c r="O30"/>
  <c r="N30"/>
  <c r="M30"/>
  <c r="L30"/>
  <c r="K30"/>
  <c r="J30"/>
  <c r="I30"/>
  <c r="H30"/>
  <c r="G30"/>
  <c r="F30"/>
  <c r="E30"/>
  <c r="X29"/>
  <c r="Z29" s="1"/>
  <c r="W29"/>
  <c r="V29"/>
  <c r="U29"/>
  <c r="T29"/>
  <c r="S29"/>
  <c r="R29"/>
  <c r="Q29"/>
  <c r="P29"/>
  <c r="O29"/>
  <c r="N29"/>
  <c r="M29"/>
  <c r="L29"/>
  <c r="K29"/>
  <c r="J29"/>
  <c r="I29"/>
  <c r="H29"/>
  <c r="G29"/>
  <c r="F29"/>
  <c r="E29"/>
  <c r="X28"/>
  <c r="Z28" s="1"/>
  <c r="W28"/>
  <c r="V28"/>
  <c r="U28"/>
  <c r="T28"/>
  <c r="S28"/>
  <c r="R28"/>
  <c r="Q28"/>
  <c r="P28"/>
  <c r="O28"/>
  <c r="N28"/>
  <c r="M28"/>
  <c r="L28"/>
  <c r="K28"/>
  <c r="J28"/>
  <c r="I28"/>
  <c r="H28"/>
  <c r="G28"/>
  <c r="F28"/>
  <c r="E28"/>
  <c r="X27"/>
  <c r="Z27" s="1"/>
  <c r="W27"/>
  <c r="V27"/>
  <c r="U27"/>
  <c r="T27"/>
  <c r="S27"/>
  <c r="R27"/>
  <c r="Q27"/>
  <c r="P27"/>
  <c r="O27"/>
  <c r="N27"/>
  <c r="M27"/>
  <c r="L27"/>
  <c r="K27"/>
  <c r="J27"/>
  <c r="I27"/>
  <c r="H27"/>
  <c r="G27"/>
  <c r="F27"/>
  <c r="E27"/>
  <c r="X26"/>
  <c r="Z26" s="1"/>
  <c r="W26"/>
  <c r="V26"/>
  <c r="U26"/>
  <c r="T26"/>
  <c r="S26"/>
  <c r="R26"/>
  <c r="Q26"/>
  <c r="P26"/>
  <c r="O26"/>
  <c r="N26"/>
  <c r="M26"/>
  <c r="L26"/>
  <c r="K26"/>
  <c r="J26"/>
  <c r="I26"/>
  <c r="H26"/>
  <c r="G26"/>
  <c r="F26"/>
  <c r="E26"/>
  <c r="X25"/>
  <c r="Z25" s="1"/>
  <c r="W25"/>
  <c r="V25"/>
  <c r="U25"/>
  <c r="T25"/>
  <c r="S25"/>
  <c r="R25"/>
  <c r="Q25"/>
  <c r="P25"/>
  <c r="O25"/>
  <c r="N25"/>
  <c r="M25"/>
  <c r="L25"/>
  <c r="K25"/>
  <c r="J25"/>
  <c r="I25"/>
  <c r="H25"/>
  <c r="G25"/>
  <c r="F25"/>
  <c r="E25"/>
  <c r="X24"/>
  <c r="Z24" s="1"/>
  <c r="W24"/>
  <c r="V24"/>
  <c r="U24"/>
  <c r="T24"/>
  <c r="S24"/>
  <c r="R24"/>
  <c r="Q24"/>
  <c r="P24"/>
  <c r="O24"/>
  <c r="N24"/>
  <c r="M24"/>
  <c r="L24"/>
  <c r="K24"/>
  <c r="J24"/>
  <c r="I24"/>
  <c r="H24"/>
  <c r="G24"/>
  <c r="F24"/>
  <c r="E24"/>
  <c r="X23"/>
  <c r="Z23" s="1"/>
  <c r="W23"/>
  <c r="V23"/>
  <c r="U23"/>
  <c r="T23"/>
  <c r="S23"/>
  <c r="R23"/>
  <c r="Q23"/>
  <c r="P23"/>
  <c r="O23"/>
  <c r="N23"/>
  <c r="M23"/>
  <c r="L23"/>
  <c r="K23"/>
  <c r="J23"/>
  <c r="I23"/>
  <c r="H23"/>
  <c r="G23"/>
  <c r="F23"/>
  <c r="E23"/>
  <c r="X22"/>
  <c r="Z22" s="1"/>
  <c r="W22"/>
  <c r="V22"/>
  <c r="U22"/>
  <c r="T22"/>
  <c r="S22"/>
  <c r="R22"/>
  <c r="Q22"/>
  <c r="P22"/>
  <c r="O22"/>
  <c r="N22"/>
  <c r="M22"/>
  <c r="L22"/>
  <c r="K22"/>
  <c r="J22"/>
  <c r="I22"/>
  <c r="H22"/>
  <c r="G22"/>
  <c r="F22"/>
  <c r="E22"/>
  <c r="X21"/>
  <c r="Z21" s="1"/>
  <c r="W21"/>
  <c r="V21"/>
  <c r="U21"/>
  <c r="T21"/>
  <c r="S21"/>
  <c r="R21"/>
  <c r="Q21"/>
  <c r="P21"/>
  <c r="O21"/>
  <c r="N21"/>
  <c r="M21"/>
  <c r="L21"/>
  <c r="K21"/>
  <c r="J21"/>
  <c r="I21"/>
  <c r="H21"/>
  <c r="G21"/>
  <c r="F21"/>
  <c r="E21"/>
  <c r="X20"/>
  <c r="Z20" s="1"/>
  <c r="W20"/>
  <c r="V20"/>
  <c r="U20"/>
  <c r="T20"/>
  <c r="S20"/>
  <c r="R20"/>
  <c r="Q20"/>
  <c r="P20"/>
  <c r="O20"/>
  <c r="N20"/>
  <c r="M20"/>
  <c r="L20"/>
  <c r="K20"/>
  <c r="J20"/>
  <c r="I20"/>
  <c r="H20"/>
  <c r="G20"/>
  <c r="F20"/>
  <c r="E20"/>
  <c r="X19"/>
  <c r="Z19" s="1"/>
  <c r="W19"/>
  <c r="V19"/>
  <c r="U19"/>
  <c r="T19"/>
  <c r="S19"/>
  <c r="R19"/>
  <c r="Q19"/>
  <c r="P19"/>
  <c r="O19"/>
  <c r="N19"/>
  <c r="M19"/>
  <c r="L19"/>
  <c r="K19"/>
  <c r="J19"/>
  <c r="I19"/>
  <c r="H19"/>
  <c r="G19"/>
  <c r="F19"/>
  <c r="E19"/>
  <c r="X18"/>
  <c r="Z18" s="1"/>
  <c r="W18"/>
  <c r="V18"/>
  <c r="U18"/>
  <c r="T18"/>
  <c r="S18"/>
  <c r="R18"/>
  <c r="Q18"/>
  <c r="P18"/>
  <c r="O18"/>
  <c r="N18"/>
  <c r="M18"/>
  <c r="L18"/>
  <c r="K18"/>
  <c r="J18"/>
  <c r="I18"/>
  <c r="H18"/>
  <c r="G18"/>
  <c r="F18"/>
  <c r="E18"/>
  <c r="X17"/>
  <c r="Z17" s="1"/>
  <c r="W17"/>
  <c r="V17"/>
  <c r="U17"/>
  <c r="T17"/>
  <c r="S17"/>
  <c r="R17"/>
  <c r="Q17"/>
  <c r="P17"/>
  <c r="O17"/>
  <c r="N17"/>
  <c r="M17"/>
  <c r="L17"/>
  <c r="K17"/>
  <c r="J17"/>
  <c r="I17"/>
  <c r="H17"/>
  <c r="G17"/>
  <c r="F17"/>
  <c r="E17"/>
  <c r="X16"/>
  <c r="Z16" s="1"/>
  <c r="W16"/>
  <c r="V16"/>
  <c r="U16"/>
  <c r="T16"/>
  <c r="S16"/>
  <c r="R16"/>
  <c r="Q16"/>
  <c r="P16"/>
  <c r="O16"/>
  <c r="N16"/>
  <c r="M16"/>
  <c r="L16"/>
  <c r="K16"/>
  <c r="J16"/>
  <c r="I16"/>
  <c r="H16"/>
  <c r="G16"/>
  <c r="F16"/>
  <c r="E16"/>
  <c r="X15"/>
  <c r="Z15" s="1"/>
  <c r="W15"/>
  <c r="V15"/>
  <c r="U15"/>
  <c r="T15"/>
  <c r="S15"/>
  <c r="R15"/>
  <c r="Q15"/>
  <c r="P15"/>
  <c r="O15"/>
  <c r="N15"/>
  <c r="M15"/>
  <c r="L15"/>
  <c r="K15"/>
  <c r="J15"/>
  <c r="I15"/>
  <c r="H15"/>
  <c r="G15"/>
  <c r="F15"/>
  <c r="E15"/>
  <c r="X14"/>
  <c r="Z14" s="1"/>
  <c r="W14"/>
  <c r="V14"/>
  <c r="U14"/>
  <c r="T14"/>
  <c r="S14"/>
  <c r="R14"/>
  <c r="Q14"/>
  <c r="P14"/>
  <c r="O14"/>
  <c r="N14"/>
  <c r="M14"/>
  <c r="L14"/>
  <c r="K14"/>
  <c r="J14"/>
  <c r="I14"/>
  <c r="H14"/>
  <c r="G14"/>
  <c r="F14"/>
  <c r="E14"/>
  <c r="X13"/>
  <c r="W13"/>
  <c r="V13"/>
  <c r="U13"/>
  <c r="T13"/>
  <c r="S13"/>
  <c r="R13"/>
  <c r="Q13"/>
  <c r="P13"/>
  <c r="O13"/>
  <c r="N13"/>
  <c r="M13"/>
  <c r="L13"/>
  <c r="K13"/>
  <c r="J13"/>
  <c r="I13"/>
  <c r="H13"/>
  <c r="G13"/>
  <c r="F13"/>
  <c r="E13"/>
  <c r="F10"/>
  <c r="G10" s="1"/>
  <c r="H10" s="1"/>
  <c r="I10" s="1"/>
  <c r="J10" s="1"/>
  <c r="K10" s="1"/>
  <c r="L10" s="1"/>
  <c r="M10" s="1"/>
  <c r="N10" s="1"/>
  <c r="O10" s="1"/>
  <c r="P10" s="1"/>
  <c r="Q10" s="1"/>
  <c r="R10" s="1"/>
  <c r="S10" s="1"/>
  <c r="T10" s="1"/>
  <c r="U10" s="1"/>
  <c r="V10" s="1"/>
  <c r="W10" s="1"/>
  <c r="X10" s="1"/>
  <c r="C9"/>
  <c r="E11" s="1"/>
  <c r="L32" l="1"/>
  <c r="T32"/>
  <c r="H32"/>
  <c r="P32"/>
  <c r="X32"/>
  <c r="Z32" s="1"/>
  <c r="K32"/>
  <c r="S32"/>
  <c r="E32"/>
  <c r="I32"/>
  <c r="M32"/>
  <c r="Q32"/>
  <c r="U32"/>
  <c r="G32"/>
  <c r="O32"/>
  <c r="F32"/>
  <c r="J32"/>
  <c r="N32"/>
  <c r="R32"/>
  <c r="V32"/>
  <c r="E213"/>
  <c r="E146"/>
  <c r="E64"/>
  <c r="E37"/>
  <c r="E175"/>
  <c r="F11"/>
  <c r="E12"/>
  <c r="Z13"/>
  <c r="D212"/>
  <c r="D91"/>
  <c r="D145"/>
  <c r="D64"/>
  <c r="D37"/>
  <c r="W32"/>
  <c r="D118"/>
  <c r="F33" l="1"/>
  <c r="D90"/>
  <c r="F91"/>
  <c r="E91"/>
  <c r="F213"/>
  <c r="F175"/>
  <c r="F146"/>
  <c r="F64"/>
  <c r="F37"/>
  <c r="F12"/>
  <c r="G11"/>
  <c r="E147"/>
  <c r="E176"/>
  <c r="E177" l="1"/>
  <c r="G33"/>
  <c r="H33" s="1"/>
  <c r="F176"/>
  <c r="F147"/>
  <c r="F177" s="1"/>
  <c r="G213"/>
  <c r="G175"/>
  <c r="G146"/>
  <c r="G37"/>
  <c r="G12"/>
  <c r="G64"/>
  <c r="H11"/>
  <c r="E214"/>
  <c r="G91"/>
  <c r="I33" l="1"/>
  <c r="G176"/>
  <c r="G147"/>
  <c r="G177" s="1"/>
  <c r="F214"/>
  <c r="H213"/>
  <c r="H146"/>
  <c r="H64"/>
  <c r="H37"/>
  <c r="H12"/>
  <c r="H175"/>
  <c r="I11"/>
  <c r="H91"/>
  <c r="I213" l="1"/>
  <c r="I146"/>
  <c r="I64"/>
  <c r="I37"/>
  <c r="I175"/>
  <c r="J11"/>
  <c r="I12"/>
  <c r="I91"/>
  <c r="H147"/>
  <c r="H176"/>
  <c r="J33"/>
  <c r="G214"/>
  <c r="H177" l="1"/>
  <c r="H214" s="1"/>
  <c r="J213"/>
  <c r="J175"/>
  <c r="J146"/>
  <c r="J64"/>
  <c r="J12"/>
  <c r="K11"/>
  <c r="J37"/>
  <c r="J91"/>
  <c r="I147"/>
  <c r="I177" s="1"/>
  <c r="I176"/>
  <c r="K33"/>
  <c r="L33" l="1"/>
  <c r="I214"/>
  <c r="J176"/>
  <c r="J147"/>
  <c r="K213"/>
  <c r="K175"/>
  <c r="K146"/>
  <c r="K12"/>
  <c r="K64"/>
  <c r="K37"/>
  <c r="L11"/>
  <c r="K91"/>
  <c r="J177" l="1"/>
  <c r="J214" s="1"/>
  <c r="M33"/>
  <c r="L146"/>
  <c r="L64"/>
  <c r="L37"/>
  <c r="L175"/>
  <c r="L12"/>
  <c r="M11"/>
  <c r="L213"/>
  <c r="L91"/>
  <c r="K176"/>
  <c r="K147"/>
  <c r="K177" s="1"/>
  <c r="K214" l="1"/>
  <c r="M213"/>
  <c r="M146"/>
  <c r="M64"/>
  <c r="M37"/>
  <c r="M175"/>
  <c r="N11"/>
  <c r="M12"/>
  <c r="M91"/>
  <c r="L147"/>
  <c r="L177" s="1"/>
  <c r="L176"/>
  <c r="N33"/>
  <c r="O33" l="1"/>
  <c r="N213"/>
  <c r="N175"/>
  <c r="N146"/>
  <c r="N64"/>
  <c r="N37"/>
  <c r="N12"/>
  <c r="O11"/>
  <c r="N91"/>
  <c r="L214"/>
  <c r="M147"/>
  <c r="M177" s="1"/>
  <c r="M176"/>
  <c r="O213" l="1"/>
  <c r="O175"/>
  <c r="O64"/>
  <c r="P11"/>
  <c r="O37"/>
  <c r="O12"/>
  <c r="O146"/>
  <c r="O91"/>
  <c r="M214"/>
  <c r="N176"/>
  <c r="N147"/>
  <c r="N177" s="1"/>
  <c r="P33"/>
  <c r="Q33" l="1"/>
  <c r="P213"/>
  <c r="P146"/>
  <c r="P64"/>
  <c r="P37"/>
  <c r="P175"/>
  <c r="Q11"/>
  <c r="P12"/>
  <c r="P91"/>
  <c r="O176"/>
  <c r="O147"/>
  <c r="O177" s="1"/>
  <c r="N214"/>
  <c r="O214" l="1"/>
  <c r="Q213"/>
  <c r="Q146"/>
  <c r="Q64"/>
  <c r="Q37"/>
  <c r="Q175"/>
  <c r="R11"/>
  <c r="Q12"/>
  <c r="Q91"/>
  <c r="R33"/>
  <c r="P147"/>
  <c r="P177" s="1"/>
  <c r="P176"/>
  <c r="Q147" l="1"/>
  <c r="Q177" s="1"/>
  <c r="Q176"/>
  <c r="P214"/>
  <c r="S33"/>
  <c r="R213"/>
  <c r="R175"/>
  <c r="R146"/>
  <c r="R64"/>
  <c r="R37"/>
  <c r="R12"/>
  <c r="S11"/>
  <c r="R91"/>
  <c r="S213" l="1"/>
  <c r="S175"/>
  <c r="S64"/>
  <c r="S12"/>
  <c r="S37"/>
  <c r="T11"/>
  <c r="S146"/>
  <c r="S91"/>
  <c r="T33"/>
  <c r="Q214"/>
  <c r="R176"/>
  <c r="R147"/>
  <c r="R177" s="1"/>
  <c r="R214" l="1"/>
  <c r="T213"/>
  <c r="T146"/>
  <c r="T64"/>
  <c r="T37"/>
  <c r="T175"/>
  <c r="T12"/>
  <c r="U11"/>
  <c r="T91"/>
  <c r="U33"/>
  <c r="S176"/>
  <c r="S147"/>
  <c r="S177" s="1"/>
  <c r="T147" l="1"/>
  <c r="T177" s="1"/>
  <c r="T176"/>
  <c r="U213"/>
  <c r="U146"/>
  <c r="U64"/>
  <c r="U37"/>
  <c r="U175"/>
  <c r="V11"/>
  <c r="U12"/>
  <c r="U91"/>
  <c r="S214"/>
  <c r="V33"/>
  <c r="V213" l="1"/>
  <c r="V175"/>
  <c r="V146"/>
  <c r="V64"/>
  <c r="V37"/>
  <c r="V12"/>
  <c r="W11"/>
  <c r="V91"/>
  <c r="U147"/>
  <c r="U177" s="1"/>
  <c r="U176"/>
  <c r="T214"/>
  <c r="W33"/>
  <c r="V176" l="1"/>
  <c r="V147"/>
  <c r="V177" s="1"/>
  <c r="X33"/>
  <c r="U214"/>
  <c r="W213"/>
  <c r="W175"/>
  <c r="W146"/>
  <c r="W64"/>
  <c r="W12"/>
  <c r="W37"/>
  <c r="X11"/>
  <c r="W91"/>
  <c r="V214" l="1"/>
  <c r="Z33"/>
  <c r="W176"/>
  <c r="W147"/>
  <c r="W177" s="1"/>
  <c r="X213"/>
  <c r="X146"/>
  <c r="X64"/>
  <c r="X37"/>
  <c r="X12"/>
  <c r="X175"/>
  <c r="X91"/>
  <c r="X147" l="1"/>
  <c r="X177" s="1"/>
  <c r="X176"/>
  <c r="W214"/>
  <c r="X214" l="1"/>
  <c r="L7" i="15" l="1"/>
  <c r="L8"/>
  <c r="L9"/>
  <c r="L10"/>
  <c r="L11"/>
  <c r="L12"/>
  <c r="L13"/>
  <c r="L14"/>
  <c r="L15"/>
  <c r="L16"/>
  <c r="L17"/>
  <c r="L18"/>
  <c r="L19"/>
  <c r="L20"/>
  <c r="L21"/>
  <c r="L22"/>
  <c r="L23"/>
  <c r="L24"/>
  <c r="L25"/>
  <c r="L26"/>
  <c r="L6"/>
  <c r="D9" i="6" l="1"/>
  <c r="G9"/>
  <c r="P9"/>
  <c r="D10"/>
  <c r="G10"/>
  <c r="P10"/>
  <c r="D11"/>
  <c r="G11"/>
  <c r="P11"/>
  <c r="D12"/>
  <c r="G12"/>
  <c r="P12"/>
  <c r="D13"/>
  <c r="G13"/>
  <c r="P13"/>
  <c r="D14"/>
  <c r="G14"/>
  <c r="P14"/>
  <c r="D15"/>
  <c r="G15"/>
  <c r="P15"/>
  <c r="D16"/>
  <c r="G16"/>
  <c r="P16"/>
  <c r="D17"/>
  <c r="G17"/>
  <c r="P17"/>
  <c r="D18"/>
  <c r="G18"/>
  <c r="P18"/>
  <c r="D19"/>
  <c r="G19"/>
  <c r="P19"/>
  <c r="D20"/>
  <c r="G20"/>
  <c r="P20"/>
  <c r="D21"/>
  <c r="G21"/>
  <c r="P21"/>
  <c r="D22"/>
  <c r="G22"/>
  <c r="P22"/>
  <c r="D23"/>
  <c r="G23"/>
  <c r="O23"/>
  <c r="P23"/>
  <c r="D24"/>
  <c r="G24"/>
  <c r="O24"/>
  <c r="P24"/>
  <c r="D25"/>
  <c r="G25"/>
  <c r="O25"/>
  <c r="P25"/>
  <c r="D26"/>
  <c r="G26"/>
  <c r="O26"/>
  <c r="P26"/>
  <c r="D27"/>
  <c r="G27"/>
  <c r="O27"/>
  <c r="P27"/>
  <c r="D28"/>
  <c r="G28"/>
  <c r="O28"/>
  <c r="P28"/>
  <c r="P8"/>
  <c r="G8"/>
  <c r="P7" i="15" l="1"/>
  <c r="E9" i="6" s="1"/>
  <c r="P8" i="15"/>
  <c r="E10" i="6" s="1"/>
  <c r="P9" i="15"/>
  <c r="E11" i="6" s="1"/>
  <c r="P10" i="15"/>
  <c r="E12" i="6" s="1"/>
  <c r="P11" i="15"/>
  <c r="E13" i="6" s="1"/>
  <c r="P12" i="15"/>
  <c r="E14" i="6" s="1"/>
  <c r="P13" i="15"/>
  <c r="E15" i="6" s="1"/>
  <c r="P14" i="15"/>
  <c r="E16" i="6" s="1"/>
  <c r="P15" i="15"/>
  <c r="E17" i="6" s="1"/>
  <c r="P16" i="15"/>
  <c r="E18" i="6" s="1"/>
  <c r="P17" i="15"/>
  <c r="E19" i="6" s="1"/>
  <c r="P18" i="15"/>
  <c r="E20" i="6" s="1"/>
  <c r="P19" i="15"/>
  <c r="E21" i="6" s="1"/>
  <c r="P20" i="15"/>
  <c r="E22" i="6" s="1"/>
  <c r="P21" i="15"/>
  <c r="E23" i="6" s="1"/>
  <c r="P22" i="15"/>
  <c r="E24" i="6" s="1"/>
  <c r="P23" i="15"/>
  <c r="E25" i="6" s="1"/>
  <c r="P24" i="15"/>
  <c r="E26" i="6" s="1"/>
  <c r="P25" i="15"/>
  <c r="E27" i="6" s="1"/>
  <c r="P26" i="15"/>
  <c r="E28" i="6" s="1"/>
  <c r="P6" i="15"/>
  <c r="E8" i="6" s="1"/>
  <c r="D8"/>
  <c r="C21" i="15"/>
  <c r="C22"/>
  <c r="C23"/>
  <c r="C24"/>
  <c r="C25"/>
  <c r="C26"/>
  <c r="AB41" i="22"/>
  <c r="I23" i="15"/>
  <c r="M23" s="1"/>
  <c r="N23" s="1"/>
  <c r="I22"/>
  <c r="M22" s="1"/>
  <c r="N22" s="1"/>
  <c r="I21"/>
  <c r="M21" s="1"/>
  <c r="N21" s="1"/>
  <c r="I24"/>
  <c r="M24" s="1"/>
  <c r="N24" s="1"/>
  <c r="I25"/>
  <c r="M25" s="1"/>
  <c r="N25" s="1"/>
  <c r="I26"/>
  <c r="M26" s="1"/>
  <c r="N26" s="1"/>
  <c r="Q8" i="16"/>
  <c r="Q9"/>
  <c r="Q11"/>
  <c r="Q12"/>
  <c r="Q14"/>
  <c r="Q15"/>
  <c r="Q17"/>
  <c r="Q18"/>
  <c r="G7" i="15"/>
  <c r="G8"/>
  <c r="G6"/>
  <c r="G21" s="1"/>
  <c r="C23" i="6" s="1"/>
  <c r="G19" i="15"/>
  <c r="G20"/>
  <c r="G18"/>
  <c r="G16"/>
  <c r="C18" i="6" s="1"/>
  <c r="G17" i="15"/>
  <c r="C19" i="6" s="1"/>
  <c r="G15" i="15"/>
  <c r="C17" i="6" s="1"/>
  <c r="G13" i="15"/>
  <c r="C15" i="6" s="1"/>
  <c r="G14" i="15"/>
  <c r="C16" i="6" s="1"/>
  <c r="G12" i="15"/>
  <c r="C14" i="6" s="1"/>
  <c r="G10" i="15"/>
  <c r="C12" i="6" s="1"/>
  <c r="G11" i="15"/>
  <c r="C13" i="6" s="1"/>
  <c r="G9" i="15"/>
  <c r="C11" i="6" s="1"/>
  <c r="AD42" i="22"/>
  <c r="AE43"/>
  <c r="AA41"/>
  <c r="AC41"/>
  <c r="AC42"/>
  <c r="AC43"/>
  <c r="T12"/>
  <c r="T8"/>
  <c r="T9"/>
  <c r="T10"/>
  <c r="T11"/>
  <c r="T7"/>
  <c r="S8"/>
  <c r="S12"/>
  <c r="R12"/>
  <c r="P13" s="1"/>
  <c r="R11"/>
  <c r="S11" s="1"/>
  <c r="R10"/>
  <c r="S10" s="1"/>
  <c r="R9"/>
  <c r="S9" s="1"/>
  <c r="R8"/>
  <c r="R7"/>
  <c r="S7" s="1"/>
  <c r="R20"/>
  <c r="R21"/>
  <c r="R22"/>
  <c r="R23"/>
  <c r="R24"/>
  <c r="R19"/>
  <c r="S30"/>
  <c r="T30" s="1"/>
  <c r="S31"/>
  <c r="T31" s="1"/>
  <c r="S32"/>
  <c r="T32" s="1"/>
  <c r="S33"/>
  <c r="S34"/>
  <c r="T34" s="1"/>
  <c r="S35"/>
  <c r="Q30"/>
  <c r="R30" s="1"/>
  <c r="Q31"/>
  <c r="R31" s="1"/>
  <c r="Q32"/>
  <c r="Q33"/>
  <c r="R33" s="1"/>
  <c r="Q34"/>
  <c r="R34" s="1"/>
  <c r="Q35"/>
  <c r="U35"/>
  <c r="U34"/>
  <c r="V34" s="1"/>
  <c r="U33"/>
  <c r="V33" s="1"/>
  <c r="T33"/>
  <c r="U32"/>
  <c r="V32" s="1"/>
  <c r="R32"/>
  <c r="V31"/>
  <c r="U31"/>
  <c r="U30"/>
  <c r="V30" s="1"/>
  <c r="B24" i="15" l="1"/>
  <c r="A26" i="6" s="1"/>
  <c r="B26"/>
  <c r="B23" i="15"/>
  <c r="A25" i="6" s="1"/>
  <c r="B25"/>
  <c r="B25" i="15"/>
  <c r="A27" i="6" s="1"/>
  <c r="B27"/>
  <c r="B21" i="15"/>
  <c r="A23" i="6" s="1"/>
  <c r="B23"/>
  <c r="B26" i="15"/>
  <c r="A28" i="6" s="1"/>
  <c r="B28"/>
  <c r="B22" i="15"/>
  <c r="A24" i="6" s="1"/>
  <c r="B24"/>
  <c r="G25" i="15"/>
  <c r="C27" i="6" s="1"/>
  <c r="C21"/>
  <c r="G24" i="15"/>
  <c r="C26" i="6" s="1"/>
  <c r="C20"/>
  <c r="G23" i="15"/>
  <c r="C25" i="6" s="1"/>
  <c r="C10"/>
  <c r="G26" i="15"/>
  <c r="C28" i="6" s="1"/>
  <c r="C22"/>
  <c r="G22" i="15"/>
  <c r="C24" i="6" s="1"/>
  <c r="C9"/>
  <c r="C8"/>
  <c r="V35" i="22"/>
  <c r="W33"/>
  <c r="T35"/>
  <c r="W31"/>
  <c r="W34"/>
  <c r="R35"/>
  <c r="W35" s="1"/>
  <c r="W30"/>
  <c r="W32"/>
  <c r="T41" l="1"/>
  <c r="T46" s="1"/>
  <c r="T45"/>
  <c r="R41"/>
  <c r="R44"/>
  <c r="T43"/>
  <c r="T42"/>
  <c r="R42"/>
  <c r="V43"/>
  <c r="R43"/>
  <c r="V41"/>
  <c r="T44"/>
  <c r="R45"/>
  <c r="V42"/>
  <c r="V45"/>
  <c r="V44"/>
  <c r="V46" l="1"/>
  <c r="R46"/>
  <c r="U18" i="20" l="1"/>
  <c r="T18"/>
  <c r="I18"/>
  <c r="S18" s="1"/>
  <c r="H18"/>
  <c r="G18"/>
  <c r="C18"/>
  <c r="D18" s="1"/>
  <c r="U17"/>
  <c r="T17"/>
  <c r="I17"/>
  <c r="S17" s="1"/>
  <c r="H17"/>
  <c r="G17"/>
  <c r="C17"/>
  <c r="D17" s="1"/>
  <c r="N17" s="1"/>
  <c r="U16"/>
  <c r="T16"/>
  <c r="S16"/>
  <c r="R16"/>
  <c r="V16" s="1"/>
  <c r="J16"/>
  <c r="I16"/>
  <c r="H16"/>
  <c r="M17" s="1"/>
  <c r="G16"/>
  <c r="L17" s="1"/>
  <c r="Q17" s="1"/>
  <c r="D16"/>
  <c r="N18" s="1"/>
  <c r="C16"/>
  <c r="U15"/>
  <c r="T15"/>
  <c r="R15"/>
  <c r="M15"/>
  <c r="K15"/>
  <c r="J15"/>
  <c r="I15"/>
  <c r="S15" s="1"/>
  <c r="H15"/>
  <c r="G15"/>
  <c r="D15"/>
  <c r="C15"/>
  <c r="T14"/>
  <c r="U14" s="1"/>
  <c r="S14"/>
  <c r="J14"/>
  <c r="I14"/>
  <c r="H14"/>
  <c r="G14"/>
  <c r="L14" s="1"/>
  <c r="Q14" s="1"/>
  <c r="D14"/>
  <c r="C14"/>
  <c r="R14" s="1"/>
  <c r="V14" s="1"/>
  <c r="U13"/>
  <c r="T13"/>
  <c r="J13"/>
  <c r="O15" s="1"/>
  <c r="I13"/>
  <c r="S13" s="1"/>
  <c r="H13"/>
  <c r="M14" s="1"/>
  <c r="G13"/>
  <c r="L15" s="1"/>
  <c r="D13"/>
  <c r="N14" s="1"/>
  <c r="C13"/>
  <c r="R13" s="1"/>
  <c r="V13" s="1"/>
  <c r="T12"/>
  <c r="U12" s="1"/>
  <c r="S12"/>
  <c r="L12"/>
  <c r="Q12" s="1"/>
  <c r="K12"/>
  <c r="I12"/>
  <c r="J12" s="1"/>
  <c r="H12"/>
  <c r="G12"/>
  <c r="D12"/>
  <c r="C12"/>
  <c r="R12" s="1"/>
  <c r="V12" s="1"/>
  <c r="U11"/>
  <c r="T11"/>
  <c r="I11"/>
  <c r="S11" s="1"/>
  <c r="H11"/>
  <c r="G11"/>
  <c r="C11"/>
  <c r="D11" s="1"/>
  <c r="T10"/>
  <c r="U10" s="1"/>
  <c r="S10"/>
  <c r="R10"/>
  <c r="I10"/>
  <c r="J10" s="1"/>
  <c r="H10"/>
  <c r="M12" s="1"/>
  <c r="G10"/>
  <c r="L11" s="1"/>
  <c r="Q11" s="1"/>
  <c r="C10"/>
  <c r="D10" s="1"/>
  <c r="U9"/>
  <c r="T9"/>
  <c r="R9"/>
  <c r="M9"/>
  <c r="K9"/>
  <c r="J9"/>
  <c r="I9"/>
  <c r="S9" s="1"/>
  <c r="H9"/>
  <c r="G9"/>
  <c r="D9"/>
  <c r="C9"/>
  <c r="T8"/>
  <c r="U8" s="1"/>
  <c r="S8"/>
  <c r="J8"/>
  <c r="I8"/>
  <c r="H8"/>
  <c r="G8"/>
  <c r="L8" s="1"/>
  <c r="Q8" s="1"/>
  <c r="D8"/>
  <c r="C8"/>
  <c r="R8" s="1"/>
  <c r="V8" s="1"/>
  <c r="U7"/>
  <c r="T7"/>
  <c r="J7"/>
  <c r="O9" s="1"/>
  <c r="I7"/>
  <c r="S7" s="1"/>
  <c r="H7"/>
  <c r="M8" s="1"/>
  <c r="G7"/>
  <c r="L9" s="1"/>
  <c r="D7"/>
  <c r="N8" s="1"/>
  <c r="C7"/>
  <c r="R7" s="1"/>
  <c r="V7" s="1"/>
  <c r="K3"/>
  <c r="U18" i="19"/>
  <c r="T18"/>
  <c r="R18"/>
  <c r="V18" s="1"/>
  <c r="I18"/>
  <c r="S18" s="1"/>
  <c r="H18"/>
  <c r="M18" s="1"/>
  <c r="G18"/>
  <c r="L18" s="1"/>
  <c r="Q18" s="1"/>
  <c r="D18"/>
  <c r="U17"/>
  <c r="T17"/>
  <c r="R17"/>
  <c r="V17" s="1"/>
  <c r="I17"/>
  <c r="S17" s="1"/>
  <c r="H17"/>
  <c r="M17" s="1"/>
  <c r="G17"/>
  <c r="L17" s="1"/>
  <c r="Q17" s="1"/>
  <c r="D17"/>
  <c r="U16"/>
  <c r="T16"/>
  <c r="R16"/>
  <c r="J16"/>
  <c r="I16"/>
  <c r="S16" s="1"/>
  <c r="H16"/>
  <c r="G16"/>
  <c r="D16"/>
  <c r="N18" s="1"/>
  <c r="T15"/>
  <c r="U15" s="1"/>
  <c r="S15"/>
  <c r="R15"/>
  <c r="K15"/>
  <c r="F17" i="15" s="1"/>
  <c r="O19" i="6" s="1"/>
  <c r="J15" i="19"/>
  <c r="I15"/>
  <c r="H15"/>
  <c r="G15"/>
  <c r="D15"/>
  <c r="N15" s="1"/>
  <c r="T14"/>
  <c r="U14" s="1"/>
  <c r="S14"/>
  <c r="R14"/>
  <c r="V14" s="1"/>
  <c r="J14"/>
  <c r="I14"/>
  <c r="H14"/>
  <c r="G14"/>
  <c r="L14" s="1"/>
  <c r="Q14" s="1"/>
  <c r="D14"/>
  <c r="T13"/>
  <c r="U13" s="1"/>
  <c r="R13"/>
  <c r="I13"/>
  <c r="J13" s="1"/>
  <c r="H13"/>
  <c r="M15" s="1"/>
  <c r="G13"/>
  <c r="L15" s="1"/>
  <c r="Q15" s="1"/>
  <c r="D13"/>
  <c r="N14" s="1"/>
  <c r="U12"/>
  <c r="T12"/>
  <c r="R12"/>
  <c r="K12"/>
  <c r="J12"/>
  <c r="I12"/>
  <c r="S12" s="1"/>
  <c r="H12"/>
  <c r="G12"/>
  <c r="D12"/>
  <c r="N12" s="1"/>
  <c r="T11"/>
  <c r="U11" s="1"/>
  <c r="S11"/>
  <c r="R11"/>
  <c r="J11"/>
  <c r="I11"/>
  <c r="H11"/>
  <c r="G11"/>
  <c r="D11"/>
  <c r="N11" s="1"/>
  <c r="T10"/>
  <c r="U10" s="1"/>
  <c r="S10"/>
  <c r="R10"/>
  <c r="I10"/>
  <c r="J10" s="1"/>
  <c r="H10"/>
  <c r="M11" s="1"/>
  <c r="G10"/>
  <c r="L12" s="1"/>
  <c r="D10"/>
  <c r="U9"/>
  <c r="T9"/>
  <c r="R9"/>
  <c r="M9"/>
  <c r="K9"/>
  <c r="I9"/>
  <c r="S9" s="1"/>
  <c r="H9"/>
  <c r="G9"/>
  <c r="D9"/>
  <c r="U8"/>
  <c r="T8"/>
  <c r="R8"/>
  <c r="N8"/>
  <c r="I8"/>
  <c r="S8" s="1"/>
  <c r="H8"/>
  <c r="M8" s="1"/>
  <c r="G8"/>
  <c r="D8"/>
  <c r="U7"/>
  <c r="T7"/>
  <c r="R7"/>
  <c r="J7"/>
  <c r="I7"/>
  <c r="S7" s="1"/>
  <c r="H7"/>
  <c r="G7"/>
  <c r="L8" s="1"/>
  <c r="Q8" s="1"/>
  <c r="D7"/>
  <c r="N9" s="1"/>
  <c r="K3"/>
  <c r="U18" i="18"/>
  <c r="T18"/>
  <c r="S18"/>
  <c r="R18"/>
  <c r="V18" s="1"/>
  <c r="M18"/>
  <c r="J18"/>
  <c r="H18"/>
  <c r="G18"/>
  <c r="D18"/>
  <c r="T17"/>
  <c r="U17" s="1"/>
  <c r="S17"/>
  <c r="R17"/>
  <c r="V17" s="1"/>
  <c r="J17"/>
  <c r="O17" s="1"/>
  <c r="H17"/>
  <c r="G17"/>
  <c r="D17"/>
  <c r="T16"/>
  <c r="U16" s="1"/>
  <c r="S16"/>
  <c r="R16"/>
  <c r="V16" s="1"/>
  <c r="J16"/>
  <c r="O18" s="1"/>
  <c r="H16"/>
  <c r="M17" s="1"/>
  <c r="G16"/>
  <c r="L18" s="1"/>
  <c r="Q18" s="1"/>
  <c r="D16"/>
  <c r="N17" s="1"/>
  <c r="T15"/>
  <c r="U15" s="1"/>
  <c r="S15"/>
  <c r="R15"/>
  <c r="O15"/>
  <c r="K15"/>
  <c r="J15"/>
  <c r="H15"/>
  <c r="G15"/>
  <c r="D15"/>
  <c r="T14"/>
  <c r="U14" s="1"/>
  <c r="S14"/>
  <c r="R14"/>
  <c r="V14" s="1"/>
  <c r="J14"/>
  <c r="O14" s="1"/>
  <c r="H14"/>
  <c r="G14"/>
  <c r="D14"/>
  <c r="T13"/>
  <c r="U13" s="1"/>
  <c r="S13"/>
  <c r="R13"/>
  <c r="J13"/>
  <c r="H13"/>
  <c r="M15" s="1"/>
  <c r="P15" s="1"/>
  <c r="G13"/>
  <c r="L15" s="1"/>
  <c r="Q15" s="1"/>
  <c r="D13"/>
  <c r="N15" s="1"/>
  <c r="T12"/>
  <c r="U12" s="1"/>
  <c r="S12"/>
  <c r="R12"/>
  <c r="O12"/>
  <c r="K12"/>
  <c r="J12"/>
  <c r="H12"/>
  <c r="G12"/>
  <c r="D12"/>
  <c r="T11"/>
  <c r="U11" s="1"/>
  <c r="S11"/>
  <c r="R11"/>
  <c r="J11"/>
  <c r="O11" s="1"/>
  <c r="H11"/>
  <c r="G11"/>
  <c r="D11"/>
  <c r="T10"/>
  <c r="U10" s="1"/>
  <c r="S10"/>
  <c r="R10"/>
  <c r="J10"/>
  <c r="H10"/>
  <c r="M12" s="1"/>
  <c r="P12" s="1"/>
  <c r="G10"/>
  <c r="L12" s="1"/>
  <c r="Q12" s="1"/>
  <c r="D10"/>
  <c r="N12" s="1"/>
  <c r="T9"/>
  <c r="U9" s="1"/>
  <c r="S9"/>
  <c r="R9"/>
  <c r="V9" s="1"/>
  <c r="O9"/>
  <c r="K9"/>
  <c r="J9"/>
  <c r="H9"/>
  <c r="G9"/>
  <c r="D9"/>
  <c r="T8"/>
  <c r="U8" s="1"/>
  <c r="S8"/>
  <c r="R8"/>
  <c r="J8"/>
  <c r="O8" s="1"/>
  <c r="H8"/>
  <c r="G8"/>
  <c r="D8"/>
  <c r="T7"/>
  <c r="U7" s="1"/>
  <c r="S7"/>
  <c r="R7"/>
  <c r="V7" s="1"/>
  <c r="J7"/>
  <c r="H7"/>
  <c r="M9" s="1"/>
  <c r="G7"/>
  <c r="L9" s="1"/>
  <c r="D7"/>
  <c r="N9" s="1"/>
  <c r="K3"/>
  <c r="U18" i="17"/>
  <c r="T18"/>
  <c r="S18"/>
  <c r="R18"/>
  <c r="V18" s="1"/>
  <c r="M18"/>
  <c r="J18"/>
  <c r="H18"/>
  <c r="G18"/>
  <c r="D18"/>
  <c r="T17"/>
  <c r="U17" s="1"/>
  <c r="S17"/>
  <c r="R17"/>
  <c r="J17"/>
  <c r="O17" s="1"/>
  <c r="H17"/>
  <c r="G17"/>
  <c r="D17"/>
  <c r="T16"/>
  <c r="U16" s="1"/>
  <c r="S16"/>
  <c r="R16"/>
  <c r="V16" s="1"/>
  <c r="J16"/>
  <c r="O18" s="1"/>
  <c r="H16"/>
  <c r="M17" s="1"/>
  <c r="G16"/>
  <c r="L18" s="1"/>
  <c r="Q18" s="1"/>
  <c r="D16"/>
  <c r="N17" s="1"/>
  <c r="T15"/>
  <c r="U15" s="1"/>
  <c r="S15"/>
  <c r="R15"/>
  <c r="V15" s="1"/>
  <c r="K15"/>
  <c r="J15"/>
  <c r="G15"/>
  <c r="L15" s="1"/>
  <c r="Q15" s="1"/>
  <c r="E15"/>
  <c r="H15" s="1"/>
  <c r="D15"/>
  <c r="U14"/>
  <c r="T14"/>
  <c r="S14"/>
  <c r="R14"/>
  <c r="V14" s="1"/>
  <c r="J14"/>
  <c r="G14"/>
  <c r="L14" s="1"/>
  <c r="Q14" s="1"/>
  <c r="E14"/>
  <c r="H14" s="1"/>
  <c r="M14" s="1"/>
  <c r="D14"/>
  <c r="U13"/>
  <c r="T13"/>
  <c r="S13"/>
  <c r="R13"/>
  <c r="V13" s="1"/>
  <c r="J13"/>
  <c r="O14" s="1"/>
  <c r="H13"/>
  <c r="G13"/>
  <c r="E13"/>
  <c r="D13"/>
  <c r="N15" s="1"/>
  <c r="T12"/>
  <c r="U12" s="1"/>
  <c r="S12"/>
  <c r="R12"/>
  <c r="V12" s="1"/>
  <c r="O12"/>
  <c r="K12"/>
  <c r="J12"/>
  <c r="G12"/>
  <c r="E12"/>
  <c r="H12" s="1"/>
  <c r="D12"/>
  <c r="N12" s="1"/>
  <c r="T11"/>
  <c r="U11" s="1"/>
  <c r="S11"/>
  <c r="R11"/>
  <c r="L11"/>
  <c r="Q11" s="1"/>
  <c r="J11"/>
  <c r="O11" s="1"/>
  <c r="G11"/>
  <c r="E11"/>
  <c r="H11" s="1"/>
  <c r="D11"/>
  <c r="T10"/>
  <c r="U10" s="1"/>
  <c r="S10"/>
  <c r="R10"/>
  <c r="J10"/>
  <c r="H10"/>
  <c r="M12" s="1"/>
  <c r="P12" s="1"/>
  <c r="G10"/>
  <c r="L12" s="1"/>
  <c r="Q12" s="1"/>
  <c r="E10"/>
  <c r="D10"/>
  <c r="N11" s="1"/>
  <c r="U9"/>
  <c r="T9"/>
  <c r="S9"/>
  <c r="R9"/>
  <c r="V9" s="1"/>
  <c r="K9"/>
  <c r="J9"/>
  <c r="H9"/>
  <c r="G9"/>
  <c r="E9"/>
  <c r="D9"/>
  <c r="N9" s="1"/>
  <c r="T8"/>
  <c r="U8" s="1"/>
  <c r="S8"/>
  <c r="R8"/>
  <c r="V8" s="1"/>
  <c r="O8"/>
  <c r="J8"/>
  <c r="H8"/>
  <c r="G8"/>
  <c r="E8"/>
  <c r="D8"/>
  <c r="N8" s="1"/>
  <c r="T7"/>
  <c r="U7" s="1"/>
  <c r="S7"/>
  <c r="R7"/>
  <c r="J7"/>
  <c r="O9" s="1"/>
  <c r="G7"/>
  <c r="E7"/>
  <c r="H7" s="1"/>
  <c r="D7"/>
  <c r="K3"/>
  <c r="U18" i="16"/>
  <c r="T18"/>
  <c r="S18"/>
  <c r="R18"/>
  <c r="V18" s="1"/>
  <c r="N18"/>
  <c r="J18"/>
  <c r="H18"/>
  <c r="G18"/>
  <c r="D18"/>
  <c r="U17"/>
  <c r="T17"/>
  <c r="S17"/>
  <c r="R17"/>
  <c r="V17" s="1"/>
  <c r="J17"/>
  <c r="H17"/>
  <c r="G17"/>
  <c r="D17"/>
  <c r="T16"/>
  <c r="U16" s="1"/>
  <c r="S16"/>
  <c r="R16"/>
  <c r="V16" s="1"/>
  <c r="J16"/>
  <c r="O17" s="1"/>
  <c r="H16"/>
  <c r="M18" s="1"/>
  <c r="G16"/>
  <c r="L18" s="1"/>
  <c r="D16"/>
  <c r="N17" s="1"/>
  <c r="U15"/>
  <c r="T15"/>
  <c r="S15"/>
  <c r="R15"/>
  <c r="V15" s="1"/>
  <c r="K15"/>
  <c r="J15"/>
  <c r="H15"/>
  <c r="G15"/>
  <c r="D15"/>
  <c r="U14"/>
  <c r="T14"/>
  <c r="S14"/>
  <c r="R14"/>
  <c r="V14" s="1"/>
  <c r="J14"/>
  <c r="H14"/>
  <c r="G14"/>
  <c r="D14"/>
  <c r="T13"/>
  <c r="U13" s="1"/>
  <c r="S13"/>
  <c r="R13"/>
  <c r="V13" s="1"/>
  <c r="J13"/>
  <c r="O15" s="1"/>
  <c r="H13"/>
  <c r="M15" s="1"/>
  <c r="P15" s="1"/>
  <c r="G13"/>
  <c r="L15" s="1"/>
  <c r="F8" i="15" s="1"/>
  <c r="O10" i="6" s="1"/>
  <c r="D13" i="16"/>
  <c r="N15" s="1"/>
  <c r="U12"/>
  <c r="T12"/>
  <c r="S12"/>
  <c r="R12"/>
  <c r="V12" s="1"/>
  <c r="K12"/>
  <c r="J12"/>
  <c r="H12"/>
  <c r="G12"/>
  <c r="D12"/>
  <c r="U11"/>
  <c r="T11"/>
  <c r="S11"/>
  <c r="R11"/>
  <c r="V11" s="1"/>
  <c r="J11"/>
  <c r="H11"/>
  <c r="G11"/>
  <c r="D11"/>
  <c r="T10"/>
  <c r="U10" s="1"/>
  <c r="S10"/>
  <c r="R10"/>
  <c r="V10" s="1"/>
  <c r="J10"/>
  <c r="O12" s="1"/>
  <c r="H10"/>
  <c r="M12" s="1"/>
  <c r="P12" s="1"/>
  <c r="G10"/>
  <c r="L12" s="1"/>
  <c r="F7" i="15" s="1"/>
  <c r="O9" i="6" s="1"/>
  <c r="D10" i="16"/>
  <c r="N12" s="1"/>
  <c r="U9"/>
  <c r="T9"/>
  <c r="S9"/>
  <c r="R9"/>
  <c r="V9" s="1"/>
  <c r="K9"/>
  <c r="J9"/>
  <c r="H9"/>
  <c r="G9"/>
  <c r="D9"/>
  <c r="U8"/>
  <c r="T8"/>
  <c r="S8"/>
  <c r="R8"/>
  <c r="V8" s="1"/>
  <c r="J8"/>
  <c r="H8"/>
  <c r="G8"/>
  <c r="D8"/>
  <c r="T7"/>
  <c r="U7" s="1"/>
  <c r="S7"/>
  <c r="R7"/>
  <c r="V7" s="1"/>
  <c r="J7"/>
  <c r="O9" s="1"/>
  <c r="H7"/>
  <c r="M9" s="1"/>
  <c r="P9" s="1"/>
  <c r="G7"/>
  <c r="L9" s="1"/>
  <c r="F6" i="15" s="1"/>
  <c r="O8" i="6" s="1"/>
  <c r="D7" i="16"/>
  <c r="N9" s="1"/>
  <c r="K3"/>
  <c r="D20" i="15"/>
  <c r="C20" s="1"/>
  <c r="B20" s="1"/>
  <c r="F19"/>
  <c r="O21" i="6" s="1"/>
  <c r="D19" i="15"/>
  <c r="C19" s="1"/>
  <c r="B19" s="1"/>
  <c r="D18"/>
  <c r="C18" s="1"/>
  <c r="B18" s="1"/>
  <c r="D17"/>
  <c r="C17" s="1"/>
  <c r="B17" s="1"/>
  <c r="D16"/>
  <c r="C16" s="1"/>
  <c r="B16" s="1"/>
  <c r="D15"/>
  <c r="C15" s="1"/>
  <c r="B15" s="1"/>
  <c r="D14"/>
  <c r="C14" s="1"/>
  <c r="B14" s="1"/>
  <c r="D13"/>
  <c r="C13" s="1"/>
  <c r="B13" s="1"/>
  <c r="D12"/>
  <c r="C12" s="1"/>
  <c r="B12" s="1"/>
  <c r="F11"/>
  <c r="O13" i="6" s="1"/>
  <c r="D11" i="15"/>
  <c r="C11" s="1"/>
  <c r="B11" s="1"/>
  <c r="D10"/>
  <c r="C10" s="1"/>
  <c r="B10" s="1"/>
  <c r="D9"/>
  <c r="C9" s="1"/>
  <c r="B9" s="1"/>
  <c r="D8"/>
  <c r="C8" s="1"/>
  <c r="B8" s="1"/>
  <c r="D7"/>
  <c r="C7" s="1"/>
  <c r="B7" s="1"/>
  <c r="D6"/>
  <c r="C6" s="1"/>
  <c r="B6" s="1"/>
  <c r="A40" i="3" l="1"/>
  <c r="A42"/>
  <c r="A44"/>
  <c r="A46"/>
  <c r="A48"/>
  <c r="A50"/>
  <c r="A52"/>
  <c r="A54"/>
  <c r="A56"/>
  <c r="A58"/>
  <c r="B53"/>
  <c r="B55"/>
  <c r="B57"/>
  <c r="A41"/>
  <c r="A53"/>
  <c r="B56"/>
  <c r="A39"/>
  <c r="A47"/>
  <c r="A51"/>
  <c r="A38"/>
  <c r="B54"/>
  <c r="B58"/>
  <c r="Y58" s="1"/>
  <c r="Y168" s="1"/>
  <c r="A45"/>
  <c r="A49"/>
  <c r="A57"/>
  <c r="A43"/>
  <c r="A55"/>
  <c r="A15" i="6"/>
  <c r="B15"/>
  <c r="A22"/>
  <c r="B22"/>
  <c r="A11"/>
  <c r="B11"/>
  <c r="A18"/>
  <c r="B18"/>
  <c r="A10"/>
  <c r="B10"/>
  <c r="A17"/>
  <c r="B17"/>
  <c r="A21"/>
  <c r="B21"/>
  <c r="A12"/>
  <c r="B12"/>
  <c r="A19"/>
  <c r="B19"/>
  <c r="A14"/>
  <c r="B14"/>
  <c r="A9"/>
  <c r="B9"/>
  <c r="A13"/>
  <c r="B13"/>
  <c r="A16"/>
  <c r="B16"/>
  <c r="A20"/>
  <c r="B20"/>
  <c r="B8"/>
  <c r="A8"/>
  <c r="I8" i="15"/>
  <c r="J8"/>
  <c r="K8" s="1"/>
  <c r="I15"/>
  <c r="J15"/>
  <c r="K15" s="1"/>
  <c r="J19"/>
  <c r="K19" s="1"/>
  <c r="I19"/>
  <c r="I11"/>
  <c r="J11"/>
  <c r="K11" s="1"/>
  <c r="J14"/>
  <c r="K14" s="1"/>
  <c r="I14"/>
  <c r="J9"/>
  <c r="K9" s="1"/>
  <c r="I9"/>
  <c r="J12"/>
  <c r="K12" s="1"/>
  <c r="I12"/>
  <c r="J16"/>
  <c r="K16" s="1"/>
  <c r="I16"/>
  <c r="J7"/>
  <c r="K7" s="1"/>
  <c r="I7"/>
  <c r="I18"/>
  <c r="J18"/>
  <c r="K18" s="1"/>
  <c r="J6"/>
  <c r="K6" s="1"/>
  <c r="I6"/>
  <c r="J10"/>
  <c r="K10" s="1"/>
  <c r="I10"/>
  <c r="I13"/>
  <c r="J13"/>
  <c r="K13" s="1"/>
  <c r="J17"/>
  <c r="K17" s="1"/>
  <c r="I17"/>
  <c r="J20"/>
  <c r="K20" s="1"/>
  <c r="I20"/>
  <c r="Q12" i="19"/>
  <c r="F16" i="15"/>
  <c r="O18" i="6" s="1"/>
  <c r="N12" i="20"/>
  <c r="P12" s="1"/>
  <c r="N11"/>
  <c r="Q15"/>
  <c r="F20" i="15"/>
  <c r="O22" i="6" s="1"/>
  <c r="V7" i="17"/>
  <c r="P11" i="19"/>
  <c r="V9" i="20"/>
  <c r="P14"/>
  <c r="M8" i="16"/>
  <c r="M11"/>
  <c r="M14"/>
  <c r="M17"/>
  <c r="P17" s="1"/>
  <c r="V10" i="17"/>
  <c r="V11"/>
  <c r="V17"/>
  <c r="V8" i="18"/>
  <c r="V10"/>
  <c r="V12"/>
  <c r="P17"/>
  <c r="P18"/>
  <c r="P8" i="19"/>
  <c r="V9"/>
  <c r="V12"/>
  <c r="V10" i="20"/>
  <c r="M8" i="17"/>
  <c r="P8" s="1"/>
  <c r="M9"/>
  <c r="P9" s="1"/>
  <c r="Q9" i="18"/>
  <c r="F12" i="15"/>
  <c r="O14" i="6" s="1"/>
  <c r="O12" i="19"/>
  <c r="O11"/>
  <c r="O14"/>
  <c r="O15"/>
  <c r="P15" s="1"/>
  <c r="L9" i="17"/>
  <c r="L8"/>
  <c r="Q8" s="1"/>
  <c r="F18" i="15"/>
  <c r="O20" i="6" s="1"/>
  <c r="Q9" i="20"/>
  <c r="O12"/>
  <c r="V15"/>
  <c r="O18"/>
  <c r="M15" i="17"/>
  <c r="P17"/>
  <c r="P9" i="18"/>
  <c r="V11"/>
  <c r="V13"/>
  <c r="V15"/>
  <c r="V7" i="19"/>
  <c r="V8"/>
  <c r="V10"/>
  <c r="V11"/>
  <c r="V13"/>
  <c r="V15"/>
  <c r="V16"/>
  <c r="L17" i="17"/>
  <c r="Q17" s="1"/>
  <c r="L8" i="18"/>
  <c r="Q8" s="1"/>
  <c r="L11"/>
  <c r="Q11" s="1"/>
  <c r="L14"/>
  <c r="Q14" s="1"/>
  <c r="L17"/>
  <c r="Q17" s="1"/>
  <c r="N9" i="20"/>
  <c r="P9" s="1"/>
  <c r="R11"/>
  <c r="V11" s="1"/>
  <c r="N15"/>
  <c r="P15" s="1"/>
  <c r="R17"/>
  <c r="V17" s="1"/>
  <c r="M18"/>
  <c r="L8" i="16"/>
  <c r="L11"/>
  <c r="L14"/>
  <c r="L17"/>
  <c r="O15" i="17"/>
  <c r="L9" i="19"/>
  <c r="M12"/>
  <c r="S13"/>
  <c r="O8" i="20"/>
  <c r="P8" s="1"/>
  <c r="M11"/>
  <c r="O14"/>
  <c r="L18"/>
  <c r="Q18" s="1"/>
  <c r="F10" i="15"/>
  <c r="O12" i="6" s="1"/>
  <c r="F14" i="15"/>
  <c r="O16" i="6" s="1"/>
  <c r="N8" i="16"/>
  <c r="N11"/>
  <c r="N14"/>
  <c r="O18"/>
  <c r="P18" s="1"/>
  <c r="M11" i="17"/>
  <c r="P11" s="1"/>
  <c r="N14"/>
  <c r="P14" s="1"/>
  <c r="N18"/>
  <c r="P18" s="1"/>
  <c r="M8" i="18"/>
  <c r="M11"/>
  <c r="M14"/>
  <c r="P14" s="1"/>
  <c r="N18"/>
  <c r="J8" i="19"/>
  <c r="O8"/>
  <c r="J9"/>
  <c r="O9" s="1"/>
  <c r="P9" s="1"/>
  <c r="L11"/>
  <c r="Q11" s="1"/>
  <c r="M14"/>
  <c r="P14" s="1"/>
  <c r="N17"/>
  <c r="J11" i="20"/>
  <c r="O11" s="1"/>
  <c r="J17"/>
  <c r="O17" s="1"/>
  <c r="P17" s="1"/>
  <c r="R18"/>
  <c r="V18" s="1"/>
  <c r="F13" i="15"/>
  <c r="O15" i="6" s="1"/>
  <c r="O8" i="16"/>
  <c r="O11"/>
  <c r="O14"/>
  <c r="N8" i="18"/>
  <c r="N11"/>
  <c r="N14"/>
  <c r="J17" i="19"/>
  <c r="O17"/>
  <c r="P17" s="1"/>
  <c r="J18"/>
  <c r="O18" s="1"/>
  <c r="P18" s="1"/>
  <c r="J18" i="20"/>
  <c r="AE23" i="10" l="1"/>
  <c r="Y177" i="3"/>
  <c r="Y214" s="1"/>
  <c r="Y54"/>
  <c r="Y164" s="1"/>
  <c r="AE19" i="10" s="1"/>
  <c r="Y53" i="3"/>
  <c r="Y163" s="1"/>
  <c r="AE18" i="10" s="1"/>
  <c r="E55" i="3"/>
  <c r="E109" s="1"/>
  <c r="F55"/>
  <c r="F109" s="1"/>
  <c r="F165" s="1"/>
  <c r="L20" i="10" s="1"/>
  <c r="H55" i="3"/>
  <c r="H109" s="1"/>
  <c r="G55"/>
  <c r="G109" s="1"/>
  <c r="G165" s="1"/>
  <c r="M20" i="10" s="1"/>
  <c r="I55" i="3"/>
  <c r="I109" s="1"/>
  <c r="J55"/>
  <c r="J109" s="1"/>
  <c r="K55"/>
  <c r="K109" s="1"/>
  <c r="L55"/>
  <c r="L109" s="1"/>
  <c r="L165" s="1"/>
  <c r="R20" i="10" s="1"/>
  <c r="M55" i="3"/>
  <c r="M109" s="1"/>
  <c r="M165" s="1"/>
  <c r="S20" i="10" s="1"/>
  <c r="N55" i="3"/>
  <c r="N109" s="1"/>
  <c r="O55"/>
  <c r="O109" s="1"/>
  <c r="P55"/>
  <c r="P109" s="1"/>
  <c r="Q55"/>
  <c r="Q109" s="1"/>
  <c r="R55"/>
  <c r="R109" s="1"/>
  <c r="S55"/>
  <c r="S109" s="1"/>
  <c r="S165" s="1"/>
  <c r="Y20" i="10" s="1"/>
  <c r="T55" i="3"/>
  <c r="T109" s="1"/>
  <c r="U55"/>
  <c r="U109" s="1"/>
  <c r="V55"/>
  <c r="V109" s="1"/>
  <c r="W55"/>
  <c r="W109" s="1"/>
  <c r="X55"/>
  <c r="X109" s="1"/>
  <c r="E58"/>
  <c r="E112" s="1"/>
  <c r="F58"/>
  <c r="F112" s="1"/>
  <c r="H58"/>
  <c r="H112" s="1"/>
  <c r="G58"/>
  <c r="G112" s="1"/>
  <c r="I58"/>
  <c r="I112" s="1"/>
  <c r="I168" s="1"/>
  <c r="O23" i="10" s="1"/>
  <c r="J58" i="3"/>
  <c r="J112" s="1"/>
  <c r="J168" s="1"/>
  <c r="P23" i="10" s="1"/>
  <c r="K58" i="3"/>
  <c r="K112" s="1"/>
  <c r="K168" s="1"/>
  <c r="Q23" i="10" s="1"/>
  <c r="L58" i="3"/>
  <c r="L112" s="1"/>
  <c r="M58"/>
  <c r="M112" s="1"/>
  <c r="M168" s="1"/>
  <c r="S23" i="10" s="1"/>
  <c r="N58" i="3"/>
  <c r="N112" s="1"/>
  <c r="O58"/>
  <c r="O112" s="1"/>
  <c r="P58"/>
  <c r="P112" s="1"/>
  <c r="Q58"/>
  <c r="Q112" s="1"/>
  <c r="R58"/>
  <c r="R112" s="1"/>
  <c r="S58"/>
  <c r="S112" s="1"/>
  <c r="T58"/>
  <c r="T112" s="1"/>
  <c r="U58"/>
  <c r="U112" s="1"/>
  <c r="V58"/>
  <c r="V112" s="1"/>
  <c r="V168" s="1"/>
  <c r="AB23" i="10" s="1"/>
  <c r="W58" i="3"/>
  <c r="W112" s="1"/>
  <c r="W168" s="1"/>
  <c r="AC23" i="10" s="1"/>
  <c r="X58" i="3"/>
  <c r="X112" s="1"/>
  <c r="X168" s="1"/>
  <c r="AD23" i="10" s="1"/>
  <c r="E53" i="3"/>
  <c r="E107" s="1"/>
  <c r="F53"/>
  <c r="F107" s="1"/>
  <c r="F163" s="1"/>
  <c r="L18" i="10" s="1"/>
  <c r="H53" i="3"/>
  <c r="H107" s="1"/>
  <c r="H163" s="1"/>
  <c r="N18" i="10" s="1"/>
  <c r="G53" i="3"/>
  <c r="G107" s="1"/>
  <c r="G163" s="1"/>
  <c r="M18" i="10" s="1"/>
  <c r="I53" i="3"/>
  <c r="I107" s="1"/>
  <c r="I163" s="1"/>
  <c r="O18" i="10" s="1"/>
  <c r="J53" i="3"/>
  <c r="J107" s="1"/>
  <c r="K53"/>
  <c r="K107" s="1"/>
  <c r="K163" s="1"/>
  <c r="Q18" i="10" s="1"/>
  <c r="L53" i="3"/>
  <c r="L107" s="1"/>
  <c r="M53"/>
  <c r="M107" s="1"/>
  <c r="N53"/>
  <c r="N107" s="1"/>
  <c r="N163" s="1"/>
  <c r="T18" i="10" s="1"/>
  <c r="O53" i="3"/>
  <c r="O107" s="1"/>
  <c r="O163" s="1"/>
  <c r="U18" i="10" s="1"/>
  <c r="P53" i="3"/>
  <c r="P107" s="1"/>
  <c r="P163" s="1"/>
  <c r="V18" i="10" s="1"/>
  <c r="Q53" i="3"/>
  <c r="Q107" s="1"/>
  <c r="Q163" s="1"/>
  <c r="W18" i="10" s="1"/>
  <c r="R53" i="3"/>
  <c r="R107" s="1"/>
  <c r="S53"/>
  <c r="S107" s="1"/>
  <c r="T53"/>
  <c r="T107" s="1"/>
  <c r="U53"/>
  <c r="U107" s="1"/>
  <c r="U163" s="1"/>
  <c r="AA18" i="10" s="1"/>
  <c r="V53" i="3"/>
  <c r="V107" s="1"/>
  <c r="W53"/>
  <c r="W107" s="1"/>
  <c r="W163" s="1"/>
  <c r="AC18" i="10" s="1"/>
  <c r="X53" i="3"/>
  <c r="X107" s="1"/>
  <c r="X163" s="1"/>
  <c r="AD18" i="10" s="1"/>
  <c r="Y55" i="3"/>
  <c r="Y165" s="1"/>
  <c r="AE20" i="10" s="1"/>
  <c r="E56" i="3"/>
  <c r="E110" s="1"/>
  <c r="F56"/>
  <c r="F110" s="1"/>
  <c r="F166" s="1"/>
  <c r="L21" i="10" s="1"/>
  <c r="G56" i="3"/>
  <c r="G110" s="1"/>
  <c r="G166" s="1"/>
  <c r="M21" i="10" s="1"/>
  <c r="H56" i="3"/>
  <c r="H110" s="1"/>
  <c r="H166" s="1"/>
  <c r="N21" i="10" s="1"/>
  <c r="I56" i="3"/>
  <c r="I110" s="1"/>
  <c r="I166" s="1"/>
  <c r="O21" i="10" s="1"/>
  <c r="J56" i="3"/>
  <c r="J110" s="1"/>
  <c r="J166" s="1"/>
  <c r="P21" i="10" s="1"/>
  <c r="K56" i="3"/>
  <c r="K110" s="1"/>
  <c r="L56"/>
  <c r="L110" s="1"/>
  <c r="L166" s="1"/>
  <c r="R21" i="10" s="1"/>
  <c r="M56" i="3"/>
  <c r="M110" s="1"/>
  <c r="N56"/>
  <c r="N110" s="1"/>
  <c r="O56"/>
  <c r="O110" s="1"/>
  <c r="O166" s="1"/>
  <c r="U21" i="10" s="1"/>
  <c r="P56" i="3"/>
  <c r="P110" s="1"/>
  <c r="P166" s="1"/>
  <c r="V21" i="10" s="1"/>
  <c r="Q56" i="3"/>
  <c r="Q110" s="1"/>
  <c r="Q166" s="1"/>
  <c r="W21" i="10" s="1"/>
  <c r="R56" i="3"/>
  <c r="R110" s="1"/>
  <c r="S56"/>
  <c r="S110" s="1"/>
  <c r="T56"/>
  <c r="T110" s="1"/>
  <c r="T166" s="1"/>
  <c r="Z21" i="10" s="1"/>
  <c r="U56" i="3"/>
  <c r="U110" s="1"/>
  <c r="U166" s="1"/>
  <c r="AA21" i="10" s="1"/>
  <c r="V56" i="3"/>
  <c r="V110" s="1"/>
  <c r="V166" s="1"/>
  <c r="AB21" i="10" s="1"/>
  <c r="W56" i="3"/>
  <c r="W110" s="1"/>
  <c r="X56"/>
  <c r="X110" s="1"/>
  <c r="X166" s="1"/>
  <c r="AD21" i="10" s="1"/>
  <c r="F45" i="3"/>
  <c r="F99" s="1"/>
  <c r="F155" s="1"/>
  <c r="L10" i="10" s="1"/>
  <c r="T45" i="3"/>
  <c r="T99" s="1"/>
  <c r="E57"/>
  <c r="E111" s="1"/>
  <c r="F57"/>
  <c r="F111" s="1"/>
  <c r="F167" s="1"/>
  <c r="L22" i="10" s="1"/>
  <c r="G57" i="3"/>
  <c r="G111" s="1"/>
  <c r="G167" s="1"/>
  <c r="M22" i="10" s="1"/>
  <c r="H57" i="3"/>
  <c r="H111" s="1"/>
  <c r="H167" s="1"/>
  <c r="N22" i="10" s="1"/>
  <c r="I57" i="3"/>
  <c r="I111" s="1"/>
  <c r="J57"/>
  <c r="J111" s="1"/>
  <c r="K57"/>
  <c r="K111" s="1"/>
  <c r="K167" s="1"/>
  <c r="Q22" i="10" s="1"/>
  <c r="L57" i="3"/>
  <c r="L111" s="1"/>
  <c r="L167" s="1"/>
  <c r="R22" i="10" s="1"/>
  <c r="M57" i="3"/>
  <c r="M111" s="1"/>
  <c r="M167" s="1"/>
  <c r="S22" i="10" s="1"/>
  <c r="N57" i="3"/>
  <c r="N111" s="1"/>
  <c r="N167" s="1"/>
  <c r="T22" i="10" s="1"/>
  <c r="O57" i="3"/>
  <c r="O111" s="1"/>
  <c r="P57"/>
  <c r="P111" s="1"/>
  <c r="P167" s="1"/>
  <c r="V22" i="10" s="1"/>
  <c r="Q57" i="3"/>
  <c r="Q111" s="1"/>
  <c r="Q167" s="1"/>
  <c r="W22" i="10" s="1"/>
  <c r="R57" i="3"/>
  <c r="R111" s="1"/>
  <c r="R167" s="1"/>
  <c r="X22" i="10" s="1"/>
  <c r="S57" i="3"/>
  <c r="S111" s="1"/>
  <c r="T57"/>
  <c r="T111" s="1"/>
  <c r="T167" s="1"/>
  <c r="Z22" i="10" s="1"/>
  <c r="U57" i="3"/>
  <c r="U111" s="1"/>
  <c r="U167" s="1"/>
  <c r="AA22" i="10" s="1"/>
  <c r="V57" i="3"/>
  <c r="V111" s="1"/>
  <c r="W57"/>
  <c r="W111" s="1"/>
  <c r="X57"/>
  <c r="X111" s="1"/>
  <c r="E54"/>
  <c r="E108" s="1"/>
  <c r="F54"/>
  <c r="F108" s="1"/>
  <c r="F164" s="1"/>
  <c r="L19" i="10" s="1"/>
  <c r="G54" i="3"/>
  <c r="G108" s="1"/>
  <c r="H54"/>
  <c r="H108" s="1"/>
  <c r="H164" s="1"/>
  <c r="N19" i="10" s="1"/>
  <c r="I54" i="3"/>
  <c r="I108" s="1"/>
  <c r="J54"/>
  <c r="J108" s="1"/>
  <c r="J164" s="1"/>
  <c r="P19" i="10" s="1"/>
  <c r="K54" i="3"/>
  <c r="K108" s="1"/>
  <c r="L54"/>
  <c r="L108" s="1"/>
  <c r="M54"/>
  <c r="M108" s="1"/>
  <c r="N54"/>
  <c r="N108" s="1"/>
  <c r="O54"/>
  <c r="O108" s="1"/>
  <c r="P54"/>
  <c r="P108" s="1"/>
  <c r="P164" s="1"/>
  <c r="V19" i="10" s="1"/>
  <c r="Q54" i="3"/>
  <c r="Q108" s="1"/>
  <c r="R54"/>
  <c r="R108" s="1"/>
  <c r="R164" s="1"/>
  <c r="X19" i="10" s="1"/>
  <c r="S54" i="3"/>
  <c r="S108" s="1"/>
  <c r="S164" s="1"/>
  <c r="Y19" i="10" s="1"/>
  <c r="T54" i="3"/>
  <c r="T108" s="1"/>
  <c r="T164" s="1"/>
  <c r="Z19" i="10" s="1"/>
  <c r="U54" i="3"/>
  <c r="U108" s="1"/>
  <c r="V54"/>
  <c r="V108" s="1"/>
  <c r="V164" s="1"/>
  <c r="AB19" i="10" s="1"/>
  <c r="W54" i="3"/>
  <c r="W108" s="1"/>
  <c r="X54"/>
  <c r="X108" s="1"/>
  <c r="X164" s="1"/>
  <c r="AD19" i="10" s="1"/>
  <c r="Y56" i="3"/>
  <c r="Y166" s="1"/>
  <c r="AE21" i="10" s="1"/>
  <c r="Y57" i="3"/>
  <c r="Y167" s="1"/>
  <c r="AE22" i="10" s="1"/>
  <c r="M13" i="15"/>
  <c r="N13" s="1"/>
  <c r="B45" i="3" s="1"/>
  <c r="Y45" s="1"/>
  <c r="Y155" s="1"/>
  <c r="AE10" i="10" s="1"/>
  <c r="M8" i="15"/>
  <c r="N8" s="1"/>
  <c r="B40" i="3" s="1"/>
  <c r="Y40" s="1"/>
  <c r="Y150" s="1"/>
  <c r="AE5" i="10" s="1"/>
  <c r="M12" i="15"/>
  <c r="N12" s="1"/>
  <c r="B44" i="3" s="1"/>
  <c r="Y44" s="1"/>
  <c r="Y154" s="1"/>
  <c r="AE9" i="10" s="1"/>
  <c r="M18" i="15"/>
  <c r="N18" s="1"/>
  <c r="B50" i="3" s="1"/>
  <c r="Y50" s="1"/>
  <c r="Y160" s="1"/>
  <c r="AE15" i="10" s="1"/>
  <c r="M11" i="15"/>
  <c r="N11" s="1"/>
  <c r="B43" i="3" s="1"/>
  <c r="Y43" s="1"/>
  <c r="Y153" s="1"/>
  <c r="AE8" i="10" s="1"/>
  <c r="M15" i="15"/>
  <c r="N15" s="1"/>
  <c r="B47" i="3" s="1"/>
  <c r="Y47" s="1"/>
  <c r="Y157" s="1"/>
  <c r="AE12" i="10" s="1"/>
  <c r="M20" i="15"/>
  <c r="N20" s="1"/>
  <c r="B52" i="3" s="1"/>
  <c r="Y52" s="1"/>
  <c r="Y162" s="1"/>
  <c r="AE17" i="10" s="1"/>
  <c r="M6" i="15"/>
  <c r="N6" s="1"/>
  <c r="B38" i="3" s="1"/>
  <c r="Y38" s="1"/>
  <c r="Y148" s="1"/>
  <c r="AE3" i="10" s="1"/>
  <c r="M7" i="15"/>
  <c r="N7" s="1"/>
  <c r="B39" i="3" s="1"/>
  <c r="Y39" s="1"/>
  <c r="Y149" s="1"/>
  <c r="AE4" i="10" s="1"/>
  <c r="M14" i="15"/>
  <c r="N14" s="1"/>
  <c r="B46" i="3" s="1"/>
  <c r="Y46" s="1"/>
  <c r="Y156" s="1"/>
  <c r="AE11" i="10" s="1"/>
  <c r="M19" i="15"/>
  <c r="N19" s="1"/>
  <c r="B51" i="3" s="1"/>
  <c r="Y51" s="1"/>
  <c r="Y161" s="1"/>
  <c r="AE16" i="10" s="1"/>
  <c r="M17" i="15"/>
  <c r="N17" s="1"/>
  <c r="B49" i="3" s="1"/>
  <c r="Y49" s="1"/>
  <c r="Y159" s="1"/>
  <c r="AE14" i="10" s="1"/>
  <c r="M10" i="15"/>
  <c r="N10" s="1"/>
  <c r="B42" i="3" s="1"/>
  <c r="Y42" s="1"/>
  <c r="Y152" s="1"/>
  <c r="AE7" i="10" s="1"/>
  <c r="M16" i="15"/>
  <c r="N16" s="1"/>
  <c r="B48" i="3" s="1"/>
  <c r="Y48" s="1"/>
  <c r="Y158" s="1"/>
  <c r="AE13" i="10" s="1"/>
  <c r="M9" i="15"/>
  <c r="N9" s="1"/>
  <c r="B41" i="3" s="1"/>
  <c r="Y41" s="1"/>
  <c r="Y151" s="1"/>
  <c r="AE6" i="10" s="1"/>
  <c r="F9" i="15"/>
  <c r="O11" i="6" s="1"/>
  <c r="Q9" i="17"/>
  <c r="P11" i="20"/>
  <c r="P8" i="18"/>
  <c r="P12" i="19"/>
  <c r="P18" i="20"/>
  <c r="P14" i="16"/>
  <c r="P8"/>
  <c r="Q9" i="19"/>
  <c r="F15" i="15"/>
  <c r="O17" i="6" s="1"/>
  <c r="P15" i="17"/>
  <c r="P11" i="16"/>
  <c r="P11" i="18"/>
  <c r="Q43" i="3" l="1"/>
  <c r="Q97" s="1"/>
  <c r="Q153" s="1"/>
  <c r="W8" i="10" s="1"/>
  <c r="N39" i="3"/>
  <c r="N93" s="1"/>
  <c r="N149" s="1"/>
  <c r="T4" i="10" s="1"/>
  <c r="N45" i="3"/>
  <c r="N99" s="1"/>
  <c r="K42"/>
  <c r="K96" s="1"/>
  <c r="N40"/>
  <c r="N94" s="1"/>
  <c r="N150" s="1"/>
  <c r="T5" i="10" s="1"/>
  <c r="V47" i="3"/>
  <c r="V101" s="1"/>
  <c r="V157" s="1"/>
  <c r="AB12" i="10" s="1"/>
  <c r="I46" i="3"/>
  <c r="I100" s="1"/>
  <c r="I156" s="1"/>
  <c r="O11" i="10" s="1"/>
  <c r="M45" i="3"/>
  <c r="M99" s="1"/>
  <c r="M155" s="1"/>
  <c r="S10" i="10" s="1"/>
  <c r="M40" i="3"/>
  <c r="M94" s="1"/>
  <c r="M150" s="1"/>
  <c r="S5" i="10" s="1"/>
  <c r="V49" i="3"/>
  <c r="V103" s="1"/>
  <c r="V159" s="1"/>
  <c r="AB14" i="10" s="1"/>
  <c r="F47" i="3"/>
  <c r="F101" s="1"/>
  <c r="F157" s="1"/>
  <c r="L12" i="10" s="1"/>
  <c r="J46" i="3"/>
  <c r="J100" s="1"/>
  <c r="J156" s="1"/>
  <c r="P11" i="10" s="1"/>
  <c r="V45" i="3"/>
  <c r="V99" s="1"/>
  <c r="V155" s="1"/>
  <c r="AB10" i="10" s="1"/>
  <c r="H45" i="3"/>
  <c r="H99" s="1"/>
  <c r="H155" s="1"/>
  <c r="R43"/>
  <c r="R97" s="1"/>
  <c r="R153" s="1"/>
  <c r="X8" i="10" s="1"/>
  <c r="R42" i="3"/>
  <c r="R96" s="1"/>
  <c r="R152" s="1"/>
  <c r="X7" i="10" s="1"/>
  <c r="S39" i="3"/>
  <c r="S93" s="1"/>
  <c r="S149" s="1"/>
  <c r="Y4" i="10" s="1"/>
  <c r="Q46" i="3"/>
  <c r="Q100" s="1"/>
  <c r="Q156" s="1"/>
  <c r="W11" i="10" s="1"/>
  <c r="X45" i="3"/>
  <c r="X99" s="1"/>
  <c r="X155" s="1"/>
  <c r="AD10" i="10" s="1"/>
  <c r="Q45" i="3"/>
  <c r="Q99" s="1"/>
  <c r="I45"/>
  <c r="I99" s="1"/>
  <c r="I155" s="1"/>
  <c r="I178" s="1"/>
  <c r="I215" s="1"/>
  <c r="U40"/>
  <c r="U94" s="1"/>
  <c r="U150" s="1"/>
  <c r="AA5" i="10" s="1"/>
  <c r="E40" i="3"/>
  <c r="E94" s="1"/>
  <c r="E150" s="1"/>
  <c r="K5" i="10" s="1"/>
  <c r="I43" i="3"/>
  <c r="I97" s="1"/>
  <c r="I153" s="1"/>
  <c r="O8" i="10" s="1"/>
  <c r="S42" i="3"/>
  <c r="S96" s="1"/>
  <c r="S152" s="1"/>
  <c r="Y7" i="10" s="1"/>
  <c r="R50" i="3"/>
  <c r="R104" s="1"/>
  <c r="R160" s="1"/>
  <c r="X15" i="10" s="1"/>
  <c r="V39" i="3"/>
  <c r="V93" s="1"/>
  <c r="V149" s="1"/>
  <c r="AB4" i="10" s="1"/>
  <c r="F39" i="3"/>
  <c r="F93" s="1"/>
  <c r="F149" s="1"/>
  <c r="L4" i="10" s="1"/>
  <c r="R46" i="3"/>
  <c r="R100" s="1"/>
  <c r="R156" s="1"/>
  <c r="X11" i="10" s="1"/>
  <c r="Q38" i="3"/>
  <c r="Q92" s="1"/>
  <c r="Q148" s="1"/>
  <c r="W3" i="10" s="1"/>
  <c r="R45" i="3"/>
  <c r="R99" s="1"/>
  <c r="R155" s="1"/>
  <c r="X10" i="10" s="1"/>
  <c r="L45" i="3"/>
  <c r="L99" s="1"/>
  <c r="V40"/>
  <c r="V94" s="1"/>
  <c r="V150" s="1"/>
  <c r="AB5" i="10" s="1"/>
  <c r="F40" i="3"/>
  <c r="F94" s="1"/>
  <c r="F150" s="1"/>
  <c r="L5" i="10" s="1"/>
  <c r="J43" i="3"/>
  <c r="J97" s="1"/>
  <c r="J153" s="1"/>
  <c r="P8" i="10" s="1"/>
  <c r="F49" i="3"/>
  <c r="F103" s="1"/>
  <c r="F159" s="1"/>
  <c r="L14" i="10" s="1"/>
  <c r="J42" i="3"/>
  <c r="J96" s="1"/>
  <c r="J48"/>
  <c r="J102" s="1"/>
  <c r="J158" s="1"/>
  <c r="P13" i="10" s="1"/>
  <c r="K39" i="3"/>
  <c r="K93" s="1"/>
  <c r="K149" s="1"/>
  <c r="Q4" i="10" s="1"/>
  <c r="U38" i="3"/>
  <c r="U92" s="1"/>
  <c r="U148" s="1"/>
  <c r="AA3" i="10" s="1"/>
  <c r="E38" i="3"/>
  <c r="E92" s="1"/>
  <c r="E148" s="1"/>
  <c r="K3" i="10" s="1"/>
  <c r="J49" i="3"/>
  <c r="J103" s="1"/>
  <c r="J159" s="1"/>
  <c r="P14" i="10" s="1"/>
  <c r="V50" i="3"/>
  <c r="V104" s="1"/>
  <c r="V160" s="1"/>
  <c r="AB15" i="10" s="1"/>
  <c r="F50" i="3"/>
  <c r="F104" s="1"/>
  <c r="F160" s="1"/>
  <c r="L15" i="10" s="1"/>
  <c r="J47" i="3"/>
  <c r="J101" s="1"/>
  <c r="J157" s="1"/>
  <c r="P12" i="10" s="1"/>
  <c r="N48" i="3"/>
  <c r="N102" s="1"/>
  <c r="N158" s="1"/>
  <c r="T13" i="10" s="1"/>
  <c r="U46" i="3"/>
  <c r="U100" s="1"/>
  <c r="U156" s="1"/>
  <c r="AA11" i="10" s="1"/>
  <c r="M46" i="3"/>
  <c r="M100" s="1"/>
  <c r="M156" s="1"/>
  <c r="S11" i="10" s="1"/>
  <c r="E46" i="3"/>
  <c r="E100" s="1"/>
  <c r="E127" s="1"/>
  <c r="I38"/>
  <c r="I92" s="1"/>
  <c r="I148" s="1"/>
  <c r="O3" i="10" s="1"/>
  <c r="U45" i="3"/>
  <c r="U99" s="1"/>
  <c r="P45"/>
  <c r="P99" s="1"/>
  <c r="P155" s="1"/>
  <c r="V10" i="10" s="1"/>
  <c r="J45" i="3"/>
  <c r="J99" s="1"/>
  <c r="J155" s="1"/>
  <c r="E45"/>
  <c r="E99" s="1"/>
  <c r="E155" s="1"/>
  <c r="K10" i="10" s="1"/>
  <c r="Q40" i="3"/>
  <c r="Q94" s="1"/>
  <c r="Q150" s="1"/>
  <c r="W5" i="10" s="1"/>
  <c r="I40" i="3"/>
  <c r="I94" s="1"/>
  <c r="I150" s="1"/>
  <c r="O5" i="10" s="1"/>
  <c r="U43" i="3"/>
  <c r="U97" s="1"/>
  <c r="U153" s="1"/>
  <c r="AA8" i="10" s="1"/>
  <c r="M43" i="3"/>
  <c r="M97" s="1"/>
  <c r="M153" s="1"/>
  <c r="S8" i="10" s="1"/>
  <c r="E43" i="3"/>
  <c r="E97" s="1"/>
  <c r="E153" s="1"/>
  <c r="K8" i="10" s="1"/>
  <c r="N49" i="3"/>
  <c r="N103" s="1"/>
  <c r="N159" s="1"/>
  <c r="T14" i="10" s="1"/>
  <c r="V42" i="3"/>
  <c r="V96" s="1"/>
  <c r="V152" s="1"/>
  <c r="AB7" i="10" s="1"/>
  <c r="N42" i="3"/>
  <c r="N96" s="1"/>
  <c r="N152" s="1"/>
  <c r="T7" i="10" s="1"/>
  <c r="F42" i="3"/>
  <c r="F96" s="1"/>
  <c r="F152" s="1"/>
  <c r="L7" i="10" s="1"/>
  <c r="J50" i="3"/>
  <c r="J104" s="1"/>
  <c r="J160" s="1"/>
  <c r="P15" i="10" s="1"/>
  <c r="N47" i="3"/>
  <c r="N101" s="1"/>
  <c r="N157" s="1"/>
  <c r="T12" i="10" s="1"/>
  <c r="R48" i="3"/>
  <c r="R102" s="1"/>
  <c r="R158" s="1"/>
  <c r="X13" i="10" s="1"/>
  <c r="W39" i="3"/>
  <c r="W93" s="1"/>
  <c r="W149" s="1"/>
  <c r="AC4" i="10" s="1"/>
  <c r="O39" i="3"/>
  <c r="O93" s="1"/>
  <c r="G39"/>
  <c r="G93" s="1"/>
  <c r="G149" s="1"/>
  <c r="M4" i="10" s="1"/>
  <c r="V46" i="3"/>
  <c r="V100" s="1"/>
  <c r="V156" s="1"/>
  <c r="AB11" i="10" s="1"/>
  <c r="N46" i="3"/>
  <c r="N100" s="1"/>
  <c r="N156" s="1"/>
  <c r="T11" i="10" s="1"/>
  <c r="F46" i="3"/>
  <c r="F100" s="1"/>
  <c r="F156" s="1"/>
  <c r="M38"/>
  <c r="M92" s="1"/>
  <c r="M148" s="1"/>
  <c r="S3" i="10" s="1"/>
  <c r="R40" i="3"/>
  <c r="R94" s="1"/>
  <c r="J40"/>
  <c r="J94" s="1"/>
  <c r="J150" s="1"/>
  <c r="P5" i="10" s="1"/>
  <c r="V43" i="3"/>
  <c r="V97" s="1"/>
  <c r="V153" s="1"/>
  <c r="AB8" i="10" s="1"/>
  <c r="N43" i="3"/>
  <c r="N97" s="1"/>
  <c r="N153" s="1"/>
  <c r="T8" i="10" s="1"/>
  <c r="F43" i="3"/>
  <c r="F97" s="1"/>
  <c r="F153" s="1"/>
  <c r="L8" i="10" s="1"/>
  <c r="R49" i="3"/>
  <c r="R103" s="1"/>
  <c r="R159" s="1"/>
  <c r="X14" i="10" s="1"/>
  <c r="W42" i="3"/>
  <c r="W96" s="1"/>
  <c r="W152" s="1"/>
  <c r="AC7" i="10" s="1"/>
  <c r="O42" i="3"/>
  <c r="O96" s="1"/>
  <c r="O152" s="1"/>
  <c r="U7" i="10" s="1"/>
  <c r="H42" i="3"/>
  <c r="H96" s="1"/>
  <c r="H152" s="1"/>
  <c r="N7" i="10" s="1"/>
  <c r="N50" i="3"/>
  <c r="N104" s="1"/>
  <c r="N160" s="1"/>
  <c r="T15" i="10" s="1"/>
  <c r="R47" i="3"/>
  <c r="R101" s="1"/>
  <c r="R157" s="1"/>
  <c r="X12" i="10" s="1"/>
  <c r="V48" i="3"/>
  <c r="V102" s="1"/>
  <c r="V158" s="1"/>
  <c r="AB13" i="10" s="1"/>
  <c r="F48" i="3"/>
  <c r="F102" s="1"/>
  <c r="F158" s="1"/>
  <c r="L13" i="10" s="1"/>
  <c r="R39" i="3"/>
  <c r="R93" s="1"/>
  <c r="R149" s="1"/>
  <c r="X4" i="10" s="1"/>
  <c r="J39" i="3"/>
  <c r="J93" s="1"/>
  <c r="J149" s="1"/>
  <c r="P4" i="10" s="1"/>
  <c r="Y183" i="3"/>
  <c r="Y187"/>
  <c r="Y191"/>
  <c r="Y182"/>
  <c r="Y186"/>
  <c r="Y190"/>
  <c r="Y185"/>
  <c r="Y192"/>
  <c r="Y188"/>
  <c r="Y184"/>
  <c r="Y189"/>
  <c r="I167"/>
  <c r="O22" i="10" s="1"/>
  <c r="E138" i="3"/>
  <c r="F138" s="1"/>
  <c r="G138" s="1"/>
  <c r="H138" s="1"/>
  <c r="I138" s="1"/>
  <c r="J138" s="1"/>
  <c r="K138" s="1"/>
  <c r="L138" s="1"/>
  <c r="M138" s="1"/>
  <c r="N138" s="1"/>
  <c r="O138" s="1"/>
  <c r="P138" s="1"/>
  <c r="Q138" s="1"/>
  <c r="R138" s="1"/>
  <c r="S138" s="1"/>
  <c r="T138" s="1"/>
  <c r="U138" s="1"/>
  <c r="V138" s="1"/>
  <c r="W138" s="1"/>
  <c r="X138" s="1"/>
  <c r="E167"/>
  <c r="K22" i="10" s="1"/>
  <c r="U155" i="3"/>
  <c r="AA10" i="10" s="1"/>
  <c r="Q155" i="3"/>
  <c r="W10" i="10" s="1"/>
  <c r="E126" i="3"/>
  <c r="F126" s="1"/>
  <c r="E137"/>
  <c r="F137" s="1"/>
  <c r="G137" s="1"/>
  <c r="H137" s="1"/>
  <c r="I137" s="1"/>
  <c r="J137" s="1"/>
  <c r="K137" s="1"/>
  <c r="L137" s="1"/>
  <c r="M137" s="1"/>
  <c r="N137" s="1"/>
  <c r="O137" s="1"/>
  <c r="P137" s="1"/>
  <c r="Q137" s="1"/>
  <c r="R137" s="1"/>
  <c r="S137" s="1"/>
  <c r="T137" s="1"/>
  <c r="U137" s="1"/>
  <c r="V137" s="1"/>
  <c r="W137" s="1"/>
  <c r="X137" s="1"/>
  <c r="E166"/>
  <c r="K21" i="10" s="1"/>
  <c r="V163" i="3"/>
  <c r="AB18" i="10" s="1"/>
  <c r="R163" i="3"/>
  <c r="X18" i="10" s="1"/>
  <c r="R168" i="3"/>
  <c r="X23" i="10" s="1"/>
  <c r="N168" i="3"/>
  <c r="T23" i="10" s="1"/>
  <c r="Y60" i="3"/>
  <c r="N164"/>
  <c r="T19" i="10" s="1"/>
  <c r="V167" i="3"/>
  <c r="AB22" i="10" s="1"/>
  <c r="J167" i="3"/>
  <c r="P22" i="10" s="1"/>
  <c r="F178" i="3"/>
  <c r="F215" s="1"/>
  <c r="R150"/>
  <c r="X5" i="10" s="1"/>
  <c r="N166" i="3"/>
  <c r="T21" i="10" s="1"/>
  <c r="L164" i="3"/>
  <c r="R19" i="10" s="1"/>
  <c r="X167" i="3"/>
  <c r="AD22" i="10" s="1"/>
  <c r="T155" i="3"/>
  <c r="Z10" i="10" s="1"/>
  <c r="L155" i="3"/>
  <c r="R10" i="10" s="1"/>
  <c r="M163" i="3"/>
  <c r="S18" i="10" s="1"/>
  <c r="E134" i="3"/>
  <c r="F134" s="1"/>
  <c r="G134" s="1"/>
  <c r="H134" s="1"/>
  <c r="I134" s="1"/>
  <c r="J134" s="1"/>
  <c r="K134" s="1"/>
  <c r="L134" s="1"/>
  <c r="M134" s="1"/>
  <c r="N134" s="1"/>
  <c r="O134" s="1"/>
  <c r="P134" s="1"/>
  <c r="Q134" s="1"/>
  <c r="R134" s="1"/>
  <c r="S134" s="1"/>
  <c r="T134" s="1"/>
  <c r="U134" s="1"/>
  <c r="V134" s="1"/>
  <c r="W134" s="1"/>
  <c r="X134" s="1"/>
  <c r="E163"/>
  <c r="K18" i="10" s="1"/>
  <c r="U168" i="3"/>
  <c r="AA23" i="10" s="1"/>
  <c r="Q168" i="3"/>
  <c r="W23" i="10" s="1"/>
  <c r="E139" i="3"/>
  <c r="F139" s="1"/>
  <c r="G139" s="1"/>
  <c r="H139" s="1"/>
  <c r="I139" s="1"/>
  <c r="J139" s="1"/>
  <c r="K139" s="1"/>
  <c r="L139" s="1"/>
  <c r="M139" s="1"/>
  <c r="N139" s="1"/>
  <c r="O139" s="1"/>
  <c r="P139" s="1"/>
  <c r="Q139" s="1"/>
  <c r="R139" s="1"/>
  <c r="S139" s="1"/>
  <c r="T139" s="1"/>
  <c r="U139" s="1"/>
  <c r="V139" s="1"/>
  <c r="W139" s="1"/>
  <c r="X139" s="1"/>
  <c r="E168"/>
  <c r="K23" i="10" s="1"/>
  <c r="U165" i="3"/>
  <c r="AA20" i="10" s="1"/>
  <c r="Q165" i="3"/>
  <c r="W20" i="10" s="1"/>
  <c r="I165" i="3"/>
  <c r="O20" i="10" s="1"/>
  <c r="E136" i="3"/>
  <c r="F136" s="1"/>
  <c r="G136" s="1"/>
  <c r="H136" s="1"/>
  <c r="I136" s="1"/>
  <c r="J136" s="1"/>
  <c r="K136" s="1"/>
  <c r="L136" s="1"/>
  <c r="M136" s="1"/>
  <c r="N136" s="1"/>
  <c r="O136" s="1"/>
  <c r="P136" s="1"/>
  <c r="Q136" s="1"/>
  <c r="R136" s="1"/>
  <c r="S136" s="1"/>
  <c r="T136" s="1"/>
  <c r="U136" s="1"/>
  <c r="V136" s="1"/>
  <c r="W136" s="1"/>
  <c r="X136" s="1"/>
  <c r="E165"/>
  <c r="K20" i="10" s="1"/>
  <c r="V44" i="3"/>
  <c r="V98" s="1"/>
  <c r="N44"/>
  <c r="N98" s="1"/>
  <c r="F44"/>
  <c r="F98" s="1"/>
  <c r="V52"/>
  <c r="V106" s="1"/>
  <c r="N52"/>
  <c r="N106" s="1"/>
  <c r="N162" s="1"/>
  <c r="T17" i="10" s="1"/>
  <c r="J52" i="3"/>
  <c r="J106" s="1"/>
  <c r="J162" s="1"/>
  <c r="P17" i="10" s="1"/>
  <c r="F52" i="3"/>
  <c r="F106" s="1"/>
  <c r="V51"/>
  <c r="V105" s="1"/>
  <c r="V161" s="1"/>
  <c r="AB16" i="10" s="1"/>
  <c r="R51" i="3"/>
  <c r="R105" s="1"/>
  <c r="R161" s="1"/>
  <c r="X16" i="10" s="1"/>
  <c r="N51" i="3"/>
  <c r="N105" s="1"/>
  <c r="N161" s="1"/>
  <c r="T16" i="10" s="1"/>
  <c r="J51" i="3"/>
  <c r="J105" s="1"/>
  <c r="J161" s="1"/>
  <c r="P16" i="10" s="1"/>
  <c r="F51" i="3"/>
  <c r="F105" s="1"/>
  <c r="F161" s="1"/>
  <c r="L16" i="10" s="1"/>
  <c r="V38" i="3"/>
  <c r="R38"/>
  <c r="N38"/>
  <c r="J38"/>
  <c r="F38"/>
  <c r="X46"/>
  <c r="X100" s="1"/>
  <c r="T46"/>
  <c r="T100" s="1"/>
  <c r="P46"/>
  <c r="P100" s="1"/>
  <c r="L46"/>
  <c r="L100" s="1"/>
  <c r="H46"/>
  <c r="H100" s="1"/>
  <c r="X38"/>
  <c r="T38"/>
  <c r="P38"/>
  <c r="L38"/>
  <c r="G38"/>
  <c r="X40"/>
  <c r="X94" s="1"/>
  <c r="X150" s="1"/>
  <c r="AD5" i="10" s="1"/>
  <c r="T40" i="3"/>
  <c r="T94" s="1"/>
  <c r="T150" s="1"/>
  <c r="Z5" i="10" s="1"/>
  <c r="P40" i="3"/>
  <c r="P94" s="1"/>
  <c r="L40"/>
  <c r="L94" s="1"/>
  <c r="L150" s="1"/>
  <c r="R5" i="10" s="1"/>
  <c r="G40" i="3"/>
  <c r="G94" s="1"/>
  <c r="G150" s="1"/>
  <c r="M5" i="10" s="1"/>
  <c r="X43" i="3"/>
  <c r="X97" s="1"/>
  <c r="T43"/>
  <c r="T97" s="1"/>
  <c r="P43"/>
  <c r="P97" s="1"/>
  <c r="P153" s="1"/>
  <c r="V8" i="10" s="1"/>
  <c r="L43" i="3"/>
  <c r="L97" s="1"/>
  <c r="H43"/>
  <c r="H97" s="1"/>
  <c r="H153" s="1"/>
  <c r="N8" i="10" s="1"/>
  <c r="U44" i="3"/>
  <c r="U98" s="1"/>
  <c r="Q44"/>
  <c r="Q98" s="1"/>
  <c r="M44"/>
  <c r="M98" s="1"/>
  <c r="M154" s="1"/>
  <c r="S9" i="10" s="1"/>
  <c r="I44" i="3"/>
  <c r="I98" s="1"/>
  <c r="E44"/>
  <c r="E98" s="1"/>
  <c r="U52"/>
  <c r="U106" s="1"/>
  <c r="Q52"/>
  <c r="Q106" s="1"/>
  <c r="Q162" s="1"/>
  <c r="W17" i="10" s="1"/>
  <c r="M52" i="3"/>
  <c r="M106" s="1"/>
  <c r="I52"/>
  <c r="I106" s="1"/>
  <c r="E52"/>
  <c r="E106" s="1"/>
  <c r="U51"/>
  <c r="U105" s="1"/>
  <c r="U161" s="1"/>
  <c r="AA16" i="10" s="1"/>
  <c r="Q51" i="3"/>
  <c r="Q105" s="1"/>
  <c r="M51"/>
  <c r="M105" s="1"/>
  <c r="I51"/>
  <c r="I105" s="1"/>
  <c r="E51"/>
  <c r="E105" s="1"/>
  <c r="U49"/>
  <c r="U103" s="1"/>
  <c r="U159" s="1"/>
  <c r="AA14" i="10" s="1"/>
  <c r="Q49" i="3"/>
  <c r="Q103" s="1"/>
  <c r="M49"/>
  <c r="M103" s="1"/>
  <c r="I49"/>
  <c r="I103" s="1"/>
  <c r="E49"/>
  <c r="E103" s="1"/>
  <c r="U42"/>
  <c r="U96" s="1"/>
  <c r="U152" s="1"/>
  <c r="AA7" i="10" s="1"/>
  <c r="Q42" i="3"/>
  <c r="Q96" s="1"/>
  <c r="M42"/>
  <c r="M96" s="1"/>
  <c r="I42"/>
  <c r="I96" s="1"/>
  <c r="E42"/>
  <c r="E96" s="1"/>
  <c r="U50"/>
  <c r="U104" s="1"/>
  <c r="Q50"/>
  <c r="Q104" s="1"/>
  <c r="M50"/>
  <c r="M104" s="1"/>
  <c r="I50"/>
  <c r="I104" s="1"/>
  <c r="I160" s="1"/>
  <c r="O15" i="10" s="1"/>
  <c r="E50" i="3"/>
  <c r="E104" s="1"/>
  <c r="U41"/>
  <c r="U95" s="1"/>
  <c r="U151" s="1"/>
  <c r="AA6" i="10" s="1"/>
  <c r="Q41" i="3"/>
  <c r="Q95" s="1"/>
  <c r="Q151" s="1"/>
  <c r="W6" i="10" s="1"/>
  <c r="M41" i="3"/>
  <c r="M95" s="1"/>
  <c r="M151" s="1"/>
  <c r="S6" i="10" s="1"/>
  <c r="I41" i="3"/>
  <c r="I95" s="1"/>
  <c r="I151" s="1"/>
  <c r="O6" i="10" s="1"/>
  <c r="E41" i="3"/>
  <c r="E95" s="1"/>
  <c r="U47"/>
  <c r="U101" s="1"/>
  <c r="U157" s="1"/>
  <c r="AA12" i="10" s="1"/>
  <c r="Q47" i="3"/>
  <c r="Q101" s="1"/>
  <c r="M47"/>
  <c r="M101" s="1"/>
  <c r="M157" s="1"/>
  <c r="S12" i="10" s="1"/>
  <c r="I47" i="3"/>
  <c r="I101" s="1"/>
  <c r="I157" s="1"/>
  <c r="O12" i="10" s="1"/>
  <c r="E47" i="3"/>
  <c r="E101" s="1"/>
  <c r="U48"/>
  <c r="U102" s="1"/>
  <c r="Q48"/>
  <c r="Q102" s="1"/>
  <c r="M48"/>
  <c r="M102" s="1"/>
  <c r="I48"/>
  <c r="I102" s="1"/>
  <c r="I158" s="1"/>
  <c r="O13" i="10" s="1"/>
  <c r="E48" i="3"/>
  <c r="E102" s="1"/>
  <c r="U39"/>
  <c r="U93" s="1"/>
  <c r="U149" s="1"/>
  <c r="AA4" i="10" s="1"/>
  <c r="Q39" i="3"/>
  <c r="Q93" s="1"/>
  <c r="M39"/>
  <c r="M93" s="1"/>
  <c r="I39"/>
  <c r="I93" s="1"/>
  <c r="I149" s="1"/>
  <c r="O4" i="10" s="1"/>
  <c r="E39" i="3"/>
  <c r="E93" s="1"/>
  <c r="Y203"/>
  <c r="Y202"/>
  <c r="Y201"/>
  <c r="Y200"/>
  <c r="U164"/>
  <c r="AA19" i="10" s="1"/>
  <c r="Q164" i="3"/>
  <c r="W19" i="10" s="1"/>
  <c r="M164" i="3"/>
  <c r="S19" i="10" s="1"/>
  <c r="I164" i="3"/>
  <c r="O19" i="10" s="1"/>
  <c r="E135" i="3"/>
  <c r="F135" s="1"/>
  <c r="G135" s="1"/>
  <c r="H135" s="1"/>
  <c r="I135" s="1"/>
  <c r="J135" s="1"/>
  <c r="K135" s="1"/>
  <c r="L135" s="1"/>
  <c r="M135" s="1"/>
  <c r="N135" s="1"/>
  <c r="O135" s="1"/>
  <c r="P135" s="1"/>
  <c r="Q135" s="1"/>
  <c r="R135" s="1"/>
  <c r="S135" s="1"/>
  <c r="T135" s="1"/>
  <c r="U135" s="1"/>
  <c r="V135" s="1"/>
  <c r="W135" s="1"/>
  <c r="X135" s="1"/>
  <c r="E164"/>
  <c r="K19" i="10" s="1"/>
  <c r="M166" i="3"/>
  <c r="S21" i="10" s="1"/>
  <c r="J163" i="3"/>
  <c r="P18" i="10" s="1"/>
  <c r="J152" i="3"/>
  <c r="P7" i="10" s="1"/>
  <c r="F168" i="3"/>
  <c r="L23" i="10" s="1"/>
  <c r="V165" i="3"/>
  <c r="AB20" i="10" s="1"/>
  <c r="R165" i="3"/>
  <c r="X20" i="10" s="1"/>
  <c r="N165" i="3"/>
  <c r="T20" i="10" s="1"/>
  <c r="J165" i="3"/>
  <c r="P20" i="10" s="1"/>
  <c r="N155" i="3"/>
  <c r="T10" i="10" s="1"/>
  <c r="R166" i="3"/>
  <c r="X21" i="10" s="1"/>
  <c r="S163" i="3"/>
  <c r="Y18" i="10" s="1"/>
  <c r="K152" i="3"/>
  <c r="Q7" i="10" s="1"/>
  <c r="S168" i="3"/>
  <c r="Y23" i="10" s="1"/>
  <c r="O168" i="3"/>
  <c r="U23" i="10" s="1"/>
  <c r="H168" i="3"/>
  <c r="N23" i="10" s="1"/>
  <c r="W165" i="3"/>
  <c r="AC20" i="10" s="1"/>
  <c r="O165" i="3"/>
  <c r="U20" i="10" s="1"/>
  <c r="K165" i="3"/>
  <c r="Q20" i="10" s="1"/>
  <c r="H165" i="3"/>
  <c r="N20" i="10" s="1"/>
  <c r="O149" i="3"/>
  <c r="U4" i="10" s="1"/>
  <c r="Y195" i="3"/>
  <c r="Y199"/>
  <c r="Y194"/>
  <c r="Y198"/>
  <c r="Y193"/>
  <c r="Y197"/>
  <c r="Y196"/>
  <c r="Y207"/>
  <c r="Y206"/>
  <c r="Y204"/>
  <c r="Y205"/>
  <c r="Y179"/>
  <c r="Y178"/>
  <c r="Y215" s="1"/>
  <c r="Y181"/>
  <c r="Y180"/>
  <c r="W164"/>
  <c r="AC19" i="10" s="1"/>
  <c r="O164" i="3"/>
  <c r="U19" i="10" s="1"/>
  <c r="K164" i="3"/>
  <c r="Q19" i="10" s="1"/>
  <c r="G164" i="3"/>
  <c r="M19" i="10" s="1"/>
  <c r="W167" i="3"/>
  <c r="AC22" i="10" s="1"/>
  <c r="S167" i="3"/>
  <c r="Y22" i="10" s="1"/>
  <c r="O167" i="3"/>
  <c r="U22" i="10" s="1"/>
  <c r="W166" i="3"/>
  <c r="AC21" i="10" s="1"/>
  <c r="S166" i="3"/>
  <c r="Y21" i="10" s="1"/>
  <c r="K166" i="3"/>
  <c r="Q21" i="10" s="1"/>
  <c r="T163" i="3"/>
  <c r="Z18" i="10" s="1"/>
  <c r="L163" i="3"/>
  <c r="R18" i="10" s="1"/>
  <c r="T168" i="3"/>
  <c r="Z23" i="10" s="1"/>
  <c r="P168" i="3"/>
  <c r="V23" i="10" s="1"/>
  <c r="L168" i="3"/>
  <c r="R23" i="10" s="1"/>
  <c r="G168" i="3"/>
  <c r="M23" i="10" s="1"/>
  <c r="X165" i="3"/>
  <c r="AD20" i="10" s="1"/>
  <c r="T165" i="3"/>
  <c r="Z20" i="10" s="1"/>
  <c r="P165" i="3"/>
  <c r="V20" i="10" s="1"/>
  <c r="R44" i="3"/>
  <c r="R98" s="1"/>
  <c r="R154" s="1"/>
  <c r="X9" i="10" s="1"/>
  <c r="J44" i="3"/>
  <c r="J98" s="1"/>
  <c r="R52"/>
  <c r="R106" s="1"/>
  <c r="R162" s="1"/>
  <c r="X17" i="10" s="1"/>
  <c r="V41" i="3"/>
  <c r="V95" s="1"/>
  <c r="R41"/>
  <c r="R95" s="1"/>
  <c r="R151" s="1"/>
  <c r="X6" i="10" s="1"/>
  <c r="N41" i="3"/>
  <c r="N95" s="1"/>
  <c r="J41"/>
  <c r="J95" s="1"/>
  <c r="F41"/>
  <c r="F95" s="1"/>
  <c r="W44"/>
  <c r="W98" s="1"/>
  <c r="W154" s="1"/>
  <c r="AC9" i="10" s="1"/>
  <c r="S44" i="3"/>
  <c r="S98" s="1"/>
  <c r="S154" s="1"/>
  <c r="Y9" i="10" s="1"/>
  <c r="O44" i="3"/>
  <c r="O98" s="1"/>
  <c r="K44"/>
  <c r="K98" s="1"/>
  <c r="H44"/>
  <c r="H98" s="1"/>
  <c r="W52"/>
  <c r="W106" s="1"/>
  <c r="S52"/>
  <c r="S106" s="1"/>
  <c r="S162" s="1"/>
  <c r="Y17" i="10" s="1"/>
  <c r="O52" i="3"/>
  <c r="O106" s="1"/>
  <c r="O162" s="1"/>
  <c r="U17" i="10" s="1"/>
  <c r="K52" i="3"/>
  <c r="K106" s="1"/>
  <c r="K162" s="1"/>
  <c r="Q17" i="10" s="1"/>
  <c r="G52" i="3"/>
  <c r="G106" s="1"/>
  <c r="W51"/>
  <c r="W105" s="1"/>
  <c r="W161" s="1"/>
  <c r="AC16" i="10" s="1"/>
  <c r="S51" i="3"/>
  <c r="S105" s="1"/>
  <c r="S161" s="1"/>
  <c r="Y16" i="10" s="1"/>
  <c r="O51" i="3"/>
  <c r="O105" s="1"/>
  <c r="O161" s="1"/>
  <c r="U16" i="10" s="1"/>
  <c r="K51" i="3"/>
  <c r="K105" s="1"/>
  <c r="G51"/>
  <c r="G105" s="1"/>
  <c r="G161" s="1"/>
  <c r="M16" i="10" s="1"/>
  <c r="W49" i="3"/>
  <c r="W103" s="1"/>
  <c r="S49"/>
  <c r="S103" s="1"/>
  <c r="S159" s="1"/>
  <c r="Y14" i="10" s="1"/>
  <c r="O49" i="3"/>
  <c r="O103" s="1"/>
  <c r="K49"/>
  <c r="K103" s="1"/>
  <c r="G49"/>
  <c r="G103" s="1"/>
  <c r="W50"/>
  <c r="W104" s="1"/>
  <c r="S50"/>
  <c r="S104" s="1"/>
  <c r="O50"/>
  <c r="O104" s="1"/>
  <c r="K50"/>
  <c r="K104" s="1"/>
  <c r="K160" s="1"/>
  <c r="Q15" i="10" s="1"/>
  <c r="H50" i="3"/>
  <c r="H104" s="1"/>
  <c r="H160" s="1"/>
  <c r="N15" i="10" s="1"/>
  <c r="W41" i="3"/>
  <c r="W95" s="1"/>
  <c r="W151" s="1"/>
  <c r="AC6" i="10" s="1"/>
  <c r="S41" i="3"/>
  <c r="S95" s="1"/>
  <c r="O41"/>
  <c r="O95" s="1"/>
  <c r="O151" s="1"/>
  <c r="U6" i="10" s="1"/>
  <c r="K41" i="3"/>
  <c r="K95" s="1"/>
  <c r="H41"/>
  <c r="H95" s="1"/>
  <c r="H151" s="1"/>
  <c r="N6" i="10" s="1"/>
  <c r="W47" i="3"/>
  <c r="W101" s="1"/>
  <c r="S47"/>
  <c r="S101" s="1"/>
  <c r="S157" s="1"/>
  <c r="Y12" i="10" s="1"/>
  <c r="O47" i="3"/>
  <c r="O101" s="1"/>
  <c r="O157" s="1"/>
  <c r="U12" i="10" s="1"/>
  <c r="K47" i="3"/>
  <c r="K101" s="1"/>
  <c r="K157" s="1"/>
  <c r="Q12" i="10" s="1"/>
  <c r="H47" i="3"/>
  <c r="H101" s="1"/>
  <c r="H157" s="1"/>
  <c r="N12" i="10" s="1"/>
  <c r="W48" i="3"/>
  <c r="W102" s="1"/>
  <c r="S48"/>
  <c r="S102" s="1"/>
  <c r="O48"/>
  <c r="O102" s="1"/>
  <c r="K48"/>
  <c r="K102" s="1"/>
  <c r="H48"/>
  <c r="H102" s="1"/>
  <c r="W46"/>
  <c r="W100" s="1"/>
  <c r="S46"/>
  <c r="S100" s="1"/>
  <c r="S156" s="1"/>
  <c r="Y11" i="10" s="1"/>
  <c r="O46" i="3"/>
  <c r="O100" s="1"/>
  <c r="O156" s="1"/>
  <c r="U11" i="10" s="1"/>
  <c r="K46" i="3"/>
  <c r="K100" s="1"/>
  <c r="G46"/>
  <c r="G100" s="1"/>
  <c r="W38"/>
  <c r="S38"/>
  <c r="O38"/>
  <c r="K38"/>
  <c r="H38"/>
  <c r="W45"/>
  <c r="W99" s="1"/>
  <c r="S45"/>
  <c r="S99" s="1"/>
  <c r="O45"/>
  <c r="O99" s="1"/>
  <c r="O155" s="1"/>
  <c r="U10" i="10" s="1"/>
  <c r="K45" i="3"/>
  <c r="K99" s="1"/>
  <c r="G45"/>
  <c r="G99" s="1"/>
  <c r="G155" s="1"/>
  <c r="M10" i="10" s="1"/>
  <c r="W40" i="3"/>
  <c r="W94" s="1"/>
  <c r="W150" s="1"/>
  <c r="AC5" i="10" s="1"/>
  <c r="S40" i="3"/>
  <c r="S94" s="1"/>
  <c r="O40"/>
  <c r="O94" s="1"/>
  <c r="O150" s="1"/>
  <c r="U5" i="10" s="1"/>
  <c r="K40" i="3"/>
  <c r="K94" s="1"/>
  <c r="K150" s="1"/>
  <c r="Q5" i="10" s="1"/>
  <c r="H40" i="3"/>
  <c r="H94" s="1"/>
  <c r="H150" s="1"/>
  <c r="N5" i="10" s="1"/>
  <c r="W43" i="3"/>
  <c r="W97" s="1"/>
  <c r="S43"/>
  <c r="S97" s="1"/>
  <c r="O43"/>
  <c r="O97" s="1"/>
  <c r="O153" s="1"/>
  <c r="U8" i="10" s="1"/>
  <c r="K43" i="3"/>
  <c r="K97" s="1"/>
  <c r="K153" s="1"/>
  <c r="Q8" i="10" s="1"/>
  <c r="G43" i="3"/>
  <c r="G97" s="1"/>
  <c r="G153" s="1"/>
  <c r="M8" i="10" s="1"/>
  <c r="X44" i="3"/>
  <c r="X98" s="1"/>
  <c r="T44"/>
  <c r="T98" s="1"/>
  <c r="P44"/>
  <c r="P98" s="1"/>
  <c r="L44"/>
  <c r="L98" s="1"/>
  <c r="L154" s="1"/>
  <c r="R9" i="10" s="1"/>
  <c r="G44" i="3"/>
  <c r="G98" s="1"/>
  <c r="X52"/>
  <c r="X106" s="1"/>
  <c r="X162" s="1"/>
  <c r="AD17" i="10" s="1"/>
  <c r="T52" i="3"/>
  <c r="T106" s="1"/>
  <c r="P52"/>
  <c r="P106" s="1"/>
  <c r="P162" s="1"/>
  <c r="V17" i="10" s="1"/>
  <c r="L52" i="3"/>
  <c r="L106" s="1"/>
  <c r="L162" s="1"/>
  <c r="R17" i="10" s="1"/>
  <c r="H52" i="3"/>
  <c r="H106" s="1"/>
  <c r="H162" s="1"/>
  <c r="N17" i="10" s="1"/>
  <c r="X51" i="3"/>
  <c r="X105" s="1"/>
  <c r="X161" s="1"/>
  <c r="AD16" i="10" s="1"/>
  <c r="T51" i="3"/>
  <c r="T105" s="1"/>
  <c r="T161" s="1"/>
  <c r="Z16" i="10" s="1"/>
  <c r="P51" i="3"/>
  <c r="P105" s="1"/>
  <c r="L51"/>
  <c r="L105" s="1"/>
  <c r="H51"/>
  <c r="H105" s="1"/>
  <c r="H161" s="1"/>
  <c r="N16" i="10" s="1"/>
  <c r="X49" i="3"/>
  <c r="X103" s="1"/>
  <c r="T49"/>
  <c r="T103" s="1"/>
  <c r="P49"/>
  <c r="P103" s="1"/>
  <c r="L49"/>
  <c r="L103" s="1"/>
  <c r="L159" s="1"/>
  <c r="R14" i="10" s="1"/>
  <c r="H49" i="3"/>
  <c r="H103" s="1"/>
  <c r="X42"/>
  <c r="X96" s="1"/>
  <c r="T42"/>
  <c r="T96" s="1"/>
  <c r="P42"/>
  <c r="P96" s="1"/>
  <c r="L42"/>
  <c r="L96" s="1"/>
  <c r="L152" s="1"/>
  <c r="R7" i="10" s="1"/>
  <c r="G42" i="3"/>
  <c r="G96" s="1"/>
  <c r="X50"/>
  <c r="X104" s="1"/>
  <c r="X160" s="1"/>
  <c r="AD15" i="10" s="1"/>
  <c r="T50" i="3"/>
  <c r="T104" s="1"/>
  <c r="P50"/>
  <c r="P104" s="1"/>
  <c r="P160" s="1"/>
  <c r="V15" i="10" s="1"/>
  <c r="L50" i="3"/>
  <c r="L104" s="1"/>
  <c r="G50"/>
  <c r="G104" s="1"/>
  <c r="G160" s="1"/>
  <c r="M15" i="10" s="1"/>
  <c r="X41" i="3"/>
  <c r="X95" s="1"/>
  <c r="X151" s="1"/>
  <c r="AD6" i="10" s="1"/>
  <c r="T41" i="3"/>
  <c r="T95" s="1"/>
  <c r="T151" s="1"/>
  <c r="Z6" i="10" s="1"/>
  <c r="P41" i="3"/>
  <c r="P95" s="1"/>
  <c r="P151" s="1"/>
  <c r="V6" i="10" s="1"/>
  <c r="L41" i="3"/>
  <c r="L95" s="1"/>
  <c r="G41"/>
  <c r="G95" s="1"/>
  <c r="G151" s="1"/>
  <c r="M6" i="10" s="1"/>
  <c r="X47" i="3"/>
  <c r="X101" s="1"/>
  <c r="T47"/>
  <c r="T101" s="1"/>
  <c r="P47"/>
  <c r="P101" s="1"/>
  <c r="L47"/>
  <c r="L101" s="1"/>
  <c r="G47"/>
  <c r="G101" s="1"/>
  <c r="G157" s="1"/>
  <c r="M12" i="10" s="1"/>
  <c r="X48" i="3"/>
  <c r="X102" s="1"/>
  <c r="T48"/>
  <c r="T102" s="1"/>
  <c r="T158" s="1"/>
  <c r="Z13" i="10" s="1"/>
  <c r="P48" i="3"/>
  <c r="P102" s="1"/>
  <c r="L48"/>
  <c r="L102" s="1"/>
  <c r="G48"/>
  <c r="G102" s="1"/>
  <c r="X39"/>
  <c r="X93" s="1"/>
  <c r="T39"/>
  <c r="T93" s="1"/>
  <c r="P39"/>
  <c r="P93" s="1"/>
  <c r="P149" s="1"/>
  <c r="V4" i="10" s="1"/>
  <c r="L39" i="3"/>
  <c r="L93" s="1"/>
  <c r="H39"/>
  <c r="H93" s="1"/>
  <c r="H149" s="1"/>
  <c r="N4" i="10" s="1"/>
  <c r="C8" i="14"/>
  <c r="V157" i="12"/>
  <c r="U157"/>
  <c r="T157"/>
  <c r="S157"/>
  <c r="R157"/>
  <c r="Q157"/>
  <c r="P157"/>
  <c r="O157"/>
  <c r="N157"/>
  <c r="M157"/>
  <c r="L157"/>
  <c r="K157"/>
  <c r="J157"/>
  <c r="I157"/>
  <c r="H157"/>
  <c r="G157"/>
  <c r="F157"/>
  <c r="E157"/>
  <c r="D157"/>
  <c r="C156"/>
  <c r="C155"/>
  <c r="V150"/>
  <c r="T150"/>
  <c r="S150"/>
  <c r="R150"/>
  <c r="Q150"/>
  <c r="P150"/>
  <c r="O150"/>
  <c r="N150"/>
  <c r="M150"/>
  <c r="L150"/>
  <c r="K150"/>
  <c r="J150"/>
  <c r="I150"/>
  <c r="H150"/>
  <c r="G150"/>
  <c r="F150"/>
  <c r="E150"/>
  <c r="D150"/>
  <c r="U149"/>
  <c r="C149"/>
  <c r="U148"/>
  <c r="C148"/>
  <c r="U147"/>
  <c r="C147"/>
  <c r="U146"/>
  <c r="C146"/>
  <c r="U145"/>
  <c r="C145"/>
  <c r="U144"/>
  <c r="C144"/>
  <c r="U143"/>
  <c r="C143"/>
  <c r="U142"/>
  <c r="C142"/>
  <c r="U141"/>
  <c r="U150" s="1"/>
  <c r="C141"/>
  <c r="V139"/>
  <c r="T139"/>
  <c r="S139"/>
  <c r="R139"/>
  <c r="Q139"/>
  <c r="P139"/>
  <c r="O139"/>
  <c r="N139"/>
  <c r="M139"/>
  <c r="L139"/>
  <c r="K139"/>
  <c r="J139"/>
  <c r="I139"/>
  <c r="H139"/>
  <c r="G139"/>
  <c r="F139"/>
  <c r="E139"/>
  <c r="D139"/>
  <c r="U138"/>
  <c r="C138"/>
  <c r="U137"/>
  <c r="C137"/>
  <c r="U136"/>
  <c r="C136"/>
  <c r="U135"/>
  <c r="C135"/>
  <c r="U134"/>
  <c r="C134"/>
  <c r="U133"/>
  <c r="C133"/>
  <c r="U132"/>
  <c r="C132"/>
  <c r="U131"/>
  <c r="C131"/>
  <c r="U130"/>
  <c r="U139" s="1"/>
  <c r="C130"/>
  <c r="AD123"/>
  <c r="AC123"/>
  <c r="AB123"/>
  <c r="AA123"/>
  <c r="W123"/>
  <c r="V123"/>
  <c r="U123"/>
  <c r="T123"/>
  <c r="P123"/>
  <c r="O123"/>
  <c r="N123"/>
  <c r="M123"/>
  <c r="AD122"/>
  <c r="AD124" s="1"/>
  <c r="AC122"/>
  <c r="AC124" s="1"/>
  <c r="AB122"/>
  <c r="AB124" s="1"/>
  <c r="AA122"/>
  <c r="AA124" s="1"/>
  <c r="W122"/>
  <c r="W124" s="1"/>
  <c r="V122"/>
  <c r="V124" s="1"/>
  <c r="U122"/>
  <c r="U124" s="1"/>
  <c r="T122"/>
  <c r="T124" s="1"/>
  <c r="P122"/>
  <c r="P124" s="1"/>
  <c r="O122"/>
  <c r="O124" s="1"/>
  <c r="N122"/>
  <c r="N124" s="1"/>
  <c r="M122"/>
  <c r="M124" s="1"/>
  <c r="V114"/>
  <c r="M114"/>
  <c r="D114"/>
  <c r="X113"/>
  <c r="O113"/>
  <c r="F113"/>
  <c r="Z112"/>
  <c r="Q112"/>
  <c r="H112"/>
  <c r="AB111"/>
  <c r="S111"/>
  <c r="AC110"/>
  <c r="T110"/>
  <c r="L110"/>
  <c r="C110"/>
  <c r="W109"/>
  <c r="N109"/>
  <c r="D109"/>
  <c r="X108"/>
  <c r="O108"/>
  <c r="F108"/>
  <c r="Z107"/>
  <c r="Q107"/>
  <c r="H107"/>
  <c r="AB106"/>
  <c r="S106"/>
  <c r="J106"/>
  <c r="B106"/>
  <c r="V105"/>
  <c r="M105"/>
  <c r="D105"/>
  <c r="X104"/>
  <c r="O104"/>
  <c r="F104"/>
  <c r="Z103"/>
  <c r="Q103"/>
  <c r="H103"/>
  <c r="AB102"/>
  <c r="S102"/>
  <c r="J102"/>
  <c r="B102"/>
  <c r="V101"/>
  <c r="M101"/>
  <c r="D101"/>
  <c r="X100"/>
  <c r="O100"/>
  <c r="F100"/>
  <c r="Z99"/>
  <c r="Q99"/>
  <c r="H99"/>
  <c r="AB98"/>
  <c r="S98"/>
  <c r="J98"/>
  <c r="B98"/>
  <c r="V97"/>
  <c r="M97"/>
  <c r="D97"/>
  <c r="X96"/>
  <c r="O96"/>
  <c r="F96"/>
  <c r="Z95"/>
  <c r="Q95"/>
  <c r="H95"/>
  <c r="AB94"/>
  <c r="S94"/>
  <c r="J94"/>
  <c r="AC93"/>
  <c r="T93"/>
  <c r="L93"/>
  <c r="C93"/>
  <c r="W92"/>
  <c r="N92"/>
  <c r="E92"/>
  <c r="AC87"/>
  <c r="AC114" s="1"/>
  <c r="AB87"/>
  <c r="AB114" s="1"/>
  <c r="AA87"/>
  <c r="AA114" s="1"/>
  <c r="Z87"/>
  <c r="Z114" s="1"/>
  <c r="Y87"/>
  <c r="Y114" s="1"/>
  <c r="X87"/>
  <c r="X114" s="1"/>
  <c r="W87"/>
  <c r="W114" s="1"/>
  <c r="V87"/>
  <c r="T87"/>
  <c r="T114" s="1"/>
  <c r="S87"/>
  <c r="S114" s="1"/>
  <c r="R87"/>
  <c r="R114" s="1"/>
  <c r="Q87"/>
  <c r="Q114" s="1"/>
  <c r="P87"/>
  <c r="P114" s="1"/>
  <c r="O87"/>
  <c r="O114" s="1"/>
  <c r="N87"/>
  <c r="N114" s="1"/>
  <c r="M87"/>
  <c r="L87"/>
  <c r="L114" s="1"/>
  <c r="J87"/>
  <c r="J114" s="1"/>
  <c r="I87"/>
  <c r="I114" s="1"/>
  <c r="H87"/>
  <c r="H114" s="1"/>
  <c r="G87"/>
  <c r="G114" s="1"/>
  <c r="F87"/>
  <c r="F114" s="1"/>
  <c r="E87"/>
  <c r="E114" s="1"/>
  <c r="D87"/>
  <c r="C87"/>
  <c r="C114" s="1"/>
  <c r="B87"/>
  <c r="B114" s="1"/>
  <c r="AC86"/>
  <c r="AC113" s="1"/>
  <c r="AB86"/>
  <c r="AB113" s="1"/>
  <c r="AA86"/>
  <c r="AA113" s="1"/>
  <c r="Z86"/>
  <c r="Z113" s="1"/>
  <c r="Y86"/>
  <c r="Y113" s="1"/>
  <c r="X86"/>
  <c r="W86"/>
  <c r="W113" s="1"/>
  <c r="V86"/>
  <c r="V113" s="1"/>
  <c r="T86"/>
  <c r="T113" s="1"/>
  <c r="S86"/>
  <c r="S113" s="1"/>
  <c r="R86"/>
  <c r="R113" s="1"/>
  <c r="Q86"/>
  <c r="Q113" s="1"/>
  <c r="P86"/>
  <c r="P113" s="1"/>
  <c r="O86"/>
  <c r="N86"/>
  <c r="N113" s="1"/>
  <c r="M86"/>
  <c r="M113" s="1"/>
  <c r="L86"/>
  <c r="L113" s="1"/>
  <c r="J86"/>
  <c r="J113" s="1"/>
  <c r="I86"/>
  <c r="I113" s="1"/>
  <c r="H86"/>
  <c r="H113" s="1"/>
  <c r="G86"/>
  <c r="G113" s="1"/>
  <c r="F86"/>
  <c r="E86"/>
  <c r="E113" s="1"/>
  <c r="D86"/>
  <c r="D113" s="1"/>
  <c r="C86"/>
  <c r="C113" s="1"/>
  <c r="B86"/>
  <c r="B113" s="1"/>
  <c r="AC85"/>
  <c r="AC112" s="1"/>
  <c r="AB85"/>
  <c r="AB112" s="1"/>
  <c r="AA85"/>
  <c r="AA112" s="1"/>
  <c r="Z85"/>
  <c r="Y85"/>
  <c r="Y112" s="1"/>
  <c r="X85"/>
  <c r="X112" s="1"/>
  <c r="W85"/>
  <c r="W112" s="1"/>
  <c r="V85"/>
  <c r="V112" s="1"/>
  <c r="T85"/>
  <c r="T112" s="1"/>
  <c r="S85"/>
  <c r="S112" s="1"/>
  <c r="R85"/>
  <c r="R112" s="1"/>
  <c r="Q85"/>
  <c r="P85"/>
  <c r="P112" s="1"/>
  <c r="O85"/>
  <c r="O112" s="1"/>
  <c r="N85"/>
  <c r="N112" s="1"/>
  <c r="M85"/>
  <c r="M112" s="1"/>
  <c r="L85"/>
  <c r="L112" s="1"/>
  <c r="J85"/>
  <c r="J112" s="1"/>
  <c r="I85"/>
  <c r="I112" s="1"/>
  <c r="H85"/>
  <c r="G85"/>
  <c r="G112" s="1"/>
  <c r="F85"/>
  <c r="F112" s="1"/>
  <c r="E85"/>
  <c r="E112" s="1"/>
  <c r="D85"/>
  <c r="D112" s="1"/>
  <c r="C85"/>
  <c r="C112" s="1"/>
  <c r="B85"/>
  <c r="B112" s="1"/>
  <c r="AC84"/>
  <c r="AC111" s="1"/>
  <c r="AB84"/>
  <c r="AA84"/>
  <c r="AA111" s="1"/>
  <c r="Z84"/>
  <c r="Z111" s="1"/>
  <c r="Y84"/>
  <c r="Y111" s="1"/>
  <c r="X84"/>
  <c r="X111" s="1"/>
  <c r="W84"/>
  <c r="W111" s="1"/>
  <c r="V84"/>
  <c r="V111" s="1"/>
  <c r="T84"/>
  <c r="T111" s="1"/>
  <c r="S84"/>
  <c r="R84"/>
  <c r="R111" s="1"/>
  <c r="Q84"/>
  <c r="Q111" s="1"/>
  <c r="P84"/>
  <c r="P111" s="1"/>
  <c r="O84"/>
  <c r="O111" s="1"/>
  <c r="N84"/>
  <c r="N111" s="1"/>
  <c r="M84"/>
  <c r="M111" s="1"/>
  <c r="L84"/>
  <c r="L111" s="1"/>
  <c r="AC83"/>
  <c r="AB83"/>
  <c r="AB110" s="1"/>
  <c r="AA83"/>
  <c r="AA110" s="1"/>
  <c r="Z83"/>
  <c r="Z110" s="1"/>
  <c r="Y83"/>
  <c r="Y110" s="1"/>
  <c r="X83"/>
  <c r="X110" s="1"/>
  <c r="W83"/>
  <c r="W110" s="1"/>
  <c r="V83"/>
  <c r="V110" s="1"/>
  <c r="T83"/>
  <c r="S83"/>
  <c r="S110" s="1"/>
  <c r="R83"/>
  <c r="R110" s="1"/>
  <c r="Q83"/>
  <c r="Q110" s="1"/>
  <c r="P83"/>
  <c r="P110" s="1"/>
  <c r="O83"/>
  <c r="O110" s="1"/>
  <c r="N83"/>
  <c r="N110" s="1"/>
  <c r="M83"/>
  <c r="M110" s="1"/>
  <c r="L83"/>
  <c r="J83"/>
  <c r="J110" s="1"/>
  <c r="I83"/>
  <c r="I110" s="1"/>
  <c r="H83"/>
  <c r="H110" s="1"/>
  <c r="G83"/>
  <c r="G110" s="1"/>
  <c r="F83"/>
  <c r="F110" s="1"/>
  <c r="E83"/>
  <c r="E110" s="1"/>
  <c r="D83"/>
  <c r="D110" s="1"/>
  <c r="C83"/>
  <c r="B83"/>
  <c r="B110" s="1"/>
  <c r="AC82"/>
  <c r="AC109" s="1"/>
  <c r="AB82"/>
  <c r="AB109" s="1"/>
  <c r="AA82"/>
  <c r="AA109" s="1"/>
  <c r="Z82"/>
  <c r="Z109" s="1"/>
  <c r="Y82"/>
  <c r="Y109" s="1"/>
  <c r="X82"/>
  <c r="X109" s="1"/>
  <c r="W82"/>
  <c r="V82"/>
  <c r="V109" s="1"/>
  <c r="T82"/>
  <c r="T109" s="1"/>
  <c r="S82"/>
  <c r="S109" s="1"/>
  <c r="R82"/>
  <c r="R109" s="1"/>
  <c r="Q82"/>
  <c r="Q109" s="1"/>
  <c r="P82"/>
  <c r="P109" s="1"/>
  <c r="O82"/>
  <c r="O109" s="1"/>
  <c r="N82"/>
  <c r="M82"/>
  <c r="M109" s="1"/>
  <c r="L82"/>
  <c r="L109" s="1"/>
  <c r="J82"/>
  <c r="J109" s="1"/>
  <c r="I82"/>
  <c r="I109" s="1"/>
  <c r="H82"/>
  <c r="H109" s="1"/>
  <c r="F82"/>
  <c r="F109" s="1"/>
  <c r="E82"/>
  <c r="E109" s="1"/>
  <c r="D82"/>
  <c r="C82"/>
  <c r="C109" s="1"/>
  <c r="B82"/>
  <c r="B109" s="1"/>
  <c r="AC81"/>
  <c r="AC108" s="1"/>
  <c r="AB81"/>
  <c r="AB108" s="1"/>
  <c r="AA81"/>
  <c r="AA108" s="1"/>
  <c r="Z81"/>
  <c r="Z108" s="1"/>
  <c r="Y81"/>
  <c r="Y108" s="1"/>
  <c r="X81"/>
  <c r="W81"/>
  <c r="W108" s="1"/>
  <c r="V81"/>
  <c r="V108" s="1"/>
  <c r="T81"/>
  <c r="T108" s="1"/>
  <c r="S81"/>
  <c r="S108" s="1"/>
  <c r="R81"/>
  <c r="R108" s="1"/>
  <c r="Q81"/>
  <c r="Q108" s="1"/>
  <c r="P81"/>
  <c r="P108" s="1"/>
  <c r="O81"/>
  <c r="N81"/>
  <c r="N108" s="1"/>
  <c r="M81"/>
  <c r="M108" s="1"/>
  <c r="L81"/>
  <c r="L108" s="1"/>
  <c r="J81"/>
  <c r="J108" s="1"/>
  <c r="I81"/>
  <c r="I108" s="1"/>
  <c r="H81"/>
  <c r="H108" s="1"/>
  <c r="G81"/>
  <c r="G108" s="1"/>
  <c r="F81"/>
  <c r="E81"/>
  <c r="E108" s="1"/>
  <c r="D81"/>
  <c r="D108" s="1"/>
  <c r="C81"/>
  <c r="C108" s="1"/>
  <c r="B81"/>
  <c r="B108" s="1"/>
  <c r="AC80"/>
  <c r="AC107" s="1"/>
  <c r="AB80"/>
  <c r="AB107" s="1"/>
  <c r="AA80"/>
  <c r="AA107" s="1"/>
  <c r="Z80"/>
  <c r="Y80"/>
  <c r="Y107" s="1"/>
  <c r="X80"/>
  <c r="X107" s="1"/>
  <c r="W80"/>
  <c r="W107" s="1"/>
  <c r="V80"/>
  <c r="V107" s="1"/>
  <c r="T80"/>
  <c r="T107" s="1"/>
  <c r="S80"/>
  <c r="S107" s="1"/>
  <c r="R80"/>
  <c r="R107" s="1"/>
  <c r="Q80"/>
  <c r="P80"/>
  <c r="P107" s="1"/>
  <c r="O80"/>
  <c r="O107" s="1"/>
  <c r="N80"/>
  <c r="N107" s="1"/>
  <c r="M80"/>
  <c r="M107" s="1"/>
  <c r="L80"/>
  <c r="L107" s="1"/>
  <c r="J80"/>
  <c r="J107" s="1"/>
  <c r="I80"/>
  <c r="I107" s="1"/>
  <c r="H80"/>
  <c r="G80"/>
  <c r="G107" s="1"/>
  <c r="F80"/>
  <c r="F107" s="1"/>
  <c r="E80"/>
  <c r="E107" s="1"/>
  <c r="D80"/>
  <c r="D107" s="1"/>
  <c r="C80"/>
  <c r="C107" s="1"/>
  <c r="B80"/>
  <c r="B107" s="1"/>
  <c r="AC79"/>
  <c r="AC106" s="1"/>
  <c r="AB79"/>
  <c r="AA79"/>
  <c r="AA106" s="1"/>
  <c r="Z79"/>
  <c r="Z106" s="1"/>
  <c r="Y79"/>
  <c r="Y106" s="1"/>
  <c r="X79"/>
  <c r="X106" s="1"/>
  <c r="W79"/>
  <c r="W106" s="1"/>
  <c r="V79"/>
  <c r="V106" s="1"/>
  <c r="T79"/>
  <c r="T106" s="1"/>
  <c r="S79"/>
  <c r="R79"/>
  <c r="R106" s="1"/>
  <c r="Q79"/>
  <c r="Q106" s="1"/>
  <c r="P79"/>
  <c r="P106" s="1"/>
  <c r="O79"/>
  <c r="O106" s="1"/>
  <c r="N79"/>
  <c r="N106" s="1"/>
  <c r="M79"/>
  <c r="M106" s="1"/>
  <c r="L79"/>
  <c r="L106" s="1"/>
  <c r="J79"/>
  <c r="I79"/>
  <c r="I106" s="1"/>
  <c r="H79"/>
  <c r="H106" s="1"/>
  <c r="G79"/>
  <c r="G106" s="1"/>
  <c r="F79"/>
  <c r="F106" s="1"/>
  <c r="E79"/>
  <c r="E106" s="1"/>
  <c r="D79"/>
  <c r="D106" s="1"/>
  <c r="C79"/>
  <c r="C106" s="1"/>
  <c r="B79"/>
  <c r="AC78"/>
  <c r="AC105" s="1"/>
  <c r="AB78"/>
  <c r="AB105" s="1"/>
  <c r="AA78"/>
  <c r="AA105" s="1"/>
  <c r="Z78"/>
  <c r="Z105" s="1"/>
  <c r="Y78"/>
  <c r="Y105" s="1"/>
  <c r="X78"/>
  <c r="X105" s="1"/>
  <c r="W78"/>
  <c r="W105" s="1"/>
  <c r="V78"/>
  <c r="T78"/>
  <c r="T105" s="1"/>
  <c r="S78"/>
  <c r="S105" s="1"/>
  <c r="R78"/>
  <c r="R105" s="1"/>
  <c r="Q78"/>
  <c r="Q105" s="1"/>
  <c r="P78"/>
  <c r="P105" s="1"/>
  <c r="O78"/>
  <c r="O105" s="1"/>
  <c r="N78"/>
  <c r="N105" s="1"/>
  <c r="M78"/>
  <c r="L78"/>
  <c r="L105" s="1"/>
  <c r="J78"/>
  <c r="J105" s="1"/>
  <c r="I78"/>
  <c r="I105" s="1"/>
  <c r="H78"/>
  <c r="H105" s="1"/>
  <c r="G78"/>
  <c r="G105" s="1"/>
  <c r="F78"/>
  <c r="F105" s="1"/>
  <c r="E78"/>
  <c r="E105" s="1"/>
  <c r="D78"/>
  <c r="C78"/>
  <c r="C105" s="1"/>
  <c r="B78"/>
  <c r="B105" s="1"/>
  <c r="AC77"/>
  <c r="AC104" s="1"/>
  <c r="AB77"/>
  <c r="AB104" s="1"/>
  <c r="AA77"/>
  <c r="AA104" s="1"/>
  <c r="Z77"/>
  <c r="Z104" s="1"/>
  <c r="Y77"/>
  <c r="Y104" s="1"/>
  <c r="X77"/>
  <c r="W77"/>
  <c r="W104" s="1"/>
  <c r="V77"/>
  <c r="V104" s="1"/>
  <c r="T77"/>
  <c r="T104" s="1"/>
  <c r="S77"/>
  <c r="S104" s="1"/>
  <c r="R77"/>
  <c r="R104" s="1"/>
  <c r="Q77"/>
  <c r="Q104" s="1"/>
  <c r="P77"/>
  <c r="P104" s="1"/>
  <c r="O77"/>
  <c r="N77"/>
  <c r="N104" s="1"/>
  <c r="M77"/>
  <c r="M104" s="1"/>
  <c r="L77"/>
  <c r="L104" s="1"/>
  <c r="J77"/>
  <c r="J104" s="1"/>
  <c r="I77"/>
  <c r="I104" s="1"/>
  <c r="H77"/>
  <c r="H104" s="1"/>
  <c r="G77"/>
  <c r="G104" s="1"/>
  <c r="F77"/>
  <c r="E77"/>
  <c r="E104" s="1"/>
  <c r="D77"/>
  <c r="D104" s="1"/>
  <c r="C77"/>
  <c r="C104" s="1"/>
  <c r="B77"/>
  <c r="B104" s="1"/>
  <c r="AC76"/>
  <c r="AC103" s="1"/>
  <c r="AB76"/>
  <c r="AB103" s="1"/>
  <c r="AA76"/>
  <c r="AA103" s="1"/>
  <c r="Z76"/>
  <c r="Y76"/>
  <c r="Y103" s="1"/>
  <c r="X76"/>
  <c r="X103" s="1"/>
  <c r="W76"/>
  <c r="W103" s="1"/>
  <c r="V76"/>
  <c r="V103" s="1"/>
  <c r="T76"/>
  <c r="T103" s="1"/>
  <c r="S76"/>
  <c r="S103" s="1"/>
  <c r="R76"/>
  <c r="R103" s="1"/>
  <c r="Q76"/>
  <c r="P76"/>
  <c r="P103" s="1"/>
  <c r="O76"/>
  <c r="O103" s="1"/>
  <c r="N76"/>
  <c r="N103" s="1"/>
  <c r="M76"/>
  <c r="M103" s="1"/>
  <c r="L76"/>
  <c r="L103" s="1"/>
  <c r="J76"/>
  <c r="J103" s="1"/>
  <c r="I76"/>
  <c r="I103" s="1"/>
  <c r="H76"/>
  <c r="G76"/>
  <c r="G103" s="1"/>
  <c r="F76"/>
  <c r="F103" s="1"/>
  <c r="E76"/>
  <c r="E103" s="1"/>
  <c r="D76"/>
  <c r="D103" s="1"/>
  <c r="C76"/>
  <c r="C103" s="1"/>
  <c r="B76"/>
  <c r="B103" s="1"/>
  <c r="AC75"/>
  <c r="AC102" s="1"/>
  <c r="AB75"/>
  <c r="AA75"/>
  <c r="AA102" s="1"/>
  <c r="Z75"/>
  <c r="Z102" s="1"/>
  <c r="Y75"/>
  <c r="Y102" s="1"/>
  <c r="X75"/>
  <c r="X102" s="1"/>
  <c r="W75"/>
  <c r="W102" s="1"/>
  <c r="V75"/>
  <c r="V102" s="1"/>
  <c r="T75"/>
  <c r="T102" s="1"/>
  <c r="S75"/>
  <c r="R75"/>
  <c r="R102" s="1"/>
  <c r="Q75"/>
  <c r="Q102" s="1"/>
  <c r="P75"/>
  <c r="P102" s="1"/>
  <c r="O75"/>
  <c r="O102" s="1"/>
  <c r="N75"/>
  <c r="N102" s="1"/>
  <c r="M75"/>
  <c r="M102" s="1"/>
  <c r="L75"/>
  <c r="L102" s="1"/>
  <c r="J75"/>
  <c r="I75"/>
  <c r="I102" s="1"/>
  <c r="H75"/>
  <c r="H102" s="1"/>
  <c r="G75"/>
  <c r="G102" s="1"/>
  <c r="F75"/>
  <c r="F102" s="1"/>
  <c r="E75"/>
  <c r="E102" s="1"/>
  <c r="D75"/>
  <c r="D102" s="1"/>
  <c r="C75"/>
  <c r="C102" s="1"/>
  <c r="B75"/>
  <c r="AC74"/>
  <c r="AC101" s="1"/>
  <c r="AB74"/>
  <c r="AB101" s="1"/>
  <c r="AA74"/>
  <c r="AA101" s="1"/>
  <c r="Z74"/>
  <c r="Z101" s="1"/>
  <c r="Y74"/>
  <c r="Y101" s="1"/>
  <c r="X74"/>
  <c r="X101" s="1"/>
  <c r="W74"/>
  <c r="W101" s="1"/>
  <c r="V74"/>
  <c r="T74"/>
  <c r="T101" s="1"/>
  <c r="S74"/>
  <c r="S101" s="1"/>
  <c r="R74"/>
  <c r="R101" s="1"/>
  <c r="Q74"/>
  <c r="Q101" s="1"/>
  <c r="P74"/>
  <c r="P101" s="1"/>
  <c r="O74"/>
  <c r="O101" s="1"/>
  <c r="N74"/>
  <c r="N101" s="1"/>
  <c r="M74"/>
  <c r="L74"/>
  <c r="L101" s="1"/>
  <c r="J74"/>
  <c r="J101" s="1"/>
  <c r="I74"/>
  <c r="I101" s="1"/>
  <c r="H74"/>
  <c r="H101" s="1"/>
  <c r="G74"/>
  <c r="G101" s="1"/>
  <c r="F74"/>
  <c r="F101" s="1"/>
  <c r="E74"/>
  <c r="E101" s="1"/>
  <c r="D74"/>
  <c r="C74"/>
  <c r="C101" s="1"/>
  <c r="B74"/>
  <c r="B101" s="1"/>
  <c r="AC73"/>
  <c r="AC100" s="1"/>
  <c r="AB73"/>
  <c r="AB100" s="1"/>
  <c r="AA73"/>
  <c r="AA100" s="1"/>
  <c r="Z73"/>
  <c r="Z100" s="1"/>
  <c r="Y73"/>
  <c r="Y100" s="1"/>
  <c r="X73"/>
  <c r="W73"/>
  <c r="W100" s="1"/>
  <c r="V73"/>
  <c r="V100" s="1"/>
  <c r="T73"/>
  <c r="T100" s="1"/>
  <c r="S73"/>
  <c r="S100" s="1"/>
  <c r="R73"/>
  <c r="R100" s="1"/>
  <c r="Q73"/>
  <c r="Q100" s="1"/>
  <c r="P73"/>
  <c r="P100" s="1"/>
  <c r="O73"/>
  <c r="N73"/>
  <c r="N100" s="1"/>
  <c r="M73"/>
  <c r="M100" s="1"/>
  <c r="L73"/>
  <c r="L100" s="1"/>
  <c r="J73"/>
  <c r="J100" s="1"/>
  <c r="I73"/>
  <c r="I100" s="1"/>
  <c r="H73"/>
  <c r="H100" s="1"/>
  <c r="G73"/>
  <c r="G100" s="1"/>
  <c r="F73"/>
  <c r="E73"/>
  <c r="E100" s="1"/>
  <c r="D73"/>
  <c r="D100" s="1"/>
  <c r="C73"/>
  <c r="C100" s="1"/>
  <c r="B73"/>
  <c r="B100" s="1"/>
  <c r="AC72"/>
  <c r="AC99" s="1"/>
  <c r="AB72"/>
  <c r="AB99" s="1"/>
  <c r="AA72"/>
  <c r="AA99" s="1"/>
  <c r="Z72"/>
  <c r="Y72"/>
  <c r="Y99" s="1"/>
  <c r="X72"/>
  <c r="X99" s="1"/>
  <c r="W72"/>
  <c r="W99" s="1"/>
  <c r="V72"/>
  <c r="V99" s="1"/>
  <c r="T72"/>
  <c r="T99" s="1"/>
  <c r="S72"/>
  <c r="S99" s="1"/>
  <c r="R72"/>
  <c r="R99" s="1"/>
  <c r="Q72"/>
  <c r="P72"/>
  <c r="P99" s="1"/>
  <c r="O72"/>
  <c r="O99" s="1"/>
  <c r="N72"/>
  <c r="N99" s="1"/>
  <c r="M72"/>
  <c r="M99" s="1"/>
  <c r="L72"/>
  <c r="L99" s="1"/>
  <c r="J72"/>
  <c r="J99" s="1"/>
  <c r="I72"/>
  <c r="I99" s="1"/>
  <c r="H72"/>
  <c r="G72"/>
  <c r="G99" s="1"/>
  <c r="F72"/>
  <c r="F99" s="1"/>
  <c r="E72"/>
  <c r="E99" s="1"/>
  <c r="D72"/>
  <c r="D99" s="1"/>
  <c r="C72"/>
  <c r="C99" s="1"/>
  <c r="B72"/>
  <c r="B99" s="1"/>
  <c r="AC71"/>
  <c r="AC98" s="1"/>
  <c r="AB71"/>
  <c r="AA71"/>
  <c r="AA98" s="1"/>
  <c r="Z71"/>
  <c r="Z98" s="1"/>
  <c r="Y71"/>
  <c r="Y98" s="1"/>
  <c r="X71"/>
  <c r="X98" s="1"/>
  <c r="W71"/>
  <c r="W98" s="1"/>
  <c r="V71"/>
  <c r="V98" s="1"/>
  <c r="T71"/>
  <c r="T98" s="1"/>
  <c r="S71"/>
  <c r="R71"/>
  <c r="R98" s="1"/>
  <c r="Q71"/>
  <c r="Q98" s="1"/>
  <c r="P71"/>
  <c r="P98" s="1"/>
  <c r="O71"/>
  <c r="O98" s="1"/>
  <c r="N71"/>
  <c r="N98" s="1"/>
  <c r="M71"/>
  <c r="M98" s="1"/>
  <c r="L71"/>
  <c r="L98" s="1"/>
  <c r="J71"/>
  <c r="I71"/>
  <c r="I98" s="1"/>
  <c r="H71"/>
  <c r="H98" s="1"/>
  <c r="G71"/>
  <c r="G98" s="1"/>
  <c r="F71"/>
  <c r="F98" s="1"/>
  <c r="E71"/>
  <c r="E98" s="1"/>
  <c r="D71"/>
  <c r="D98" s="1"/>
  <c r="C71"/>
  <c r="C98" s="1"/>
  <c r="B71"/>
  <c r="AC70"/>
  <c r="AC97" s="1"/>
  <c r="AB70"/>
  <c r="AB97" s="1"/>
  <c r="AA70"/>
  <c r="AA97" s="1"/>
  <c r="Z70"/>
  <c r="Z97" s="1"/>
  <c r="Y70"/>
  <c r="Y97" s="1"/>
  <c r="X70"/>
  <c r="X97" s="1"/>
  <c r="W70"/>
  <c r="W97" s="1"/>
  <c r="V70"/>
  <c r="T70"/>
  <c r="T97" s="1"/>
  <c r="S70"/>
  <c r="S97" s="1"/>
  <c r="R70"/>
  <c r="R97" s="1"/>
  <c r="Q70"/>
  <c r="Q97" s="1"/>
  <c r="P70"/>
  <c r="P97" s="1"/>
  <c r="O70"/>
  <c r="O97" s="1"/>
  <c r="N70"/>
  <c r="N97" s="1"/>
  <c r="M70"/>
  <c r="L70"/>
  <c r="L97" s="1"/>
  <c r="J70"/>
  <c r="J97" s="1"/>
  <c r="I70"/>
  <c r="I97" s="1"/>
  <c r="H70"/>
  <c r="H97" s="1"/>
  <c r="G70"/>
  <c r="G97" s="1"/>
  <c r="F70"/>
  <c r="F97" s="1"/>
  <c r="E70"/>
  <c r="E97" s="1"/>
  <c r="D70"/>
  <c r="C70"/>
  <c r="C97" s="1"/>
  <c r="B70"/>
  <c r="B97" s="1"/>
  <c r="AC69"/>
  <c r="AC96" s="1"/>
  <c r="AB69"/>
  <c r="AB96" s="1"/>
  <c r="AA69"/>
  <c r="AA96" s="1"/>
  <c r="Z69"/>
  <c r="Z96" s="1"/>
  <c r="Y69"/>
  <c r="Y96" s="1"/>
  <c r="X69"/>
  <c r="W69"/>
  <c r="W96" s="1"/>
  <c r="V69"/>
  <c r="V96" s="1"/>
  <c r="T69"/>
  <c r="T96" s="1"/>
  <c r="S69"/>
  <c r="S96" s="1"/>
  <c r="R69"/>
  <c r="R96" s="1"/>
  <c r="Q69"/>
  <c r="Q96" s="1"/>
  <c r="P69"/>
  <c r="P96" s="1"/>
  <c r="O69"/>
  <c r="N69"/>
  <c r="N96" s="1"/>
  <c r="M69"/>
  <c r="M96" s="1"/>
  <c r="L69"/>
  <c r="L96" s="1"/>
  <c r="J69"/>
  <c r="J96" s="1"/>
  <c r="I69"/>
  <c r="I96" s="1"/>
  <c r="H69"/>
  <c r="H96" s="1"/>
  <c r="G69"/>
  <c r="G96" s="1"/>
  <c r="F69"/>
  <c r="E69"/>
  <c r="E96" s="1"/>
  <c r="D69"/>
  <c r="D96" s="1"/>
  <c r="C69"/>
  <c r="C96" s="1"/>
  <c r="B69"/>
  <c r="B96" s="1"/>
  <c r="AC68"/>
  <c r="AC95" s="1"/>
  <c r="AB68"/>
  <c r="AB95" s="1"/>
  <c r="AA68"/>
  <c r="AA95" s="1"/>
  <c r="Z68"/>
  <c r="Y68"/>
  <c r="Y95" s="1"/>
  <c r="X68"/>
  <c r="X95" s="1"/>
  <c r="W68"/>
  <c r="W95" s="1"/>
  <c r="V68"/>
  <c r="V95" s="1"/>
  <c r="T68"/>
  <c r="T95" s="1"/>
  <c r="S68"/>
  <c r="S95" s="1"/>
  <c r="R68"/>
  <c r="R95" s="1"/>
  <c r="Q68"/>
  <c r="P68"/>
  <c r="P95" s="1"/>
  <c r="O68"/>
  <c r="O95" s="1"/>
  <c r="N68"/>
  <c r="N95" s="1"/>
  <c r="M68"/>
  <c r="M95" s="1"/>
  <c r="L68"/>
  <c r="L95" s="1"/>
  <c r="J68"/>
  <c r="J95" s="1"/>
  <c r="I68"/>
  <c r="I95" s="1"/>
  <c r="H68"/>
  <c r="G68"/>
  <c r="G95" s="1"/>
  <c r="F68"/>
  <c r="F95" s="1"/>
  <c r="E68"/>
  <c r="E95" s="1"/>
  <c r="D68"/>
  <c r="D95" s="1"/>
  <c r="C68"/>
  <c r="C95" s="1"/>
  <c r="B68"/>
  <c r="B95" s="1"/>
  <c r="AC67"/>
  <c r="AC94" s="1"/>
  <c r="AB67"/>
  <c r="AA67"/>
  <c r="AA94" s="1"/>
  <c r="Z67"/>
  <c r="Z94" s="1"/>
  <c r="Y67"/>
  <c r="Y94" s="1"/>
  <c r="X67"/>
  <c r="X94" s="1"/>
  <c r="W67"/>
  <c r="W94" s="1"/>
  <c r="V67"/>
  <c r="V94" s="1"/>
  <c r="T67"/>
  <c r="T94" s="1"/>
  <c r="S67"/>
  <c r="R67"/>
  <c r="R94" s="1"/>
  <c r="Q67"/>
  <c r="Q94" s="1"/>
  <c r="P67"/>
  <c r="P94" s="1"/>
  <c r="O67"/>
  <c r="O94" s="1"/>
  <c r="N67"/>
  <c r="N94" s="1"/>
  <c r="M67"/>
  <c r="M94" s="1"/>
  <c r="L67"/>
  <c r="L94" s="1"/>
  <c r="J67"/>
  <c r="I67"/>
  <c r="I94" s="1"/>
  <c r="H67"/>
  <c r="H94" s="1"/>
  <c r="F67"/>
  <c r="F94" s="1"/>
  <c r="E67"/>
  <c r="E94" s="1"/>
  <c r="D67"/>
  <c r="D94" s="1"/>
  <c r="C67"/>
  <c r="C94" s="1"/>
  <c r="B67"/>
  <c r="B94" s="1"/>
  <c r="AC66"/>
  <c r="AB66"/>
  <c r="AB93" s="1"/>
  <c r="AA66"/>
  <c r="AA93" s="1"/>
  <c r="Z66"/>
  <c r="Z93" s="1"/>
  <c r="Y66"/>
  <c r="Y93" s="1"/>
  <c r="X66"/>
  <c r="X93" s="1"/>
  <c r="W66"/>
  <c r="W93" s="1"/>
  <c r="V66"/>
  <c r="V93" s="1"/>
  <c r="T66"/>
  <c r="S66"/>
  <c r="S93" s="1"/>
  <c r="R66"/>
  <c r="R93" s="1"/>
  <c r="Q66"/>
  <c r="Q93" s="1"/>
  <c r="P66"/>
  <c r="P93" s="1"/>
  <c r="O66"/>
  <c r="O93" s="1"/>
  <c r="N66"/>
  <c r="N93" s="1"/>
  <c r="M66"/>
  <c r="M93" s="1"/>
  <c r="L66"/>
  <c r="J66"/>
  <c r="J93" s="1"/>
  <c r="I66"/>
  <c r="I93" s="1"/>
  <c r="H66"/>
  <c r="H93" s="1"/>
  <c r="G66"/>
  <c r="G93" s="1"/>
  <c r="F66"/>
  <c r="F93" s="1"/>
  <c r="E66"/>
  <c r="E93" s="1"/>
  <c r="D66"/>
  <c r="D93" s="1"/>
  <c r="C66"/>
  <c r="B66"/>
  <c r="B93" s="1"/>
  <c r="AC65"/>
  <c r="AC92" s="1"/>
  <c r="AB65"/>
  <c r="AB92" s="1"/>
  <c r="AA65"/>
  <c r="AA92" s="1"/>
  <c r="Z65"/>
  <c r="Z92" s="1"/>
  <c r="Y65"/>
  <c r="Y92" s="1"/>
  <c r="X65"/>
  <c r="X92" s="1"/>
  <c r="W65"/>
  <c r="V65"/>
  <c r="V92" s="1"/>
  <c r="T65"/>
  <c r="T92" s="1"/>
  <c r="S65"/>
  <c r="S92" s="1"/>
  <c r="R65"/>
  <c r="R92" s="1"/>
  <c r="Q65"/>
  <c r="Q92" s="1"/>
  <c r="P65"/>
  <c r="P92" s="1"/>
  <c r="O65"/>
  <c r="O92" s="1"/>
  <c r="N65"/>
  <c r="M65"/>
  <c r="M92" s="1"/>
  <c r="L65"/>
  <c r="L92" s="1"/>
  <c r="J65"/>
  <c r="J92" s="1"/>
  <c r="I65"/>
  <c r="I92" s="1"/>
  <c r="H65"/>
  <c r="H92" s="1"/>
  <c r="G65"/>
  <c r="G92" s="1"/>
  <c r="F65"/>
  <c r="F92" s="1"/>
  <c r="E65"/>
  <c r="D65"/>
  <c r="D92" s="1"/>
  <c r="C65"/>
  <c r="C92" s="1"/>
  <c r="B65"/>
  <c r="B92" s="1"/>
  <c r="AD2" i="10"/>
  <c r="AC2"/>
  <c r="AB2"/>
  <c r="AA2"/>
  <c r="Z2"/>
  <c r="Y2"/>
  <c r="X2"/>
  <c r="W2"/>
  <c r="V2"/>
  <c r="U2"/>
  <c r="T2"/>
  <c r="S2"/>
  <c r="R2"/>
  <c r="Q2"/>
  <c r="P2"/>
  <c r="O2"/>
  <c r="N2"/>
  <c r="M2"/>
  <c r="L2"/>
  <c r="K2"/>
  <c r="E156" i="3" l="1"/>
  <c r="K11" i="10" s="1"/>
  <c r="J178" i="3"/>
  <c r="J215" s="1"/>
  <c r="P10" i="10"/>
  <c r="I179" i="3"/>
  <c r="O10" i="10"/>
  <c r="H178" i="3"/>
  <c r="H215" s="1"/>
  <c r="N10" i="10"/>
  <c r="E124" i="3"/>
  <c r="F179"/>
  <c r="L11" i="10"/>
  <c r="I180" i="3"/>
  <c r="F124"/>
  <c r="E121"/>
  <c r="F121" s="1"/>
  <c r="G121" s="1"/>
  <c r="H121" s="1"/>
  <c r="I121" s="1"/>
  <c r="J121" s="1"/>
  <c r="K121" s="1"/>
  <c r="L121" s="1"/>
  <c r="M121" s="1"/>
  <c r="N121" s="1"/>
  <c r="O121" s="1"/>
  <c r="P121" s="1"/>
  <c r="Q121" s="1"/>
  <c r="R121" s="1"/>
  <c r="S121" s="1"/>
  <c r="T121" s="1"/>
  <c r="U121" s="1"/>
  <c r="V121" s="1"/>
  <c r="W121" s="1"/>
  <c r="X121" s="1"/>
  <c r="F127"/>
  <c r="G127" s="1"/>
  <c r="H127" s="1"/>
  <c r="I127" s="1"/>
  <c r="J127" s="1"/>
  <c r="K127" s="1"/>
  <c r="L127" s="1"/>
  <c r="M127" s="1"/>
  <c r="N127" s="1"/>
  <c r="O127" s="1"/>
  <c r="P127" s="1"/>
  <c r="Q127" s="1"/>
  <c r="R127" s="1"/>
  <c r="S127" s="1"/>
  <c r="T127" s="1"/>
  <c r="U127" s="1"/>
  <c r="V127" s="1"/>
  <c r="W127" s="1"/>
  <c r="X127" s="1"/>
  <c r="F181"/>
  <c r="Q60"/>
  <c r="G126"/>
  <c r="H126" s="1"/>
  <c r="I126" s="1"/>
  <c r="J126" s="1"/>
  <c r="K126" s="1"/>
  <c r="L126" s="1"/>
  <c r="M126" s="1"/>
  <c r="N126" s="1"/>
  <c r="O126" s="1"/>
  <c r="P126" s="1"/>
  <c r="Q126" s="1"/>
  <c r="R126" s="1"/>
  <c r="S126" s="1"/>
  <c r="T126" s="1"/>
  <c r="U126" s="1"/>
  <c r="V126" s="1"/>
  <c r="W126" s="1"/>
  <c r="X126" s="1"/>
  <c r="I60"/>
  <c r="X149"/>
  <c r="AD4" i="10" s="1"/>
  <c r="L157" i="3"/>
  <c r="R12" i="10" s="1"/>
  <c r="S155" i="3"/>
  <c r="O60"/>
  <c r="O92"/>
  <c r="O148" s="1"/>
  <c r="U3" i="10" s="1"/>
  <c r="K156" i="3"/>
  <c r="Q11" i="10" s="1"/>
  <c r="H158" i="3"/>
  <c r="N13" i="10" s="1"/>
  <c r="W158" i="3"/>
  <c r="AC13" i="10" s="1"/>
  <c r="W160" i="3"/>
  <c r="AC15" i="10" s="1"/>
  <c r="R178" i="3"/>
  <c r="R215" s="1"/>
  <c r="R181"/>
  <c r="R180"/>
  <c r="R179"/>
  <c r="E120"/>
  <c r="F120" s="1"/>
  <c r="G120" s="1"/>
  <c r="H120" s="1"/>
  <c r="I120" s="1"/>
  <c r="J120" s="1"/>
  <c r="K120" s="1"/>
  <c r="L120" s="1"/>
  <c r="M120" s="1"/>
  <c r="N120" s="1"/>
  <c r="O120" s="1"/>
  <c r="P120" s="1"/>
  <c r="Q120" s="1"/>
  <c r="R120" s="1"/>
  <c r="S120" s="1"/>
  <c r="T120" s="1"/>
  <c r="U120" s="1"/>
  <c r="V120" s="1"/>
  <c r="W120" s="1"/>
  <c r="X120" s="1"/>
  <c r="E149"/>
  <c r="K4" i="10" s="1"/>
  <c r="Q158" i="3"/>
  <c r="W13" i="10" s="1"/>
  <c r="E131" i="3"/>
  <c r="F131" s="1"/>
  <c r="G131" s="1"/>
  <c r="H131" s="1"/>
  <c r="I131" s="1"/>
  <c r="J131" s="1"/>
  <c r="K131" s="1"/>
  <c r="L131" s="1"/>
  <c r="M131" s="1"/>
  <c r="N131" s="1"/>
  <c r="O131" s="1"/>
  <c r="P131" s="1"/>
  <c r="Q131" s="1"/>
  <c r="R131" s="1"/>
  <c r="S131" s="1"/>
  <c r="T131" s="1"/>
  <c r="U131" s="1"/>
  <c r="V131" s="1"/>
  <c r="W131" s="1"/>
  <c r="X131" s="1"/>
  <c r="E160"/>
  <c r="K15" i="10" s="1"/>
  <c r="U160" i="3"/>
  <c r="AA15" i="10" s="1"/>
  <c r="Q152" i="3"/>
  <c r="W7" i="10" s="1"/>
  <c r="M159" i="3"/>
  <c r="S14" i="10" s="1"/>
  <c r="I161" i="3"/>
  <c r="O16" i="10" s="1"/>
  <c r="E133" i="3"/>
  <c r="F133" s="1"/>
  <c r="G133" s="1"/>
  <c r="H133" s="1"/>
  <c r="I133" s="1"/>
  <c r="J133" s="1"/>
  <c r="K133" s="1"/>
  <c r="L133" s="1"/>
  <c r="M133" s="1"/>
  <c r="N133" s="1"/>
  <c r="O133" s="1"/>
  <c r="P133" s="1"/>
  <c r="Q133" s="1"/>
  <c r="R133" s="1"/>
  <c r="S133" s="1"/>
  <c r="T133" s="1"/>
  <c r="U133" s="1"/>
  <c r="V133" s="1"/>
  <c r="W133" s="1"/>
  <c r="X133" s="1"/>
  <c r="E162"/>
  <c r="K17" i="10" s="1"/>
  <c r="U162" i="3"/>
  <c r="AA17" i="10" s="1"/>
  <c r="Q154" i="3"/>
  <c r="W9" i="10" s="1"/>
  <c r="P92" i="3"/>
  <c r="P148" s="1"/>
  <c r="V3" i="10" s="1"/>
  <c r="P60" i="3"/>
  <c r="L156"/>
  <c r="L181" s="1"/>
  <c r="F92"/>
  <c r="F148" s="1"/>
  <c r="L3" i="10" s="1"/>
  <c r="F60" i="3"/>
  <c r="V60"/>
  <c r="V92"/>
  <c r="V148" s="1"/>
  <c r="AB3" i="10" s="1"/>
  <c r="N154" i="3"/>
  <c r="X178"/>
  <c r="X215" s="1"/>
  <c r="T149"/>
  <c r="Z4" i="10" s="1"/>
  <c r="P158" i="3"/>
  <c r="V13" i="10" s="1"/>
  <c r="O181" i="3"/>
  <c r="O178"/>
  <c r="O215" s="1"/>
  <c r="O179"/>
  <c r="O180"/>
  <c r="K92"/>
  <c r="K148" s="1"/>
  <c r="Q3" i="10" s="1"/>
  <c r="K60" i="3"/>
  <c r="G156"/>
  <c r="W156"/>
  <c r="AC11" i="10" s="1"/>
  <c r="S158" i="3"/>
  <c r="Y13" i="10" s="1"/>
  <c r="S160" i="3"/>
  <c r="Y15" i="10" s="1"/>
  <c r="O159" i="3"/>
  <c r="U14" i="10" s="1"/>
  <c r="K161" i="3"/>
  <c r="Q16" i="10" s="1"/>
  <c r="G162" i="3"/>
  <c r="M17" i="10" s="1"/>
  <c r="W162" i="3"/>
  <c r="AC17" i="10" s="1"/>
  <c r="J151" i="3"/>
  <c r="P6" i="10" s="1"/>
  <c r="Q160" i="3"/>
  <c r="W15" i="10" s="1"/>
  <c r="M152" i="3"/>
  <c r="S7" i="10" s="1"/>
  <c r="I159" i="3"/>
  <c r="O14" i="10" s="1"/>
  <c r="E132" i="3"/>
  <c r="F132" s="1"/>
  <c r="G132" s="1"/>
  <c r="H132" s="1"/>
  <c r="I132" s="1"/>
  <c r="J132" s="1"/>
  <c r="K132" s="1"/>
  <c r="L132" s="1"/>
  <c r="M132" s="1"/>
  <c r="N132" s="1"/>
  <c r="O132" s="1"/>
  <c r="P132" s="1"/>
  <c r="Q132" s="1"/>
  <c r="R132" s="1"/>
  <c r="S132" s="1"/>
  <c r="T132" s="1"/>
  <c r="U132" s="1"/>
  <c r="V132" s="1"/>
  <c r="W132" s="1"/>
  <c r="X132" s="1"/>
  <c r="E161"/>
  <c r="K16" i="10" s="1"/>
  <c r="M188" i="3"/>
  <c r="M184"/>
  <c r="M192"/>
  <c r="M187"/>
  <c r="M186"/>
  <c r="M183"/>
  <c r="M191"/>
  <c r="M185"/>
  <c r="M189"/>
  <c r="M190"/>
  <c r="M182"/>
  <c r="L153"/>
  <c r="R8" i="10" s="1"/>
  <c r="L158" i="3"/>
  <c r="R13" i="10" s="1"/>
  <c r="G154" i="3"/>
  <c r="M9" i="10" s="1"/>
  <c r="S153" i="3"/>
  <c r="Y8" i="10" s="1"/>
  <c r="K155" i="3"/>
  <c r="Q10" i="10" s="1"/>
  <c r="H60" i="3"/>
  <c r="H92"/>
  <c r="H148" s="1"/>
  <c r="N3" i="10" s="1"/>
  <c r="W92" i="3"/>
  <c r="W148" s="1"/>
  <c r="AC3" i="10" s="1"/>
  <c r="W60" i="3"/>
  <c r="W157"/>
  <c r="AC12" i="10" s="1"/>
  <c r="S151" i="3"/>
  <c r="Y6" i="10" s="1"/>
  <c r="O160" i="3"/>
  <c r="U15" i="10" s="1"/>
  <c r="K159" i="3"/>
  <c r="Q14" i="10" s="1"/>
  <c r="N178" i="3"/>
  <c r="N215" s="1"/>
  <c r="N181"/>
  <c r="N180"/>
  <c r="N179"/>
  <c r="V178"/>
  <c r="V215" s="1"/>
  <c r="V181"/>
  <c r="V180"/>
  <c r="V179"/>
  <c r="M149"/>
  <c r="S4" i="10" s="1"/>
  <c r="E128" i="3"/>
  <c r="F128" s="1"/>
  <c r="G128" s="1"/>
  <c r="H128" s="1"/>
  <c r="I128" s="1"/>
  <c r="J128" s="1"/>
  <c r="K128" s="1"/>
  <c r="L128" s="1"/>
  <c r="M128" s="1"/>
  <c r="N128" s="1"/>
  <c r="O128" s="1"/>
  <c r="P128" s="1"/>
  <c r="Q128" s="1"/>
  <c r="R128" s="1"/>
  <c r="S128" s="1"/>
  <c r="T128" s="1"/>
  <c r="U128" s="1"/>
  <c r="V128" s="1"/>
  <c r="W128" s="1"/>
  <c r="X128" s="1"/>
  <c r="E157"/>
  <c r="K12" i="10" s="1"/>
  <c r="M160" i="3"/>
  <c r="S15" i="10" s="1"/>
  <c r="I152" i="3"/>
  <c r="O7" i="10" s="1"/>
  <c r="E130" i="3"/>
  <c r="F130" s="1"/>
  <c r="G130" s="1"/>
  <c r="H130" s="1"/>
  <c r="I130" s="1"/>
  <c r="J130" s="1"/>
  <c r="K130" s="1"/>
  <c r="L130" s="1"/>
  <c r="M130" s="1"/>
  <c r="N130" s="1"/>
  <c r="O130" s="1"/>
  <c r="P130" s="1"/>
  <c r="Q130" s="1"/>
  <c r="R130" s="1"/>
  <c r="S130" s="1"/>
  <c r="T130" s="1"/>
  <c r="U130" s="1"/>
  <c r="V130" s="1"/>
  <c r="W130" s="1"/>
  <c r="X130" s="1"/>
  <c r="E159"/>
  <c r="K14" i="10" s="1"/>
  <c r="Q161" i="3"/>
  <c r="W16" i="10" s="1"/>
  <c r="M162" i="3"/>
  <c r="S17" i="10" s="1"/>
  <c r="I154" i="3"/>
  <c r="O9" i="10" s="1"/>
  <c r="X153" i="3"/>
  <c r="AD8" i="10" s="1"/>
  <c r="G92" i="3"/>
  <c r="G148" s="1"/>
  <c r="M3" i="10" s="1"/>
  <c r="G60" i="3"/>
  <c r="X60"/>
  <c r="X92"/>
  <c r="X148" s="1"/>
  <c r="AD3" i="10" s="1"/>
  <c r="T156" i="3"/>
  <c r="N60"/>
  <c r="N92"/>
  <c r="N148" s="1"/>
  <c r="T3" i="10" s="1"/>
  <c r="V162" i="3"/>
  <c r="AB17" i="10" s="1"/>
  <c r="L178" i="3"/>
  <c r="L215" s="1"/>
  <c r="T178"/>
  <c r="T215" s="1"/>
  <c r="E180"/>
  <c r="E178"/>
  <c r="E215" s="1"/>
  <c r="Q181"/>
  <c r="Q180"/>
  <c r="Q179"/>
  <c r="Q178"/>
  <c r="Q215" s="1"/>
  <c r="F180"/>
  <c r="J180"/>
  <c r="G124"/>
  <c r="H124" s="1"/>
  <c r="I124" s="1"/>
  <c r="J124" s="1"/>
  <c r="K124" s="1"/>
  <c r="L124" s="1"/>
  <c r="M124" s="1"/>
  <c r="N124" s="1"/>
  <c r="O124" s="1"/>
  <c r="P124" s="1"/>
  <c r="Q124" s="1"/>
  <c r="R124" s="1"/>
  <c r="S124" s="1"/>
  <c r="T124" s="1"/>
  <c r="U124" s="1"/>
  <c r="V124" s="1"/>
  <c r="W124" s="1"/>
  <c r="X124" s="1"/>
  <c r="E60"/>
  <c r="U60"/>
  <c r="M60"/>
  <c r="T160"/>
  <c r="Z15" i="10" s="1"/>
  <c r="P152" i="3"/>
  <c r="V7" i="10" s="1"/>
  <c r="T162" i="3"/>
  <c r="Z17" i="10" s="1"/>
  <c r="P154" i="3"/>
  <c r="V9" i="10" s="1"/>
  <c r="K151" i="3"/>
  <c r="Q6" i="10" s="1"/>
  <c r="H154" i="3"/>
  <c r="N9" i="10" s="1"/>
  <c r="N151" i="3"/>
  <c r="T6" i="10" s="1"/>
  <c r="R205" i="3"/>
  <c r="R207"/>
  <c r="R206"/>
  <c r="R204"/>
  <c r="P178"/>
  <c r="P215" s="1"/>
  <c r="M181"/>
  <c r="M180"/>
  <c r="M179"/>
  <c r="M178"/>
  <c r="M215" s="1"/>
  <c r="U181"/>
  <c r="U180"/>
  <c r="U178"/>
  <c r="U215" s="1"/>
  <c r="U179"/>
  <c r="X157"/>
  <c r="AD12" i="10" s="1"/>
  <c r="H159" i="3"/>
  <c r="N14" i="10" s="1"/>
  <c r="X159" i="3"/>
  <c r="AD14" i="10" s="1"/>
  <c r="W153" i="3"/>
  <c r="AC8" i="10" s="1"/>
  <c r="S150" i="3"/>
  <c r="Y5" i="10" s="1"/>
  <c r="R196" i="3"/>
  <c r="R193"/>
  <c r="R195"/>
  <c r="R198"/>
  <c r="R197"/>
  <c r="R199"/>
  <c r="R194"/>
  <c r="Q149"/>
  <c r="W4" i="10" s="1"/>
  <c r="M158" i="3"/>
  <c r="S13" i="10" s="1"/>
  <c r="E122" i="3"/>
  <c r="F122" s="1"/>
  <c r="G122" s="1"/>
  <c r="H122" s="1"/>
  <c r="I122" s="1"/>
  <c r="J122" s="1"/>
  <c r="K122" s="1"/>
  <c r="L122" s="1"/>
  <c r="M122" s="1"/>
  <c r="N122" s="1"/>
  <c r="O122" s="1"/>
  <c r="P122" s="1"/>
  <c r="Q122" s="1"/>
  <c r="R122" s="1"/>
  <c r="S122" s="1"/>
  <c r="T122" s="1"/>
  <c r="U122" s="1"/>
  <c r="V122" s="1"/>
  <c r="W122" s="1"/>
  <c r="X122" s="1"/>
  <c r="E151"/>
  <c r="K6" i="10" s="1"/>
  <c r="P150" i="3"/>
  <c r="V5" i="10" s="1"/>
  <c r="L92" i="3"/>
  <c r="L148" s="1"/>
  <c r="R3" i="10" s="1"/>
  <c r="L60" i="3"/>
  <c r="H156"/>
  <c r="N11" i="10" s="1"/>
  <c r="X156" i="3"/>
  <c r="R60"/>
  <c r="R92"/>
  <c r="R148" s="1"/>
  <c r="X3" i="10" s="1"/>
  <c r="F162" i="3"/>
  <c r="L17" i="10" s="1"/>
  <c r="F154" i="3"/>
  <c r="T157"/>
  <c r="Z12" i="10" s="1"/>
  <c r="L160" i="3"/>
  <c r="R15" i="10" s="1"/>
  <c r="G152" i="3"/>
  <c r="M7" i="10" s="1"/>
  <c r="X152" i="3"/>
  <c r="AD7" i="10" s="1"/>
  <c r="T159" i="3"/>
  <c r="Z14" i="10" s="1"/>
  <c r="P161" i="3"/>
  <c r="V16" i="10" s="1"/>
  <c r="X154" i="3"/>
  <c r="AD9" i="10" s="1"/>
  <c r="O158" i="3"/>
  <c r="U13" i="10" s="1"/>
  <c r="O154" i="3"/>
  <c r="F151"/>
  <c r="L6" i="10" s="1"/>
  <c r="V151" i="3"/>
  <c r="AB6" i="10" s="1"/>
  <c r="R185" i="3"/>
  <c r="R189"/>
  <c r="R184"/>
  <c r="R191"/>
  <c r="R183"/>
  <c r="R190"/>
  <c r="R192"/>
  <c r="R186"/>
  <c r="R188"/>
  <c r="R187"/>
  <c r="L149"/>
  <c r="R4" i="10" s="1"/>
  <c r="G158" i="3"/>
  <c r="M13" i="10" s="1"/>
  <c r="X158" i="3"/>
  <c r="AD13" i="10" s="1"/>
  <c r="P157" i="3"/>
  <c r="V12" i="10" s="1"/>
  <c r="L151" i="3"/>
  <c r="R6" i="10" s="1"/>
  <c r="T152" i="3"/>
  <c r="Z7" i="10" s="1"/>
  <c r="P159" i="3"/>
  <c r="V14" i="10" s="1"/>
  <c r="L161" i="3"/>
  <c r="R16" i="10" s="1"/>
  <c r="T154" i="3"/>
  <c r="Z9" i="10" s="1"/>
  <c r="G178" i="3"/>
  <c r="G215" s="1"/>
  <c r="W155"/>
  <c r="AC10" i="10" s="1"/>
  <c r="S92" i="3"/>
  <c r="S148" s="1"/>
  <c r="Y3" i="10" s="1"/>
  <c r="S60" i="3"/>
  <c r="K158"/>
  <c r="Q13" i="10" s="1"/>
  <c r="G159" i="3"/>
  <c r="M14" i="10" s="1"/>
  <c r="W159" i="3"/>
  <c r="AC14" i="10" s="1"/>
  <c r="K154" i="3"/>
  <c r="Q9" i="10" s="1"/>
  <c r="R202" i="3"/>
  <c r="R201"/>
  <c r="R203"/>
  <c r="R200"/>
  <c r="J154"/>
  <c r="P9" i="10" s="1"/>
  <c r="E129" i="3"/>
  <c r="F129" s="1"/>
  <c r="G129" s="1"/>
  <c r="H129" s="1"/>
  <c r="I129" s="1"/>
  <c r="J129" s="1"/>
  <c r="K129" s="1"/>
  <c r="L129" s="1"/>
  <c r="M129" s="1"/>
  <c r="N129" s="1"/>
  <c r="O129" s="1"/>
  <c r="P129" s="1"/>
  <c r="Q129" s="1"/>
  <c r="R129" s="1"/>
  <c r="S129" s="1"/>
  <c r="T129" s="1"/>
  <c r="U129" s="1"/>
  <c r="V129" s="1"/>
  <c r="W129" s="1"/>
  <c r="X129" s="1"/>
  <c r="E158"/>
  <c r="K13" i="10" s="1"/>
  <c r="U158" i="3"/>
  <c r="AA13" i="10" s="1"/>
  <c r="Q157" i="3"/>
  <c r="W12" i="10" s="1"/>
  <c r="E123" i="3"/>
  <c r="F123" s="1"/>
  <c r="G123" s="1"/>
  <c r="H123" s="1"/>
  <c r="I123" s="1"/>
  <c r="J123" s="1"/>
  <c r="K123" s="1"/>
  <c r="L123" s="1"/>
  <c r="M123" s="1"/>
  <c r="N123" s="1"/>
  <c r="O123" s="1"/>
  <c r="P123" s="1"/>
  <c r="Q123" s="1"/>
  <c r="R123" s="1"/>
  <c r="S123" s="1"/>
  <c r="T123" s="1"/>
  <c r="U123" s="1"/>
  <c r="V123" s="1"/>
  <c r="W123" s="1"/>
  <c r="X123" s="1"/>
  <c r="E152"/>
  <c r="K7" i="10" s="1"/>
  <c r="Q159" i="3"/>
  <c r="W14" i="10" s="1"/>
  <c r="M161" i="3"/>
  <c r="S16" i="10" s="1"/>
  <c r="I162" i="3"/>
  <c r="O17" i="10" s="1"/>
  <c r="E125" i="3"/>
  <c r="F125" s="1"/>
  <c r="G125" s="1"/>
  <c r="H125" s="1"/>
  <c r="I125" s="1"/>
  <c r="J125" s="1"/>
  <c r="K125" s="1"/>
  <c r="L125" s="1"/>
  <c r="M125" s="1"/>
  <c r="N125" s="1"/>
  <c r="O125" s="1"/>
  <c r="P125" s="1"/>
  <c r="Q125" s="1"/>
  <c r="R125" s="1"/>
  <c r="S125" s="1"/>
  <c r="T125" s="1"/>
  <c r="U125" s="1"/>
  <c r="V125" s="1"/>
  <c r="W125" s="1"/>
  <c r="X125" s="1"/>
  <c r="E154"/>
  <c r="K9" i="10" s="1"/>
  <c r="U154" i="3"/>
  <c r="AA9" i="10" s="1"/>
  <c r="T153" i="3"/>
  <c r="Z8" i="10" s="1"/>
  <c r="T60" i="3"/>
  <c r="T92"/>
  <c r="T148" s="1"/>
  <c r="Z3" i="10" s="1"/>
  <c r="P156" i="3"/>
  <c r="J60"/>
  <c r="J92"/>
  <c r="J148" s="1"/>
  <c r="P3" i="10" s="1"/>
  <c r="V154" i="3"/>
  <c r="AB9" i="10" s="1"/>
  <c r="Y208" i="3"/>
  <c r="Y170"/>
  <c r="J181"/>
  <c r="R182"/>
  <c r="I181"/>
  <c r="J179"/>
  <c r="E181" l="1"/>
  <c r="E179"/>
  <c r="O198"/>
  <c r="G206"/>
  <c r="F194"/>
  <c r="L9" i="10"/>
  <c r="X180" i="3"/>
  <c r="AD11" i="10"/>
  <c r="O191" i="3"/>
  <c r="U9" i="10"/>
  <c r="L184" i="3"/>
  <c r="R11" i="10"/>
  <c r="G180" i="3"/>
  <c r="M11" i="10"/>
  <c r="N199" i="3"/>
  <c r="T9" i="10"/>
  <c r="L189" i="3"/>
  <c r="P179"/>
  <c r="V11" i="10"/>
  <c r="T181" i="3"/>
  <c r="Z11" i="10"/>
  <c r="S183" i="3"/>
  <c r="Y10" i="10"/>
  <c r="L190" i="3"/>
  <c r="L192"/>
  <c r="L186"/>
  <c r="L183"/>
  <c r="K191"/>
  <c r="L194"/>
  <c r="L185"/>
  <c r="L187"/>
  <c r="L193"/>
  <c r="L179"/>
  <c r="P200"/>
  <c r="L180"/>
  <c r="I193"/>
  <c r="L188"/>
  <c r="L191"/>
  <c r="N195"/>
  <c r="T180"/>
  <c r="P181"/>
  <c r="V199"/>
  <c r="W190"/>
  <c r="L196"/>
  <c r="H205"/>
  <c r="N207"/>
  <c r="N182"/>
  <c r="N197"/>
  <c r="S207"/>
  <c r="S185"/>
  <c r="S194"/>
  <c r="S191"/>
  <c r="T208"/>
  <c r="Q208"/>
  <c r="M200"/>
  <c r="S184"/>
  <c r="W204"/>
  <c r="G200"/>
  <c r="V206"/>
  <c r="S186"/>
  <c r="Q202"/>
  <c r="O207"/>
  <c r="I207"/>
  <c r="K196"/>
  <c r="K198"/>
  <c r="O202"/>
  <c r="N205"/>
  <c r="S189"/>
  <c r="P206"/>
  <c r="V198"/>
  <c r="T202"/>
  <c r="Q201"/>
  <c r="X202"/>
  <c r="V207"/>
  <c r="U204"/>
  <c r="O201"/>
  <c r="W200"/>
  <c r="L195"/>
  <c r="G203"/>
  <c r="X181"/>
  <c r="I202"/>
  <c r="X179"/>
  <c r="J189"/>
  <c r="J185"/>
  <c r="J187"/>
  <c r="J191"/>
  <c r="J192"/>
  <c r="J186"/>
  <c r="J188"/>
  <c r="J190"/>
  <c r="J184"/>
  <c r="J183"/>
  <c r="J195"/>
  <c r="K202"/>
  <c r="K203"/>
  <c r="K200"/>
  <c r="K201"/>
  <c r="G170"/>
  <c r="G208"/>
  <c r="M196"/>
  <c r="M198"/>
  <c r="M197"/>
  <c r="M194"/>
  <c r="M195"/>
  <c r="M199"/>
  <c r="M193"/>
  <c r="F208"/>
  <c r="F170"/>
  <c r="S200"/>
  <c r="S203"/>
  <c r="S202"/>
  <c r="S201"/>
  <c r="K179"/>
  <c r="K178"/>
  <c r="K215" s="1"/>
  <c r="K181"/>
  <c r="K180"/>
  <c r="G182"/>
  <c r="G184"/>
  <c r="G187"/>
  <c r="G190"/>
  <c r="G186"/>
  <c r="G188"/>
  <c r="G183"/>
  <c r="G185"/>
  <c r="G189"/>
  <c r="G192"/>
  <c r="G191"/>
  <c r="K208"/>
  <c r="K170"/>
  <c r="N185"/>
  <c r="N189"/>
  <c r="N192"/>
  <c r="N186"/>
  <c r="N188"/>
  <c r="N187"/>
  <c r="N190"/>
  <c r="N184"/>
  <c r="N191"/>
  <c r="N183"/>
  <c r="N194"/>
  <c r="N193"/>
  <c r="Q197"/>
  <c r="Q196"/>
  <c r="Q198"/>
  <c r="Q199"/>
  <c r="Q194"/>
  <c r="Q195"/>
  <c r="Q193"/>
  <c r="E207"/>
  <c r="E204"/>
  <c r="E205"/>
  <c r="E206"/>
  <c r="S178"/>
  <c r="S215" s="1"/>
  <c r="S180"/>
  <c r="S179"/>
  <c r="S181"/>
  <c r="X207"/>
  <c r="X205"/>
  <c r="X204"/>
  <c r="X206"/>
  <c r="V185"/>
  <c r="V189"/>
  <c r="V184"/>
  <c r="V191"/>
  <c r="V183"/>
  <c r="V192"/>
  <c r="V188"/>
  <c r="V187"/>
  <c r="V190"/>
  <c r="V186"/>
  <c r="V194"/>
  <c r="V193"/>
  <c r="V196"/>
  <c r="V195"/>
  <c r="E183"/>
  <c r="E187"/>
  <c r="E191"/>
  <c r="E182"/>
  <c r="E185"/>
  <c r="E189"/>
  <c r="E190"/>
  <c r="E192"/>
  <c r="E186"/>
  <c r="E184"/>
  <c r="E188"/>
  <c r="K190"/>
  <c r="K183"/>
  <c r="K185"/>
  <c r="K186"/>
  <c r="K188"/>
  <c r="K182"/>
  <c r="K184"/>
  <c r="K187"/>
  <c r="K189"/>
  <c r="K192"/>
  <c r="T184"/>
  <c r="T183"/>
  <c r="T191"/>
  <c r="T187"/>
  <c r="T190"/>
  <c r="T186"/>
  <c r="T185"/>
  <c r="T188"/>
  <c r="T182"/>
  <c r="T189"/>
  <c r="T192"/>
  <c r="L200"/>
  <c r="L203"/>
  <c r="L201"/>
  <c r="L202"/>
  <c r="L204"/>
  <c r="L207"/>
  <c r="L205"/>
  <c r="L206"/>
  <c r="V202"/>
  <c r="V201"/>
  <c r="V203"/>
  <c r="V200"/>
  <c r="O186"/>
  <c r="O184"/>
  <c r="O187"/>
  <c r="O182"/>
  <c r="O190"/>
  <c r="O185"/>
  <c r="O188"/>
  <c r="O183"/>
  <c r="O189"/>
  <c r="O192"/>
  <c r="O194"/>
  <c r="O196"/>
  <c r="O193"/>
  <c r="O199"/>
  <c r="X184"/>
  <c r="X187"/>
  <c r="X191"/>
  <c r="X183"/>
  <c r="X189"/>
  <c r="X190"/>
  <c r="X186"/>
  <c r="X188"/>
  <c r="X182"/>
  <c r="X185"/>
  <c r="X192"/>
  <c r="G194"/>
  <c r="G198"/>
  <c r="G196"/>
  <c r="G195"/>
  <c r="G199"/>
  <c r="G193"/>
  <c r="E200"/>
  <c r="E203"/>
  <c r="E202"/>
  <c r="E201"/>
  <c r="Q204"/>
  <c r="Q206"/>
  <c r="Q205"/>
  <c r="Q207"/>
  <c r="N201"/>
  <c r="N203"/>
  <c r="N202"/>
  <c r="N200"/>
  <c r="H184"/>
  <c r="H187"/>
  <c r="H191"/>
  <c r="H183"/>
  <c r="H182"/>
  <c r="H190"/>
  <c r="H185"/>
  <c r="H188"/>
  <c r="H189"/>
  <c r="H192"/>
  <c r="H186"/>
  <c r="H196"/>
  <c r="H194"/>
  <c r="H197"/>
  <c r="H193"/>
  <c r="H199"/>
  <c r="H198"/>
  <c r="H195"/>
  <c r="P184"/>
  <c r="P187"/>
  <c r="P183"/>
  <c r="P191"/>
  <c r="P188"/>
  <c r="P189"/>
  <c r="P190"/>
  <c r="P192"/>
  <c r="P186"/>
  <c r="P185"/>
  <c r="P182"/>
  <c r="P199"/>
  <c r="P195"/>
  <c r="P197"/>
  <c r="P196"/>
  <c r="P193"/>
  <c r="P198"/>
  <c r="P194"/>
  <c r="J201"/>
  <c r="J203"/>
  <c r="J202"/>
  <c r="J200"/>
  <c r="L198"/>
  <c r="T201"/>
  <c r="W189"/>
  <c r="W184"/>
  <c r="U208"/>
  <c r="J196"/>
  <c r="P207"/>
  <c r="U200"/>
  <c r="M208"/>
  <c r="H202"/>
  <c r="I203"/>
  <c r="W191"/>
  <c r="H170"/>
  <c r="U195"/>
  <c r="I205"/>
  <c r="I170"/>
  <c r="L208"/>
  <c r="T200"/>
  <c r="F199"/>
  <c r="J207"/>
  <c r="X201"/>
  <c r="U170"/>
  <c r="J197"/>
  <c r="S206"/>
  <c r="K204"/>
  <c r="W202"/>
  <c r="H200"/>
  <c r="I201"/>
  <c r="U207"/>
  <c r="N198"/>
  <c r="X170"/>
  <c r="W194"/>
  <c r="W206"/>
  <c r="F195"/>
  <c r="U199"/>
  <c r="U193"/>
  <c r="M201"/>
  <c r="I206"/>
  <c r="I208"/>
  <c r="O206"/>
  <c r="G204"/>
  <c r="O200"/>
  <c r="G179"/>
  <c r="P202"/>
  <c r="L199"/>
  <c r="P180"/>
  <c r="J204"/>
  <c r="W186"/>
  <c r="G201"/>
  <c r="V182"/>
  <c r="N196"/>
  <c r="W207"/>
  <c r="K197"/>
  <c r="T179"/>
  <c r="Q203"/>
  <c r="E208"/>
  <c r="J199"/>
  <c r="V205"/>
  <c r="N206"/>
  <c r="K194"/>
  <c r="K199"/>
  <c r="P204"/>
  <c r="U201"/>
  <c r="S204"/>
  <c r="K207"/>
  <c r="S187"/>
  <c r="S188"/>
  <c r="H203"/>
  <c r="L182"/>
  <c r="H204"/>
  <c r="O195"/>
  <c r="J208"/>
  <c r="J170"/>
  <c r="U188"/>
  <c r="U192"/>
  <c r="U184"/>
  <c r="U183"/>
  <c r="U191"/>
  <c r="U187"/>
  <c r="U186"/>
  <c r="U189"/>
  <c r="U190"/>
  <c r="U182"/>
  <c r="U185"/>
  <c r="U194"/>
  <c r="E199"/>
  <c r="E195"/>
  <c r="E196"/>
  <c r="E193"/>
  <c r="E194"/>
  <c r="E197"/>
  <c r="E198"/>
  <c r="W178"/>
  <c r="W215" s="1"/>
  <c r="W180"/>
  <c r="W179"/>
  <c r="W181"/>
  <c r="T196"/>
  <c r="T199"/>
  <c r="T197"/>
  <c r="T195"/>
  <c r="T194"/>
  <c r="T198"/>
  <c r="T193"/>
  <c r="F202"/>
  <c r="F201"/>
  <c r="F203"/>
  <c r="F200"/>
  <c r="F207"/>
  <c r="F204"/>
  <c r="F205"/>
  <c r="F206"/>
  <c r="X196"/>
  <c r="X199"/>
  <c r="X197"/>
  <c r="X195"/>
  <c r="X198"/>
  <c r="X193"/>
  <c r="X194"/>
  <c r="F185"/>
  <c r="F189"/>
  <c r="F190"/>
  <c r="F184"/>
  <c r="F191"/>
  <c r="F183"/>
  <c r="F186"/>
  <c r="F188"/>
  <c r="F187"/>
  <c r="F192"/>
  <c r="F182"/>
  <c r="R208"/>
  <c r="R170"/>
  <c r="H181"/>
  <c r="H179"/>
  <c r="H180"/>
  <c r="W170"/>
  <c r="W208"/>
  <c r="S170"/>
  <c r="S208"/>
  <c r="I184"/>
  <c r="I188"/>
  <c r="I192"/>
  <c r="I189"/>
  <c r="I183"/>
  <c r="I190"/>
  <c r="I182"/>
  <c r="I191"/>
  <c r="I185"/>
  <c r="I187"/>
  <c r="I186"/>
  <c r="I196"/>
  <c r="I198"/>
  <c r="I197"/>
  <c r="I195"/>
  <c r="I194"/>
  <c r="I199"/>
  <c r="W197"/>
  <c r="W196"/>
  <c r="W198"/>
  <c r="W195"/>
  <c r="W199"/>
  <c r="W205"/>
  <c r="N208"/>
  <c r="N170"/>
  <c r="M205"/>
  <c r="M204"/>
  <c r="M206"/>
  <c r="M207"/>
  <c r="S197"/>
  <c r="S195"/>
  <c r="S196"/>
  <c r="S198"/>
  <c r="S199"/>
  <c r="T205"/>
  <c r="T207"/>
  <c r="T204"/>
  <c r="T206"/>
  <c r="V208"/>
  <c r="V170"/>
  <c r="Q184"/>
  <c r="Q192"/>
  <c r="Q188"/>
  <c r="Q187"/>
  <c r="Q186"/>
  <c r="Q183"/>
  <c r="Q190"/>
  <c r="Q182"/>
  <c r="Q191"/>
  <c r="Q185"/>
  <c r="Q189"/>
  <c r="O208"/>
  <c r="O170"/>
  <c r="U196"/>
  <c r="P170"/>
  <c r="L197"/>
  <c r="F198"/>
  <c r="F197"/>
  <c r="J205"/>
  <c r="W183"/>
  <c r="X203"/>
  <c r="J194"/>
  <c r="K206"/>
  <c r="W201"/>
  <c r="P208"/>
  <c r="U205"/>
  <c r="H207"/>
  <c r="U197"/>
  <c r="M202"/>
  <c r="O205"/>
  <c r="G205"/>
  <c r="O203"/>
  <c r="G181"/>
  <c r="P203"/>
  <c r="W188"/>
  <c r="W187"/>
  <c r="L170"/>
  <c r="T170"/>
  <c r="J198"/>
  <c r="U203"/>
  <c r="O197"/>
  <c r="G197"/>
  <c r="U198"/>
  <c r="M203"/>
  <c r="I204"/>
  <c r="Q170"/>
  <c r="O204"/>
  <c r="G207"/>
  <c r="P201"/>
  <c r="T203"/>
  <c r="F193"/>
  <c r="F196"/>
  <c r="J206"/>
  <c r="W192"/>
  <c r="W185"/>
  <c r="W182"/>
  <c r="X200"/>
  <c r="G202"/>
  <c r="V197"/>
  <c r="S193"/>
  <c r="J182"/>
  <c r="X208"/>
  <c r="Q200"/>
  <c r="E170"/>
  <c r="J193"/>
  <c r="V204"/>
  <c r="N204"/>
  <c r="K193"/>
  <c r="K195"/>
  <c r="H208"/>
  <c r="P205"/>
  <c r="U202"/>
  <c r="M170"/>
  <c r="S205"/>
  <c r="K205"/>
  <c r="S192"/>
  <c r="S190"/>
  <c r="S182"/>
  <c r="W203"/>
  <c r="H201"/>
  <c r="I200"/>
  <c r="U206"/>
  <c r="H206"/>
  <c r="W193"/>
  <c r="B17" i="8" l="1"/>
  <c r="B18"/>
  <c r="B19"/>
  <c r="B20"/>
  <c r="B21"/>
  <c r="B22"/>
  <c r="B23"/>
  <c r="B24"/>
  <c r="B25"/>
  <c r="B26"/>
  <c r="B27"/>
  <c r="B4"/>
  <c r="B5"/>
  <c r="B6"/>
  <c r="B7"/>
  <c r="B8"/>
  <c r="B9"/>
  <c r="B10"/>
  <c r="B11"/>
  <c r="B12"/>
  <c r="B13"/>
  <c r="B14"/>
  <c r="B15"/>
  <c r="B16"/>
  <c r="B3"/>
  <c r="B2" i="6" l="1"/>
  <c r="Y244" i="3" l="1"/>
  <c r="Y216"/>
  <c r="Y240" l="1"/>
  <c r="Y239"/>
  <c r="Y232"/>
  <c r="Y217"/>
  <c r="Y237"/>
  <c r="Y233"/>
  <c r="Y227"/>
  <c r="Y245"/>
  <c r="Y230"/>
  <c r="Y226"/>
  <c r="Y219"/>
  <c r="Y242"/>
  <c r="Y231"/>
  <c r="Y220"/>
  <c r="Y243"/>
  <c r="Y223"/>
  <c r="Y225"/>
  <c r="Y238"/>
  <c r="Y228"/>
  <c r="Y218"/>
  <c r="Y241"/>
  <c r="Y224"/>
  <c r="Y221"/>
  <c r="Y222"/>
  <c r="Y234"/>
  <c r="Y229"/>
  <c r="Y235"/>
  <c r="Y236"/>
  <c r="Q114"/>
  <c r="U114"/>
  <c r="H114"/>
  <c r="F114"/>
  <c r="V114"/>
  <c r="S114"/>
  <c r="I114"/>
  <c r="Y248" l="1"/>
  <c r="C10" s="1"/>
  <c r="J114"/>
  <c r="G114"/>
  <c r="K216"/>
  <c r="K232"/>
  <c r="K217"/>
  <c r="Z38"/>
  <c r="V216"/>
  <c r="I216"/>
  <c r="K114"/>
  <c r="W238" l="1"/>
  <c r="K233"/>
  <c r="W242"/>
  <c r="W245"/>
  <c r="W237"/>
  <c r="W239"/>
  <c r="W231"/>
  <c r="U226"/>
  <c r="J216"/>
  <c r="V230"/>
  <c r="V225"/>
  <c r="H216"/>
  <c r="H245"/>
  <c r="I237"/>
  <c r="I243"/>
  <c r="V219"/>
  <c r="H218"/>
  <c r="J245"/>
  <c r="J239"/>
  <c r="K219"/>
  <c r="K228"/>
  <c r="U234"/>
  <c r="U241"/>
  <c r="V237"/>
  <c r="W114"/>
  <c r="J219"/>
  <c r="J220"/>
  <c r="W216"/>
  <c r="W224"/>
  <c r="W226"/>
  <c r="W244"/>
  <c r="V238"/>
  <c r="V245"/>
  <c r="V223"/>
  <c r="U232"/>
  <c r="U243"/>
  <c r="U235"/>
  <c r="O114"/>
  <c r="T114"/>
  <c r="P114"/>
  <c r="V235"/>
  <c r="U216"/>
  <c r="U237"/>
  <c r="U224"/>
  <c r="U239"/>
  <c r="V227"/>
  <c r="V240"/>
  <c r="V241"/>
  <c r="I239"/>
  <c r="V217"/>
  <c r="U220"/>
  <c r="U228"/>
  <c r="I222"/>
  <c r="I232"/>
  <c r="V243"/>
  <c r="I225"/>
  <c r="I224"/>
  <c r="I236"/>
  <c r="K224"/>
  <c r="K239"/>
  <c r="K234"/>
  <c r="K243"/>
  <c r="K221"/>
  <c r="N114"/>
  <c r="M114"/>
  <c r="I244"/>
  <c r="I220"/>
  <c r="I229"/>
  <c r="V226"/>
  <c r="I241"/>
  <c r="I218"/>
  <c r="I230"/>
  <c r="K230"/>
  <c r="K242"/>
  <c r="K226"/>
  <c r="X114"/>
  <c r="Q216"/>
  <c r="Q235"/>
  <c r="Q231"/>
  <c r="F245"/>
  <c r="F219"/>
  <c r="F216"/>
  <c r="F221"/>
  <c r="L114"/>
  <c r="R114"/>
  <c r="G216"/>
  <c r="V220"/>
  <c r="U245"/>
  <c r="V221"/>
  <c r="V233"/>
  <c r="U238"/>
  <c r="V234"/>
  <c r="U233"/>
  <c r="U219"/>
  <c r="V229"/>
  <c r="U223"/>
  <c r="I240"/>
  <c r="I242"/>
  <c r="K225"/>
  <c r="K231"/>
  <c r="K227"/>
  <c r="K245"/>
  <c r="K238"/>
  <c r="W217"/>
  <c r="V242"/>
  <c r="K218"/>
  <c r="K236"/>
  <c r="K237"/>
  <c r="K222"/>
  <c r="K223"/>
  <c r="E114"/>
  <c r="E119"/>
  <c r="E141" s="1"/>
  <c r="S216"/>
  <c r="S240"/>
  <c r="S231"/>
  <c r="I219"/>
  <c r="U229"/>
  <c r="U230"/>
  <c r="V231"/>
  <c r="U242"/>
  <c r="V232"/>
  <c r="V224"/>
  <c r="I234"/>
  <c r="K240"/>
  <c r="K235"/>
  <c r="K244"/>
  <c r="K241"/>
  <c r="K229"/>
  <c r="K220"/>
  <c r="Q221" l="1"/>
  <c r="H219"/>
  <c r="H240"/>
  <c r="W223"/>
  <c r="W218"/>
  <c r="J233"/>
  <c r="W220"/>
  <c r="J217"/>
  <c r="H228"/>
  <c r="W230"/>
  <c r="W232"/>
  <c r="H244"/>
  <c r="W229"/>
  <c r="W228"/>
  <c r="J225"/>
  <c r="H234"/>
  <c r="J228"/>
  <c r="H227"/>
  <c r="W233"/>
  <c r="J241"/>
  <c r="H235"/>
  <c r="H224"/>
  <c r="H225"/>
  <c r="J234"/>
  <c r="W221"/>
  <c r="J232"/>
  <c r="H222"/>
  <c r="W240"/>
  <c r="H220"/>
  <c r="V236"/>
  <c r="W227"/>
  <c r="W219"/>
  <c r="H237"/>
  <c r="H229"/>
  <c r="H243"/>
  <c r="U225"/>
  <c r="U217"/>
  <c r="H230"/>
  <c r="H231"/>
  <c r="J223"/>
  <c r="J230"/>
  <c r="F242"/>
  <c r="Q234"/>
  <c r="G239"/>
  <c r="J240"/>
  <c r="I238"/>
  <c r="J242"/>
  <c r="H236"/>
  <c r="J224"/>
  <c r="J235"/>
  <c r="J244"/>
  <c r="H217"/>
  <c r="H221"/>
  <c r="G229"/>
  <c r="I233"/>
  <c r="G235"/>
  <c r="I226"/>
  <c r="J221"/>
  <c r="H242"/>
  <c r="V244"/>
  <c r="W243"/>
  <c r="I235"/>
  <c r="J238"/>
  <c r="H226"/>
  <c r="H239"/>
  <c r="U218"/>
  <c r="H241"/>
  <c r="H232"/>
  <c r="J222"/>
  <c r="J236"/>
  <c r="F235"/>
  <c r="Q238"/>
  <c r="V228"/>
  <c r="H233"/>
  <c r="G232"/>
  <c r="H238"/>
  <c r="U227"/>
  <c r="U231"/>
  <c r="J218"/>
  <c r="J237"/>
  <c r="W222"/>
  <c r="J243"/>
  <c r="V222"/>
  <c r="S230"/>
  <c r="W225"/>
  <c r="U244"/>
  <c r="G226"/>
  <c r="G221"/>
  <c r="F225"/>
  <c r="Q229"/>
  <c r="Q242"/>
  <c r="W241"/>
  <c r="S223"/>
  <c r="S233"/>
  <c r="I228"/>
  <c r="I223"/>
  <c r="F220"/>
  <c r="Q225"/>
  <c r="I227"/>
  <c r="U221"/>
  <c r="Q233"/>
  <c r="I221"/>
  <c r="W235"/>
  <c r="S225"/>
  <c r="S235"/>
  <c r="G241"/>
  <c r="G233"/>
  <c r="J229"/>
  <c r="W236"/>
  <c r="J231"/>
  <c r="U240"/>
  <c r="I217"/>
  <c r="Q224"/>
  <c r="U236"/>
  <c r="J226"/>
  <c r="U222"/>
  <c r="H223"/>
  <c r="J227"/>
  <c r="W234"/>
  <c r="N240"/>
  <c r="N216"/>
  <c r="N218"/>
  <c r="T216"/>
  <c r="S237"/>
  <c r="S217"/>
  <c r="S219"/>
  <c r="S242"/>
  <c r="S228"/>
  <c r="S245"/>
  <c r="S222"/>
  <c r="K247"/>
  <c r="G222"/>
  <c r="G242"/>
  <c r="G231"/>
  <c r="G240"/>
  <c r="G237"/>
  <c r="G245"/>
  <c r="F239"/>
  <c r="F232"/>
  <c r="F234"/>
  <c r="F244"/>
  <c r="Q241"/>
  <c r="Q218"/>
  <c r="I245"/>
  <c r="S226"/>
  <c r="S238"/>
  <c r="G224"/>
  <c r="G217"/>
  <c r="F223"/>
  <c r="F229"/>
  <c r="F241"/>
  <c r="Q222"/>
  <c r="Q244"/>
  <c r="V239"/>
  <c r="I231"/>
  <c r="M216"/>
  <c r="M221"/>
  <c r="M231"/>
  <c r="P216"/>
  <c r="P217"/>
  <c r="P234"/>
  <c r="P240"/>
  <c r="P229"/>
  <c r="P237"/>
  <c r="O229"/>
  <c r="O216"/>
  <c r="O238"/>
  <c r="V218"/>
  <c r="R216"/>
  <c r="R221"/>
  <c r="S220"/>
  <c r="S243"/>
  <c r="S244"/>
  <c r="S232"/>
  <c r="F236"/>
  <c r="S218"/>
  <c r="S224"/>
  <c r="S234"/>
  <c r="S221"/>
  <c r="S229"/>
  <c r="S239"/>
  <c r="S241"/>
  <c r="G230"/>
  <c r="G243"/>
  <c r="G244"/>
  <c r="G234"/>
  <c r="G220"/>
  <c r="G225"/>
  <c r="G228"/>
  <c r="F230"/>
  <c r="F233"/>
  <c r="F231"/>
  <c r="F218"/>
  <c r="F243"/>
  <c r="Q219"/>
  <c r="Q226"/>
  <c r="Q230"/>
  <c r="Q228"/>
  <c r="Q232"/>
  <c r="E228"/>
  <c r="E237"/>
  <c r="E216"/>
  <c r="L216"/>
  <c r="L235"/>
  <c r="L218"/>
  <c r="X216"/>
  <c r="S227"/>
  <c r="S236"/>
  <c r="G218"/>
  <c r="G227"/>
  <c r="G223"/>
  <c r="G238"/>
  <c r="G219"/>
  <c r="G236"/>
  <c r="F222"/>
  <c r="F227"/>
  <c r="F240"/>
  <c r="F217"/>
  <c r="F238"/>
  <c r="F228"/>
  <c r="Q245"/>
  <c r="Q243"/>
  <c r="Q240"/>
  <c r="Q220"/>
  <c r="Q217"/>
  <c r="F119"/>
  <c r="F141" s="1"/>
  <c r="F226"/>
  <c r="F224"/>
  <c r="F237"/>
  <c r="Q239"/>
  <c r="Q236"/>
  <c r="Q237"/>
  <c r="Q227"/>
  <c r="Q223"/>
  <c r="N226" l="1"/>
  <c r="N232"/>
  <c r="R241"/>
  <c r="M244"/>
  <c r="H247"/>
  <c r="T220"/>
  <c r="T228"/>
  <c r="X229"/>
  <c r="P232"/>
  <c r="M217"/>
  <c r="T233"/>
  <c r="N222"/>
  <c r="U247"/>
  <c r="W247"/>
  <c r="N239"/>
  <c r="J247"/>
  <c r="L221"/>
  <c r="R226"/>
  <c r="R243"/>
  <c r="R220"/>
  <c r="O230"/>
  <c r="O242"/>
  <c r="O233"/>
  <c r="P241"/>
  <c r="P244"/>
  <c r="M222"/>
  <c r="M234"/>
  <c r="M240"/>
  <c r="T223"/>
  <c r="L230"/>
  <c r="R228"/>
  <c r="R224"/>
  <c r="R245"/>
  <c r="R230"/>
  <c r="V247"/>
  <c r="O219"/>
  <c r="O217"/>
  <c r="O223"/>
  <c r="O236"/>
  <c r="O239"/>
  <c r="O244"/>
  <c r="O234"/>
  <c r="P227"/>
  <c r="P235"/>
  <c r="P223"/>
  <c r="P242"/>
  <c r="M230"/>
  <c r="M243"/>
  <c r="M241"/>
  <c r="M225"/>
  <c r="M235"/>
  <c r="I247"/>
  <c r="T230"/>
  <c r="T225"/>
  <c r="T227"/>
  <c r="N242"/>
  <c r="N238"/>
  <c r="T232"/>
  <c r="N241"/>
  <c r="X224"/>
  <c r="O227"/>
  <c r="O225"/>
  <c r="O221"/>
  <c r="P220"/>
  <c r="P226"/>
  <c r="M229"/>
  <c r="M237"/>
  <c r="M219"/>
  <c r="T240"/>
  <c r="T244"/>
  <c r="T217"/>
  <c r="T221"/>
  <c r="T237"/>
  <c r="N234"/>
  <c r="N217"/>
  <c r="N227"/>
  <c r="N230"/>
  <c r="Q247"/>
  <c r="G247"/>
  <c r="O240"/>
  <c r="P236"/>
  <c r="N219"/>
  <c r="N220"/>
  <c r="F247"/>
  <c r="X227"/>
  <c r="X243"/>
  <c r="X235"/>
  <c r="X237"/>
  <c r="X230"/>
  <c r="X238"/>
  <c r="X240"/>
  <c r="L219"/>
  <c r="L225"/>
  <c r="L231"/>
  <c r="L228"/>
  <c r="L236"/>
  <c r="L245"/>
  <c r="L239"/>
  <c r="E222"/>
  <c r="E234"/>
  <c r="E232"/>
  <c r="E230"/>
  <c r="E217"/>
  <c r="E219"/>
  <c r="E224"/>
  <c r="E241"/>
  <c r="R231"/>
  <c r="R218"/>
  <c r="R239"/>
  <c r="R242"/>
  <c r="O226"/>
  <c r="O232"/>
  <c r="O243"/>
  <c r="O237"/>
  <c r="O228"/>
  <c r="O241"/>
  <c r="P219"/>
  <c r="P243"/>
  <c r="P225"/>
  <c r="P238"/>
  <c r="P231"/>
  <c r="P239"/>
  <c r="P222"/>
  <c r="M228"/>
  <c r="M238"/>
  <c r="M239"/>
  <c r="M236"/>
  <c r="M245"/>
  <c r="M233"/>
  <c r="M220"/>
  <c r="T224"/>
  <c r="T239"/>
  <c r="T245"/>
  <c r="T231"/>
  <c r="T242"/>
  <c r="T243"/>
  <c r="T226"/>
  <c r="N233"/>
  <c r="N245"/>
  <c r="N237"/>
  <c r="X217"/>
  <c r="X234"/>
  <c r="L244"/>
  <c r="E245"/>
  <c r="S247"/>
  <c r="O235"/>
  <c r="O218"/>
  <c r="P218"/>
  <c r="P221"/>
  <c r="P228"/>
  <c r="P233"/>
  <c r="M223"/>
  <c r="M227"/>
  <c r="M242"/>
  <c r="T222"/>
  <c r="T234"/>
  <c r="T218"/>
  <c r="T219"/>
  <c r="N243"/>
  <c r="N228"/>
  <c r="N223"/>
  <c r="N235"/>
  <c r="N244"/>
  <c r="N236"/>
  <c r="T236"/>
  <c r="T235"/>
  <c r="X232"/>
  <c r="X223"/>
  <c r="X219"/>
  <c r="L223"/>
  <c r="L238"/>
  <c r="L242"/>
  <c r="E239"/>
  <c r="E227"/>
  <c r="R233"/>
  <c r="R235"/>
  <c r="O245"/>
  <c r="O231"/>
  <c r="O220"/>
  <c r="O222"/>
  <c r="O224"/>
  <c r="P245"/>
  <c r="P230"/>
  <c r="P224"/>
  <c r="M226"/>
  <c r="M232"/>
  <c r="M224"/>
  <c r="M218"/>
  <c r="T238"/>
  <c r="T241"/>
  <c r="T229"/>
  <c r="N221"/>
  <c r="N224"/>
  <c r="N225"/>
  <c r="N229"/>
  <c r="N231"/>
  <c r="R237"/>
  <c r="R229"/>
  <c r="R219"/>
  <c r="R223"/>
  <c r="G119"/>
  <c r="G141" s="1"/>
  <c r="R222"/>
  <c r="X241"/>
  <c r="X236"/>
  <c r="X239"/>
  <c r="X244"/>
  <c r="X220"/>
  <c r="L232"/>
  <c r="L234"/>
  <c r="E235"/>
  <c r="E240"/>
  <c r="E225"/>
  <c r="E242"/>
  <c r="X231"/>
  <c r="X221"/>
  <c r="X222"/>
  <c r="X242"/>
  <c r="X226"/>
  <c r="X218"/>
  <c r="X233"/>
  <c r="L217"/>
  <c r="L241"/>
  <c r="L229"/>
  <c r="L222"/>
  <c r="L243"/>
  <c r="E244"/>
  <c r="E226"/>
  <c r="E223"/>
  <c r="E236"/>
  <c r="E218"/>
  <c r="E238"/>
  <c r="R227"/>
  <c r="R238"/>
  <c r="R240"/>
  <c r="R244"/>
  <c r="R217"/>
  <c r="R225"/>
  <c r="L226"/>
  <c r="X245"/>
  <c r="X228"/>
  <c r="X225"/>
  <c r="L224"/>
  <c r="L233"/>
  <c r="L240"/>
  <c r="L227"/>
  <c r="L237"/>
  <c r="L220"/>
  <c r="E233"/>
  <c r="E220"/>
  <c r="E229"/>
  <c r="E243"/>
  <c r="E221"/>
  <c r="E231"/>
  <c r="R236"/>
  <c r="R234"/>
  <c r="R232"/>
  <c r="T247" l="1"/>
  <c r="E247"/>
  <c r="E248" s="1"/>
  <c r="F248" s="1"/>
  <c r="G248" s="1"/>
  <c r="H248" s="1"/>
  <c r="I248" s="1"/>
  <c r="J248" s="1"/>
  <c r="K248" s="1"/>
  <c r="M247"/>
  <c r="O247"/>
  <c r="X247"/>
  <c r="P247"/>
  <c r="N247"/>
  <c r="L247"/>
  <c r="R247"/>
  <c r="H119"/>
  <c r="H141" s="1"/>
  <c r="L248" l="1"/>
  <c r="M248" s="1"/>
  <c r="N248" s="1"/>
  <c r="O248" s="1"/>
  <c r="P248" s="1"/>
  <c r="Q248" s="1"/>
  <c r="R248" s="1"/>
  <c r="S248" s="1"/>
  <c r="T248" s="1"/>
  <c r="U248" s="1"/>
  <c r="V248" s="1"/>
  <c r="W248" s="1"/>
  <c r="X248" s="1"/>
  <c r="I119"/>
  <c r="I141" s="1"/>
  <c r="J119" l="1"/>
  <c r="J141" s="1"/>
  <c r="K119" l="1"/>
  <c r="K141" s="1"/>
  <c r="L119" l="1"/>
  <c r="L141" s="1"/>
  <c r="M119" l="1"/>
  <c r="M141" s="1"/>
  <c r="N119" l="1"/>
  <c r="N141" s="1"/>
  <c r="O119" l="1"/>
  <c r="O141" s="1"/>
  <c r="P119" l="1"/>
  <c r="P141" s="1"/>
  <c r="Q119" l="1"/>
  <c r="Q141" s="1"/>
  <c r="R119" l="1"/>
  <c r="R141" s="1"/>
  <c r="S119" l="1"/>
  <c r="S141" s="1"/>
  <c r="T119" l="1"/>
  <c r="T141" s="1"/>
  <c r="U119" l="1"/>
  <c r="U141" s="1"/>
  <c r="V119" l="1"/>
  <c r="V141" s="1"/>
  <c r="W119" l="1"/>
  <c r="W141" s="1"/>
  <c r="X119" l="1"/>
  <c r="X141" s="1"/>
</calcChain>
</file>

<file path=xl/comments1.xml><?xml version="1.0" encoding="utf-8"?>
<comments xmlns="http://schemas.openxmlformats.org/spreadsheetml/2006/main">
  <authors>
    <author>Charlie Grist</author>
  </authors>
  <commentList>
    <comment ref="A1" authorId="0">
      <text>
        <r>
          <rPr>
            <b/>
            <sz val="9"/>
            <color indexed="81"/>
            <rFont val="Tahoma"/>
            <family val="2"/>
          </rPr>
          <t>Charlie Grist:</t>
        </r>
        <r>
          <rPr>
            <sz val="9"/>
            <color indexed="81"/>
            <rFont val="Tahoma"/>
            <family val="2"/>
          </rPr>
          <t xml:space="preserve">
Lookup in ComMaster</t>
        </r>
      </text>
    </comment>
    <comment ref="B1" authorId="0">
      <text>
        <r>
          <rPr>
            <b/>
            <sz val="9"/>
            <color indexed="81"/>
            <rFont val="Tahoma"/>
            <family val="2"/>
          </rPr>
          <t>Charlie Grist:</t>
        </r>
        <r>
          <rPr>
            <sz val="9"/>
            <color indexed="81"/>
            <rFont val="Tahoma"/>
            <family val="2"/>
          </rPr>
          <t xml:space="preserve">
New, NR, Retro</t>
        </r>
      </text>
    </comment>
    <comment ref="C1" authorId="0">
      <text>
        <r>
          <rPr>
            <b/>
            <sz val="9"/>
            <color indexed="81"/>
            <rFont val="Tahoma"/>
            <family val="2"/>
          </rPr>
          <t>Charlie Grist:</t>
        </r>
        <r>
          <rPr>
            <sz val="9"/>
            <color indexed="81"/>
            <rFont val="Tahoma"/>
            <family val="2"/>
          </rPr>
          <t xml:space="preserve">
Measure Index Name</t>
        </r>
      </text>
    </comment>
    <comment ref="E1" authorId="0">
      <text>
        <r>
          <rPr>
            <b/>
            <sz val="9"/>
            <color indexed="81"/>
            <rFont val="Tahoma"/>
            <family val="2"/>
          </rPr>
          <t>Charlie Grist:</t>
        </r>
        <r>
          <rPr>
            <sz val="9"/>
            <color indexed="81"/>
            <rFont val="Tahoma"/>
            <family val="2"/>
          </rPr>
          <t xml:space="preserve">
Use Massoud's Names</t>
        </r>
      </text>
    </comment>
    <comment ref="F1" authorId="0">
      <text>
        <r>
          <rPr>
            <b/>
            <sz val="9"/>
            <color indexed="81"/>
            <rFont val="Tahoma"/>
            <family val="2"/>
          </rPr>
          <t>Charlie Grist:</t>
        </r>
        <r>
          <rPr>
            <sz val="9"/>
            <color indexed="81"/>
            <rFont val="Tahoma"/>
            <family val="2"/>
          </rPr>
          <t xml:space="preserve">
From Shaped Savings column 14</t>
        </r>
      </text>
    </comment>
    <comment ref="G1" authorId="0">
      <text>
        <r>
          <rPr>
            <b/>
            <sz val="9"/>
            <color indexed="81"/>
            <rFont val="Tahoma"/>
            <family val="2"/>
          </rPr>
          <t>Charlie Grist:</t>
        </r>
        <r>
          <rPr>
            <sz val="9"/>
            <color indexed="81"/>
            <rFont val="Tahoma"/>
            <family val="2"/>
          </rPr>
          <t xml:space="preserve">
From SC or from Shaped Savings column 3.
</t>
        </r>
      </text>
    </comment>
    <comment ref="H1" authorId="0">
      <text>
        <r>
          <rPr>
            <b/>
            <sz val="9"/>
            <color indexed="81"/>
            <rFont val="Tahoma"/>
            <family val="2"/>
          </rPr>
          <t>Charlie Grist:</t>
        </r>
        <r>
          <rPr>
            <sz val="9"/>
            <color indexed="81"/>
            <rFont val="Tahoma"/>
            <family val="2"/>
          </rPr>
          <t xml:space="preserve">
From SC or from Shaped Savings column K (column 11)</t>
        </r>
      </text>
    </comment>
    <comment ref="I1" authorId="0">
      <text>
        <r>
          <rPr>
            <b/>
            <sz val="9"/>
            <color indexed="81"/>
            <rFont val="Tahoma"/>
            <family val="2"/>
          </rPr>
          <t>Charlie Grist:</t>
        </r>
        <r>
          <rPr>
            <sz val="9"/>
            <color indexed="81"/>
            <rFont val="Tahoma"/>
            <family val="2"/>
          </rPr>
          <t xml:space="preserve">
From SC</t>
        </r>
      </text>
    </comment>
    <comment ref="J1" authorId="0">
      <text>
        <r>
          <rPr>
            <b/>
            <sz val="9"/>
            <color indexed="81"/>
            <rFont val="Tahoma"/>
            <family val="2"/>
          </rPr>
          <t>Charlie Grist:</t>
        </r>
        <r>
          <rPr>
            <sz val="9"/>
            <color indexed="81"/>
            <rFont val="Tahoma"/>
            <family val="2"/>
          </rPr>
          <t xml:space="preserve">
From SC</t>
        </r>
      </text>
    </comment>
    <comment ref="K1" authorId="0">
      <text>
        <r>
          <rPr>
            <b/>
            <sz val="9"/>
            <color indexed="81"/>
            <rFont val="Tahoma"/>
            <family val="2"/>
          </rPr>
          <t>Charlie Grist:</t>
        </r>
        <r>
          <rPr>
            <sz val="9"/>
            <color indexed="81"/>
            <rFont val="Tahoma"/>
            <family val="2"/>
          </rPr>
          <t xml:space="preserve">
From SC.  For shaping.
RPM also uses this divided by  savings per unit to calculate units, and then uses kW per unit * usnits to calculate kW.  </t>
        </r>
      </text>
    </comment>
    <comment ref="AF1" authorId="0">
      <text>
        <r>
          <rPr>
            <b/>
            <sz val="9"/>
            <color indexed="81"/>
            <rFont val="Tahoma"/>
            <family val="2"/>
          </rPr>
          <t>Charlie Grist:</t>
        </r>
        <r>
          <rPr>
            <sz val="9"/>
            <color indexed="81"/>
            <rFont val="Tahoma"/>
            <family val="2"/>
          </rPr>
          <t xml:space="preserve">
From Shaped Savings.  Copy whole row down since column increment is hardwired into formula.</t>
        </r>
      </text>
    </comment>
  </commentList>
</comments>
</file>

<file path=xl/comments2.xml><?xml version="1.0" encoding="utf-8"?>
<comments xmlns="http://schemas.openxmlformats.org/spreadsheetml/2006/main">
  <authors>
    <author xml:space="preserve"> </author>
    <author>Charlie Grist</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5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55"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55"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5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8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81"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81"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8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3.xml><?xml version="1.0" encoding="utf-8"?>
<comments xmlns="http://schemas.openxmlformats.org/spreadsheetml/2006/main">
  <authors>
    <author>Charlie Grist</author>
  </authors>
  <commentList>
    <comment ref="S5" authorId="0">
      <text>
        <r>
          <rPr>
            <b/>
            <sz val="9"/>
            <color indexed="81"/>
            <rFont val="Tahoma"/>
            <family val="2"/>
          </rPr>
          <t>Charlie Grist:</t>
        </r>
        <r>
          <rPr>
            <sz val="9"/>
            <color indexed="81"/>
            <rFont val="Tahoma"/>
            <family val="2"/>
          </rPr>
          <t xml:space="preserve">
About 25% of Single Glazing occurs in unheated buildings. From CBSA.</t>
        </r>
      </text>
    </comment>
    <comment ref="T5" authorId="0">
      <text>
        <r>
          <rPr>
            <b/>
            <sz val="9"/>
            <color indexed="81"/>
            <rFont val="Tahoma"/>
            <family val="2"/>
          </rPr>
          <t>Charlie Grist:</t>
        </r>
        <r>
          <rPr>
            <sz val="9"/>
            <color indexed="81"/>
            <rFont val="Tahoma"/>
            <family val="2"/>
          </rPr>
          <t xml:space="preserve">
About 25% of Single Glazed windows are store front.  Assume half of this is view glass and not likely to be retrofit with inside windows.  From CBSA.</t>
        </r>
      </text>
    </comment>
    <comment ref="U5" authorId="0">
      <text>
        <r>
          <rPr>
            <b/>
            <sz val="9"/>
            <color indexed="81"/>
            <rFont val="Tahoma"/>
            <family val="2"/>
          </rPr>
          <t>Charlie Grist:</t>
        </r>
        <r>
          <rPr>
            <sz val="9"/>
            <color indexed="81"/>
            <rFont val="Tahoma"/>
            <family val="2"/>
          </rPr>
          <t xml:space="preserve">
Assume some limits for structural issues or not sealable from outside.</t>
        </r>
      </text>
    </comment>
  </commentList>
</comments>
</file>

<file path=xl/comments4.xml><?xml version="1.0" encoding="utf-8"?>
<comments xmlns="http://schemas.openxmlformats.org/spreadsheetml/2006/main">
  <authors>
    <author>Charlie Grist</author>
  </authors>
  <commentList>
    <comment ref="B65" authorId="0">
      <text>
        <r>
          <rPr>
            <b/>
            <sz val="8"/>
            <color indexed="81"/>
            <rFont val="Tahoma"/>
            <family val="2"/>
          </rPr>
          <t>Charlie Grist:</t>
        </r>
        <r>
          <rPr>
            <sz val="8"/>
            <color indexed="81"/>
            <rFont val="Tahoma"/>
            <family val="2"/>
          </rPr>
          <t xml:space="preserve">
These values (columns B,C,D were not adjusted for 80% correction in 5th Plan, overstating targets somewhat.</t>
        </r>
      </text>
    </comment>
  </commentList>
</comments>
</file>

<file path=xl/sharedStrings.xml><?xml version="1.0" encoding="utf-8"?>
<sst xmlns="http://schemas.openxmlformats.org/spreadsheetml/2006/main" count="2342" uniqueCount="757">
  <si>
    <t>Measure:</t>
  </si>
  <si>
    <t>Item</t>
  </si>
  <si>
    <t>Methods &amp; Sources</t>
  </si>
  <si>
    <t>Note</t>
  </si>
  <si>
    <t>7P Updates</t>
  </si>
  <si>
    <t>Measures Described</t>
  </si>
  <si>
    <t>Energy Savings Calculation Basis</t>
  </si>
  <si>
    <t>Applicable Stock</t>
  </si>
  <si>
    <t>Baseline Saturation</t>
  </si>
  <si>
    <t>Permutations</t>
  </si>
  <si>
    <t>Costs</t>
  </si>
  <si>
    <t>Measure Life</t>
  </si>
  <si>
    <t>Savings Shape</t>
  </si>
  <si>
    <t>Achievability Ramp Rate</t>
  </si>
  <si>
    <t>Data Set Name</t>
  </si>
  <si>
    <t>Measure Index Name</t>
  </si>
  <si>
    <t>Costs must be denominated in the same year as 'Input Cost Reference Year' =</t>
  </si>
  <si>
    <t>Input Data</t>
  </si>
  <si>
    <t>Periodic Replacement Costs and Savings and Replacement Period</t>
  </si>
  <si>
    <t>Gas Inputs</t>
  </si>
  <si>
    <t>Retro or LO</t>
  </si>
  <si>
    <t>Early Retrofit Parameters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</si>
  <si>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</si>
  <si>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</si>
  <si>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</si>
  <si>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</si>
  <si>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</si>
  <si>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</si>
  <si>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</si>
  <si>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</si>
  <si>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</si>
  <si>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</si>
  <si>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</si>
  <si>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</si>
  <si>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</si>
  <si>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</si>
  <si>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</si>
  <si>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R or L</t>
  </si>
  <si>
    <t>Savings 2
(kWh)</t>
  </si>
  <si>
    <t>Remaining
Life (yrs)</t>
  </si>
  <si>
    <t>Salvage Value ($)</t>
  </si>
  <si>
    <t>R</t>
  </si>
  <si>
    <t>New</t>
  </si>
  <si>
    <t>Large Off</t>
  </si>
  <si>
    <t>Baseline Energy Use</t>
  </si>
  <si>
    <t>Baseline Penetration</t>
  </si>
  <si>
    <t xml:space="preserve">Description </t>
  </si>
  <si>
    <t>Date Done</t>
  </si>
  <si>
    <t>Who</t>
  </si>
  <si>
    <t>Result</t>
  </si>
  <si>
    <t>New cost data</t>
  </si>
  <si>
    <t>New performance data</t>
  </si>
  <si>
    <t>Update Source Summary</t>
  </si>
  <si>
    <t>Build Measure Map</t>
  </si>
  <si>
    <t>Figure out weighting scheme</t>
  </si>
  <si>
    <t>Build SC models</t>
  </si>
  <si>
    <t>Get saturation estimate</t>
  </si>
  <si>
    <t>Run ProCost</t>
  </si>
  <si>
    <t>Check savings against total load estimate</t>
  </si>
  <si>
    <t>Calibrate baseline use and turnover with Massoud's forecast</t>
  </si>
  <si>
    <t>Estimate baseline energy use and frozen efficiency points</t>
  </si>
  <si>
    <t>Update APPLIC, BASE, TURN, ACHIEV and CHAR in ComMaster</t>
  </si>
  <si>
    <t>Costs to 2012$</t>
  </si>
  <si>
    <t>Develop shape of savings and put in GLS</t>
  </si>
  <si>
    <t>Units Methodology</t>
  </si>
  <si>
    <t>Forecast Version</t>
  </si>
  <si>
    <t>='[7P Forecasts D1.xlsx]Pop Forecast (Base Case)'!$A$1</t>
  </si>
  <si>
    <t>Vintage</t>
  </si>
  <si>
    <t>Measure Bundle</t>
  </si>
  <si>
    <t>Region</t>
  </si>
  <si>
    <t>Report Year</t>
  </si>
  <si>
    <t>TOTAL MAX</t>
  </si>
  <si>
    <t>Acheivable and 85% Max Per Year</t>
  </si>
  <si>
    <t>SUPPLY CURVE SAVINGS BY BUNDLE</t>
  </si>
  <si>
    <t>TRC Net Levelized Cost (Net of All Benefits) in mills/kWh</t>
  </si>
  <si>
    <t>Busbar Savings</t>
  </si>
  <si>
    <t>lvlcost</t>
  </si>
  <si>
    <t>segment</t>
  </si>
  <si>
    <t>measure</t>
  </si>
  <si>
    <t>RECOMBINE MEASURE BUNDLES INTO SUPPLY CURVE CUMULATIVE</t>
  </si>
  <si>
    <t>Block 1: &lt;= 0 mills/kWh</t>
  </si>
  <si>
    <t>&gt;=-9999</t>
  </si>
  <si>
    <t>&lt;=0</t>
  </si>
  <si>
    <t>Block 2: &lt;= 10 mills/kWh</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</si>
  <si>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</si>
  <si>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</si>
  <si>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</si>
  <si>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</si>
  <si>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</si>
  <si>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</si>
  <si>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</si>
  <si>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</si>
  <si>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</si>
  <si>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</si>
  <si>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</si>
  <si>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</si>
  <si>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</si>
  <si>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</si>
  <si>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</si>
  <si>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</si>
  <si>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</si>
  <si>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</si>
  <si>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</si>
  <si>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</si>
  <si>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</si>
  <si>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</si>
  <si>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</si>
  <si>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</si>
  <si>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</si>
  <si>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</si>
  <si>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</si>
  <si>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</si>
  <si>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</si>
  <si>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</si>
  <si>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</si>
  <si>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</si>
  <si>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</si>
  <si>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</si>
  <si>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</si>
  <si>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</si>
  <si>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</si>
  <si>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</si>
  <si>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</si>
  <si>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</si>
  <si>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</si>
  <si>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</si>
  <si>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</si>
  <si>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</si>
  <si>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</si>
  <si>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</si>
  <si>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</si>
  <si>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</si>
  <si>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</si>
  <si>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</si>
  <si>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</si>
  <si>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</si>
  <si>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</si>
  <si>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</si>
  <si>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</si>
  <si>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</si>
  <si>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</si>
  <si>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</si>
  <si>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</si>
  <si>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Block 22: 200-210 mills/kWh</t>
  </si>
  <si>
    <t>&gt;200</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</si>
  <si>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</si>
  <si>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</si>
  <si>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</si>
  <si>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</si>
  <si>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</si>
  <si>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</si>
  <si>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</si>
  <si>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</si>
  <si>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</si>
  <si>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</si>
  <si>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</si>
  <si>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</si>
  <si>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</si>
  <si>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</si>
  <si>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</si>
  <si>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</si>
  <si>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</si>
  <si>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</si>
  <si>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</si>
  <si>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</si>
  <si>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</si>
  <si>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</si>
  <si>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</si>
  <si>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</si>
  <si>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</si>
  <si>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</si>
  <si>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</si>
  <si>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</si>
  <si>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&gt;300 mills/kWh</t>
  </si>
  <si>
    <t>&gt;300</t>
  </si>
  <si>
    <t>&lt;=999</t>
  </si>
  <si>
    <t>RECOMBINE MEASURE BUNDLES INTO SUPPLY CURVE INREMENETAL</t>
  </si>
  <si>
    <t>Total per Year</t>
  </si>
  <si>
    <t>NR</t>
  </si>
  <si>
    <t>Existing</t>
  </si>
  <si>
    <t>TOTAL</t>
  </si>
  <si>
    <t>APPLY MEASURE APPLICABILITY, SATURATION TURNOVER RATE FOR MAX ANNUAL # UNITS</t>
  </si>
  <si>
    <t>Existing Stock</t>
  </si>
  <si>
    <t>Applicability</t>
  </si>
  <si>
    <t>Saturation</t>
  </si>
  <si>
    <t>Turnover Rate</t>
  </si>
  <si>
    <t>INCREMENTAL ACHIEVABILITY</t>
  </si>
  <si>
    <t>CUMULATIVE ADOPTION</t>
  </si>
  <si>
    <t>aMW</t>
  </si>
  <si>
    <t>kWh per Luminaire</t>
  </si>
  <si>
    <t>Max Annual Available</t>
  </si>
  <si>
    <t>SC-NR</t>
  </si>
  <si>
    <t>Cumulative at Earliest Deployment</t>
  </si>
  <si>
    <t>Total Potential (aMW)</t>
  </si>
  <si>
    <t>Ramp Rate</t>
  </si>
  <si>
    <t>Resource Type</t>
  </si>
  <si>
    <t>Measure Category</t>
  </si>
  <si>
    <t>Sector</t>
  </si>
  <si>
    <t>End Use</t>
  </si>
  <si>
    <t>kW per unit</t>
  </si>
  <si>
    <t>kWh per unit</t>
  </si>
  <si>
    <t>TRC Net Levelized Cost (Net of All Benefits)</t>
  </si>
  <si>
    <t>MAX</t>
  </si>
  <si>
    <t>Savings Allocation by Category and Month for Segments 1</t>
  </si>
  <si>
    <t>Savings Allocation by Category and Month for Segments 2</t>
  </si>
  <si>
    <t>Wholesale KW</t>
  </si>
  <si>
    <t>Jan</t>
  </si>
  <si>
    <t>Feb</t>
  </si>
  <si>
    <t>Mar</t>
  </si>
  <si>
    <t>Apr</t>
  </si>
  <si>
    <t>May</t>
  </si>
  <si>
    <t>Jun</t>
  </si>
  <si>
    <t>Jul</t>
  </si>
  <si>
    <t>Aug</t>
  </si>
  <si>
    <t>Sep</t>
  </si>
  <si>
    <t>Oct</t>
  </si>
  <si>
    <t>Nov</t>
  </si>
  <si>
    <t>Dec</t>
  </si>
  <si>
    <t>Commercial</t>
  </si>
  <si>
    <t>Windows</t>
  </si>
  <si>
    <t>Single Glazed building sf by percent SG and by  Heated &amp; Cooled</t>
  </si>
  <si>
    <t>About 23% of glass is single glazed</t>
  </si>
  <si>
    <t>Single Glazed Building sf by percent SG</t>
  </si>
  <si>
    <t xml:space="preserve">Only half the SG building floor area is cooled.  Only about three quarters is heated. </t>
  </si>
  <si>
    <t>Distribuiton similar to floor area, but small shift to retail and office</t>
  </si>
  <si>
    <t>Total 83 million sf SG window</t>
  </si>
  <si>
    <t>Significant Store Front is single glazed</t>
  </si>
  <si>
    <t>Three quarters of storefront is retail - May not be applicable because of view priority</t>
  </si>
  <si>
    <t>Window_Opening</t>
  </si>
  <si>
    <t>Values</t>
  </si>
  <si>
    <t>Row Labels</t>
  </si>
  <si>
    <t>Sum of Wt_PNW_Calc SF Window Single Glazed</t>
  </si>
  <si>
    <t>Sum of Wt_PNW_Calc SF Window Double Glazed</t>
  </si>
  <si>
    <t>Sum of Sf_PNW</t>
  </si>
  <si>
    <t>Sum of Sf_PNW_Heated</t>
  </si>
  <si>
    <t>Sum of Sf_PNW_Cooled</t>
  </si>
  <si>
    <t>Sum of Wt_PNW_Calc SF Window Single Glazed2</t>
  </si>
  <si>
    <t>Column Labels</t>
  </si>
  <si>
    <t>Assembly</t>
  </si>
  <si>
    <t>C</t>
  </si>
  <si>
    <t>P</t>
  </si>
  <si>
    <t>S</t>
  </si>
  <si>
    <t>Grand Total</t>
  </si>
  <si>
    <t>Boiler</t>
  </si>
  <si>
    <t>Electric Resistance</t>
  </si>
  <si>
    <t>Heat Pump</t>
  </si>
  <si>
    <t>Furnace</t>
  </si>
  <si>
    <t>NA</t>
  </si>
  <si>
    <t>Other</t>
  </si>
  <si>
    <t>Unknown</t>
  </si>
  <si>
    <t>Grocery</t>
  </si>
  <si>
    <t>Lodging</t>
  </si>
  <si>
    <t>None</t>
  </si>
  <si>
    <t>Office</t>
  </si>
  <si>
    <t>Residential Care</t>
  </si>
  <si>
    <t>Restaurant</t>
  </si>
  <si>
    <t>Retail/Service</t>
  </si>
  <si>
    <t>School K-12</t>
  </si>
  <si>
    <t>Warehouse</t>
  </si>
  <si>
    <t xml:space="preserve">Values pasted from </t>
  </si>
  <si>
    <t>..\..\Data Sources\ECOTOPE\Commercial_Env522.xls</t>
  </si>
  <si>
    <t>new</t>
  </si>
  <si>
    <t>ret/ren</t>
  </si>
  <si>
    <t>window</t>
  </si>
  <si>
    <t>New Buildings</t>
  </si>
  <si>
    <t>Existing Buildings</t>
  </si>
  <si>
    <t>Low e Base (U48 S43)</t>
  </si>
  <si>
    <t>Tint Base (U50 S52)</t>
  </si>
  <si>
    <t>Double Glaze Base</t>
  </si>
  <si>
    <t>Single Galse Base</t>
  </si>
  <si>
    <t>code to al36 (U36 S43)</t>
  </si>
  <si>
    <t>code to al40 (U40 S43)</t>
  </si>
  <si>
    <t>code to al45 (U45 S43)</t>
  </si>
  <si>
    <t>code to vea</t>
  </si>
  <si>
    <t>codet to al36tint (U35 S35)</t>
  </si>
  <si>
    <t>codet to al40tint (U40 S35)</t>
  </si>
  <si>
    <t>codet to al45tint (U45 S35)</t>
  </si>
  <si>
    <t>codet to veat</t>
  </si>
  <si>
    <t>codet to vet</t>
  </si>
  <si>
    <t>dbl  to al36</t>
  </si>
  <si>
    <t>dbl  to al40</t>
  </si>
  <si>
    <t>dbl  to al45</t>
  </si>
  <si>
    <t>dbl  to vea</t>
  </si>
  <si>
    <t>sngl to al36</t>
  </si>
  <si>
    <t>sngl to al40</t>
  </si>
  <si>
    <t>sngl to al45</t>
  </si>
  <si>
    <t>sngl to vea</t>
  </si>
  <si>
    <t>The table below are the values plugged into doe2.  The SC is the shgc rather than the center of glass SC so it is lower than code.  I'm not sure of the basis for choosing the code u-values.  There is some potential for increased predicted savings there.</t>
  </si>
  <si>
    <t>Electric Cooling Savings (kWh/comp sqft)</t>
  </si>
  <si>
    <t>##elseif  #[Gtype eqs alcodetint]</t>
  </si>
  <si>
    <t xml:space="preserve">    ##set1 windowpn  2</t>
  </si>
  <si>
    <t>College</t>
  </si>
  <si>
    <t xml:space="preserve">    ##set1 windowsc  0.52</t>
  </si>
  <si>
    <t xml:space="preserve">    ##set1 windowu   0.50</t>
  </si>
  <si>
    <t>Hospital</t>
  </si>
  <si>
    <t>##elseif  #[Gtype eqs alcls45tint]</t>
  </si>
  <si>
    <t>Hotel</t>
  </si>
  <si>
    <t>Lab</t>
  </si>
  <si>
    <t xml:space="preserve">    ##set1 windowsc  0.35</t>
  </si>
  <si>
    <t>Laundry</t>
  </si>
  <si>
    <t xml:space="preserve">    ##set1 windowu   0.45</t>
  </si>
  <si>
    <t>Motel</t>
  </si>
  <si>
    <t>##elseif  #[Gtype eqs alcls40tint]</t>
  </si>
  <si>
    <t>Office - Large</t>
  </si>
  <si>
    <t>Office - Small</t>
  </si>
  <si>
    <t>Rest-Fast Food</t>
  </si>
  <si>
    <t xml:space="preserve">    ##set1 windowu   0.40</t>
  </si>
  <si>
    <t>Rest-Full Serve</t>
  </si>
  <si>
    <t>##elseif  #[Gtype eqs alcls36tint]</t>
  </si>
  <si>
    <t>Retail - Large</t>
  </si>
  <si>
    <t>Retail - Small</t>
  </si>
  <si>
    <t>Retirement</t>
  </si>
  <si>
    <t xml:space="preserve">    ##set1 windowu   0.36</t>
  </si>
  <si>
    <t>School - Primary</t>
  </si>
  <si>
    <t>School - Secondary</t>
  </si>
  <si>
    <t>Workshop</t>
  </si>
  <si>
    <t>##elseif  #[Gtype eqs alcode]</t>
  </si>
  <si>
    <t>Skilled Nursing</t>
  </si>
  <si>
    <t xml:space="preserve">    ##set1 windowsc  0.43</t>
  </si>
  <si>
    <t xml:space="preserve">    ##set1 windowu   0.48</t>
  </si>
  <si>
    <t>##elseif  #[Gtype eqs alcls45]</t>
  </si>
  <si>
    <t>code to al36</t>
  </si>
  <si>
    <t>code to al40</t>
  </si>
  <si>
    <t>code to al45</t>
  </si>
  <si>
    <t>codet to al36tint</t>
  </si>
  <si>
    <t>codet to al40tint</t>
  </si>
  <si>
    <t>codet to al45tint</t>
  </si>
  <si>
    <t>Gas Heat Savings (therms/comp sqft)</t>
  </si>
  <si>
    <t>##elseif  #[Gtype eqs alcls40]</t>
  </si>
  <si>
    <t>##elseif  #[Gtype eqs alcls36]</t>
  </si>
  <si>
    <t>Michael Kennedy</t>
  </si>
  <si>
    <t>Port Townsend  WA  USA</t>
  </si>
  <si>
    <t>Limbo</t>
  </si>
  <si>
    <t>Seasonal</t>
  </si>
  <si>
    <t>Electric Resistance Heat Savings (kWh/comp sqft)</t>
  </si>
  <si>
    <t>Electric Heat Pump Heat Savings (kWh/comp sqft)</t>
  </si>
  <si>
    <t>Generic</t>
  </si>
  <si>
    <t>Large Office</t>
  </si>
  <si>
    <t>Small</t>
  </si>
  <si>
    <t>Use "Measure Overlap" from this matrix to set mix of window base case and  measures.  Current assumptions:  For glass type assume half the base case is no-tint and the other half tint base.  For frame type use metal for large, curain wall or ribbon glass.</t>
  </si>
  <si>
    <t>Low-e Base</t>
  </si>
  <si>
    <t>Tint Base</t>
  </si>
  <si>
    <t>Alum</t>
  </si>
  <si>
    <t>Vinyl</t>
  </si>
  <si>
    <t>Punched</t>
  </si>
  <si>
    <t>Curtain</t>
  </si>
  <si>
    <t>Measure Over Lap</t>
  </si>
  <si>
    <t>column</t>
  </si>
  <si>
    <t>Incr. cost ($/sf-glass)</t>
  </si>
  <si>
    <t>Generic Measure Over Lap</t>
  </si>
  <si>
    <t>Medium Off</t>
  </si>
  <si>
    <t>Small Off</t>
  </si>
  <si>
    <t>Big Box</t>
  </si>
  <si>
    <t>Small Box</t>
  </si>
  <si>
    <t>High End</t>
  </si>
  <si>
    <t>Anchor</t>
  </si>
  <si>
    <t>K-12</t>
  </si>
  <si>
    <t>University</t>
  </si>
  <si>
    <t>Supermarket</t>
  </si>
  <si>
    <t>MIniMart</t>
  </si>
  <si>
    <t>OtherHealth</t>
  </si>
  <si>
    <t>Retro</t>
  </si>
  <si>
    <t>sngl to al36 CW</t>
  </si>
  <si>
    <t>sngl to al40 CW</t>
  </si>
  <si>
    <t>sngl to al45 CW</t>
  </si>
  <si>
    <t>The no-tint base assumes that the base case windows are un-tinted.  In larger windows or heavily glazed buildings this is probably not a good assumption.  If the base case windows are tinted the cooling savings go up (because they are not negative) and th</t>
  </si>
  <si>
    <t>Rob Curry NEEA from vendors</t>
  </si>
  <si>
    <t>Mike Hatten simulation analysis</t>
  </si>
  <si>
    <t>Unit</t>
  </si>
  <si>
    <t>Source</t>
  </si>
  <si>
    <t>per sf</t>
  </si>
  <si>
    <t>Cost</t>
  </si>
  <si>
    <t>Type</t>
  </si>
  <si>
    <t>Curtain Wall</t>
  </si>
  <si>
    <t>From mfgs and installers per Rob Curry</t>
  </si>
  <si>
    <t>Alum Commercial</t>
  </si>
  <si>
    <t>Application</t>
  </si>
  <si>
    <t>Reglaze</t>
  </si>
  <si>
    <t>SGS</t>
  </si>
  <si>
    <t>Target market is existing commercial buildings with low performance single pane windows in thermally unbroken metal frames  with electric space heat</t>
  </si>
  <si>
    <t>New measure for 7P</t>
  </si>
  <si>
    <t xml:space="preserve">Secondary glazing system.  Permanent unit installed on the inside of existing primary window.  </t>
  </si>
  <si>
    <t>Building simulation modeling</t>
  </si>
  <si>
    <t>Single glaze window</t>
  </si>
  <si>
    <t>Zero</t>
  </si>
  <si>
    <t>Three climate zones, three building types, three heating systems, two windows</t>
  </si>
  <si>
    <t>Cost is $35/sf installed.  Includes $25/sf window plus about $10/sf for installation</t>
  </si>
  <si>
    <t>Thirty years</t>
  </si>
  <si>
    <t>Space heat shape</t>
  </si>
  <si>
    <t>Slow</t>
  </si>
  <si>
    <t>RS Means, Portland</t>
  </si>
  <si>
    <t>RS Means, Portland (4x5 punched)</t>
  </si>
  <si>
    <t>Building</t>
  </si>
  <si>
    <t>Location</t>
  </si>
  <si>
    <t xml:space="preserve">therms/SF </t>
  </si>
  <si>
    <t>kWh/sf</t>
  </si>
  <si>
    <t>Portland</t>
  </si>
  <si>
    <t>Spokane</t>
  </si>
  <si>
    <t>Missoula</t>
  </si>
  <si>
    <t>Small Office (AC with Gas Furnace)</t>
  </si>
  <si>
    <t xml:space="preserve"> </t>
  </si>
  <si>
    <t>Building sf</t>
  </si>
  <si>
    <t>sf</t>
  </si>
  <si>
    <t>Net Wall sf</t>
  </si>
  <si>
    <t>Window Area</t>
  </si>
  <si>
    <t>Savings per sf-glass</t>
  </si>
  <si>
    <t>Load Per sf Building</t>
  </si>
  <si>
    <t xml:space="preserve">Cooling kWh </t>
  </si>
  <si>
    <t>Cooling 
kWh/ window area</t>
  </si>
  <si>
    <t>Heating kWh</t>
  </si>
  <si>
    <t>Heating Therms</t>
  </si>
  <si>
    <t>Heating
Therms/ window area</t>
  </si>
  <si>
    <t>Heating
kWh/ window area</t>
  </si>
  <si>
    <t>HVAC Aux kWh (Fans, Blowers, Pumps)</t>
  </si>
  <si>
    <t>HVAC Aux kWh/window area</t>
  </si>
  <si>
    <t xml:space="preserve"> Gas Heating Savings (therms)</t>
  </si>
  <si>
    <t>Electric Heating Savings (kWh)</t>
  </si>
  <si>
    <t>Electric Cooling Savings (kWh)</t>
  </si>
  <si>
    <t>Electric HVAC Aux Savings (kWh)</t>
  </si>
  <si>
    <t>Electric Total Savings (kWh)</t>
  </si>
  <si>
    <t>Gas Heating Savings Elec Equivalent at 80% eff</t>
  </si>
  <si>
    <t>Building Cooling Load</t>
  </si>
  <si>
    <t>Building HVAC Aux Load</t>
  </si>
  <si>
    <t>Building Heating Load (therms)</t>
  </si>
  <si>
    <t>Building Heating Load (kWh equiv)</t>
  </si>
  <si>
    <t>Building Total Load (kWh equiv)</t>
  </si>
  <si>
    <t>Baseline</t>
  </si>
  <si>
    <t>Thermolite</t>
  </si>
  <si>
    <t>iWindow</t>
  </si>
  <si>
    <t>Oakland</t>
  </si>
  <si>
    <t>Small Office (Air-source Heat Pump)</t>
  </si>
  <si>
    <t>Mid-rise Office (Apackaged VAV with Electric reheat)</t>
  </si>
  <si>
    <t>Mid-rise Office (Apackaged VAV with Gas)</t>
  </si>
  <si>
    <t>High-rise Office (VAV with Central Chillers / Gas Boilers)</t>
  </si>
  <si>
    <t xml:space="preserve">CBSA data used to develop saturation of single glaze </t>
  </si>
  <si>
    <t>smaller buidings more electric heat</t>
  </si>
  <si>
    <t>also very big buildings electric resistance</t>
  </si>
  <si>
    <t>Simple average not weighted</t>
  </si>
  <si>
    <t>Sum of Sf_PNW2</t>
  </si>
  <si>
    <t>Total Sum of Sf_PNW</t>
  </si>
  <si>
    <t>Total Sum of Sf_PNW2</t>
  </si>
  <si>
    <t>Average of Wall_Pct_Window</t>
  </si>
  <si>
    <t>Average of Window_Area</t>
  </si>
  <si>
    <t>Average of Calc Window/Floor Area</t>
  </si>
  <si>
    <t>Average of Win_SinglePane_Pct</t>
  </si>
  <si>
    <t>Average of Win_DoublePane_Pct</t>
  </si>
  <si>
    <t>&lt;5,001</t>
  </si>
  <si>
    <t>5,001-20,000</t>
  </si>
  <si>
    <t>20,001-50,000</t>
  </si>
  <si>
    <t>50,001-100,000</t>
  </si>
  <si>
    <t>100,001+</t>
  </si>
  <si>
    <t>Punched only</t>
  </si>
  <si>
    <t>Glass sf single glaze ER</t>
  </si>
  <si>
    <t>Glass sf single glaze HP</t>
  </si>
  <si>
    <t>Gas</t>
  </si>
  <si>
    <t>Glass sf single glaze Gas</t>
  </si>
  <si>
    <t>Size</t>
  </si>
  <si>
    <t>System</t>
  </si>
  <si>
    <t>Small Office</t>
  </si>
  <si>
    <t>Mid-rise Office</t>
  </si>
  <si>
    <t>High-rise Office</t>
  </si>
  <si>
    <t>(AC with Gas Furnace)</t>
  </si>
  <si>
    <t>(Air-source Heat Pump)</t>
  </si>
  <si>
    <t>(Apackaged VAV with Electric reheat)</t>
  </si>
  <si>
    <t>(Apackaged VAV with Gas)</t>
  </si>
  <si>
    <t>(VAV with Central Chillers / Gas Boilers)</t>
  </si>
  <si>
    <t>CV Reheat</t>
  </si>
  <si>
    <t>SZ Ducted</t>
  </si>
  <si>
    <t>VAV</t>
  </si>
  <si>
    <t>Water-source HP Loop</t>
  </si>
  <si>
    <t>Zonal</t>
  </si>
  <si>
    <t>Split by System</t>
  </si>
  <si>
    <t>LocFrac</t>
  </si>
  <si>
    <t>Total Window SF</t>
  </si>
  <si>
    <t>very big buildings about &lt;10% single glaze by window area</t>
  </si>
  <si>
    <t>small buildings have higher fraction single glaze by window area</t>
  </si>
  <si>
    <t>Percent Single by Size</t>
  </si>
  <si>
    <t>Percent of All Single Glaze</t>
  </si>
  <si>
    <t>Single Glaze by System Type</t>
  </si>
  <si>
    <t>Electricity</t>
  </si>
  <si>
    <t>Natural Gas</t>
  </si>
  <si>
    <t>All window openings</t>
  </si>
  <si>
    <t>kWh/sfGasEQ</t>
  </si>
  <si>
    <t>elecsavelookup</t>
  </si>
  <si>
    <t>Small Office (AC with Ele Furnace)</t>
  </si>
  <si>
    <t>High-rise Office (VAV with Central Chillers / Ele Boilers)</t>
  </si>
  <si>
    <t>Category</t>
  </si>
  <si>
    <t>SGSWindow</t>
  </si>
  <si>
    <t>Life</t>
  </si>
  <si>
    <t>C-All-HVAC-ER-All-All-E</t>
  </si>
  <si>
    <t>Commercial-All Com-Cool</t>
  </si>
  <si>
    <t>Commercial-All Com-Vent</t>
  </si>
  <si>
    <t>Electric Shape</t>
  </si>
  <si>
    <t>Gas Shape</t>
  </si>
  <si>
    <t>Commercial-All Com-Heat</t>
  </si>
  <si>
    <t>Secondary Glazing Systems</t>
  </si>
  <si>
    <t>Shaped Savings Results; By Category and sorted by TRC BC ratio</t>
  </si>
  <si>
    <t>Measure</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</si>
  <si>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</si>
  <si>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</si>
  <si>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</si>
  <si>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</si>
  <si>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</si>
  <si>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</si>
  <si>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</si>
  <si>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TRC B/C Ratio</t>
  </si>
  <si>
    <t>Net Electric &amp; Gas System CO2 Avoided (Lifetime Tons)</t>
  </si>
  <si>
    <t>SGSWindow-Mid-rise Office (Apackaged VAV with Electric reheat)-Spokane</t>
  </si>
  <si>
    <t>SGSWindow-Mid-rise Office (Apackaged VAV with Electric reheat)-Missoula</t>
  </si>
  <si>
    <t>SGSWindow-High-rise Office (VAV with Central Chillers / Ele Boilers)-Spokane</t>
  </si>
  <si>
    <t>SGSWindow-High-rise Office (VAV with Central Chillers / Ele Boilers)-Missoula</t>
  </si>
  <si>
    <t>SGSWindow-Mid-rise Office (Apackaged VAV with Electric reheat)-Portland</t>
  </si>
  <si>
    <t>SGSWindow-High-rise Office (VAV with Central Chillers / Ele Boilers)-Portland</t>
  </si>
  <si>
    <t>SGSWindow-Small Office (AC with Ele Furnace)-Spokane</t>
  </si>
  <si>
    <t>SGSWindow-Small Office (AC with Ele Furnace)-Missoula</t>
  </si>
  <si>
    <t>SGSWindow-Mid-rise Office (Apackaged VAV with Gas)-Spokane</t>
  </si>
  <si>
    <t>SGSWindow-Small Office (Air-source Heat Pump)-Spokane</t>
  </si>
  <si>
    <t>SGSWindow-High-rise Office (VAV with Central Chillers / Gas Boilers)-Spokane</t>
  </si>
  <si>
    <t>SGSWindow-Small Office (AC with Ele Furnace)-Portland</t>
  </si>
  <si>
    <t>SGSWindow-High-rise Office (VAV with Central Chillers / Gas Boilers)-Missoula</t>
  </si>
  <si>
    <t>SGSWindow-Small Office (Air-source Heat Pump)-Missoula</t>
  </si>
  <si>
    <t>SGSWindow-Mid-rise Office (Apackaged VAV with Gas)-Missoula</t>
  </si>
  <si>
    <t>SGSWindow-High-rise Office (VAV with Central Chillers / Gas Boilers)-Portland</t>
  </si>
  <si>
    <t>SGSWindow-Small Office (Air-source Heat Pump)-Portland</t>
  </si>
  <si>
    <t>SGSWindow-Mid-rise Office (Apackaged VAV with Gas)-Portland</t>
  </si>
  <si>
    <t>SGSWindow-Small Office (AC with Gas Furnace)-Spokane</t>
  </si>
  <si>
    <t>SGSWindow-Small Office (AC with Gas Furnace)-Missoula</t>
  </si>
  <si>
    <t>SGSWindow-Small Office (AC with Gas Furnace)-Portland</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</si>
  <si>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</si>
  <si>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</si>
  <si>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</si>
  <si>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</si>
  <si>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</si>
  <si>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</si>
  <si>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</si>
  <si>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</si>
  <si>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</si>
  <si>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</si>
  <si>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</si>
  <si>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</si>
  <si>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</si>
  <si>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Q:\SeventhPlan\Conservation Analysis\Global EE Inputs\MC Files\MC_AND_LOADSHAPE_v3.0_24segment-7P-D9 - NewSegValues.xlsx</t>
  </si>
  <si>
    <t>6P MidC Final (with carbon)</t>
  </si>
  <si>
    <t>Customer</t>
  </si>
  <si>
    <t>Wholesale Elec</t>
  </si>
  <si>
    <t>Retail Elec</t>
  </si>
  <si>
    <t>Nat Gas</t>
  </si>
  <si>
    <t>Program Life (yrs)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</si>
  <si>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</si>
  <si>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</si>
  <si>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</si>
  <si>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</si>
  <si>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</si>
  <si>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</si>
  <si>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</si>
  <si>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</si>
  <si>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</si>
  <si>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</si>
  <si>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</si>
  <si>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</si>
  <si>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</si>
  <si>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</si>
  <si>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</si>
  <si>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</si>
  <si>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</si>
  <si>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</si>
  <si>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</si>
  <si>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</si>
  <si>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</si>
  <si>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</si>
  <si>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</si>
  <si>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</si>
  <si>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</si>
  <si>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</si>
  <si>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</si>
  <si>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</si>
  <si>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</si>
  <si>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</si>
  <si>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</si>
  <si>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</si>
  <si>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</si>
  <si>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</si>
  <si>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</si>
  <si>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</si>
  <si>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</si>
  <si>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</si>
  <si>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</si>
  <si>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</si>
  <si>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</si>
  <si>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</si>
  <si>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</si>
  <si>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</si>
  <si>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</si>
  <si>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</si>
  <si>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</si>
  <si>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</si>
  <si>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</si>
  <si>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</si>
  <si>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</si>
  <si>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</si>
  <si>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</si>
  <si>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</si>
  <si>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</si>
  <si>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</si>
  <si>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</si>
  <si>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</si>
  <si>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</si>
  <si>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</si>
  <si>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</si>
  <si>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</si>
  <si>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</si>
  <si>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</si>
  <si>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</si>
  <si>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</si>
  <si>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</si>
  <si>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</si>
  <si>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</si>
  <si>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</si>
  <si>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</si>
  <si>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</si>
  <si>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</si>
  <si>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</si>
  <si>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</si>
  <si>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</si>
  <si>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</si>
  <si>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</si>
  <si>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</si>
  <si>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</si>
  <si>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</si>
  <si>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</si>
  <si>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</si>
  <si>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</si>
  <si>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</si>
  <si>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</si>
  <si>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</si>
  <si>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</si>
  <si>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Total</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</si>
  <si>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</si>
  <si>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</si>
  <si>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</si>
  <si>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</si>
  <si>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</si>
  <si>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</si>
  <si>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</si>
  <si>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</si>
  <si>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</si>
  <si>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</si>
  <si>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</si>
  <si>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</si>
  <si>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</si>
  <si>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</si>
  <si>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</si>
  <si>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</si>
  <si>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</si>
  <si>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</si>
  <si>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</si>
  <si>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</si>
  <si>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</si>
  <si>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</si>
  <si>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</si>
  <si>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</si>
  <si>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</si>
  <si>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</si>
  <si>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</si>
  <si>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</si>
  <si>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</si>
  <si>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</si>
  <si>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</si>
  <si>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</si>
  <si>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</si>
  <si>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</si>
  <si>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</si>
  <si>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</si>
  <si>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</si>
  <si>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</si>
  <si>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</si>
  <si>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</si>
  <si>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</si>
  <si>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</si>
  <si>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</si>
  <si>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</si>
  <si>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</si>
  <si>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</si>
  <si>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</si>
  <si>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</si>
  <si>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</si>
  <si>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</si>
  <si>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</si>
  <si>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</si>
  <si>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</si>
  <si>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</si>
  <si>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</si>
  <si>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</si>
  <si>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</si>
  <si>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</si>
  <si>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</si>
  <si>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</si>
  <si>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</si>
  <si>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</si>
  <si>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</si>
  <si>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</si>
  <si>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Savings Allocation by Cost Bin and Month for Segments 1</t>
  </si>
  <si>
    <t>Savings Allocation by Cost Bin and Month for Segments 2</t>
  </si>
  <si>
    <t>Totals Basis</t>
  </si>
  <si>
    <t>Busbar Electric Savings in kWh</t>
  </si>
  <si>
    <t>Measures with B/C &gt; 1.00</t>
  </si>
  <si>
    <t>Categories with B/C &gt; 1.00</t>
  </si>
  <si>
    <t>Supply Curve Results:  By TRC Net Levelized Cost - Net of Benefits</t>
  </si>
  <si>
    <t>Block 22: &gt; 200 mills/kWh</t>
  </si>
  <si>
    <t>Sum of Wt_PNW</t>
  </si>
  <si>
    <t>&lt; 6000 HDD</t>
  </si>
  <si>
    <t>6000-8000 HDD</t>
  </si>
  <si>
    <t>8000+ HDD</t>
  </si>
  <si>
    <t>WT_Reg</t>
  </si>
  <si>
    <t>Unheated</t>
  </si>
  <si>
    <t>Non-StoreFront</t>
  </si>
  <si>
    <t>Applic</t>
  </si>
  <si>
    <t>End-Use:</t>
  </si>
  <si>
    <t>NEED TO INTEGRATE THE DROPDOWN/STATE SELECTION OPTION YET</t>
  </si>
  <si>
    <t>Lighting</t>
  </si>
  <si>
    <t>REG_Office</t>
  </si>
  <si>
    <t>REG_Retail</t>
  </si>
  <si>
    <t>XLarge Ret</t>
  </si>
  <si>
    <t>Large Ret</t>
  </si>
  <si>
    <t>Medium Ret</t>
  </si>
  <si>
    <t>Small Ret</t>
  </si>
  <si>
    <t>REG_K-12</t>
  </si>
  <si>
    <t>REG_University</t>
  </si>
  <si>
    <t>REG_Warehouse</t>
  </si>
  <si>
    <t>REG_Grocery</t>
  </si>
  <si>
    <t>REG_Grocery Other</t>
  </si>
  <si>
    <t>MiniMart</t>
  </si>
  <si>
    <t>REG_Restaurant</t>
  </si>
  <si>
    <t>REG_Hotel</t>
  </si>
  <si>
    <t>REG_hospital</t>
  </si>
  <si>
    <t>REG_Hospital Other</t>
  </si>
  <si>
    <t>REG_Assembly</t>
  </si>
  <si>
    <t>REG_Other</t>
  </si>
  <si>
    <t>Carryover from Untreated New (Code for New)</t>
  </si>
  <si>
    <t>Units are sf of single pane glass.  Single pane glas estimate comes from CBSA data.  Measure is retrofit only.</t>
  </si>
  <si>
    <t>Total Single Pane Glazing (million sf)</t>
  </si>
  <si>
    <t>Tech Feas</t>
  </si>
  <si>
    <t>Non-Storefront</t>
  </si>
  <si>
    <t>Percent SG Heated</t>
  </si>
  <si>
    <t>Peccent SC Cooled</t>
  </si>
  <si>
    <t>MeasApplic</t>
  </si>
  <si>
    <t>Measure Share</t>
  </si>
  <si>
    <t>Saturday, 28 February , 2015 at 6:49 PM</t>
  </si>
  <si>
    <t>Total (million sf glass)</t>
  </si>
  <si>
    <t>Segment</t>
  </si>
  <si>
    <t>SGSWindow-(AC with Gas Furnace)</t>
  </si>
  <si>
    <t>SGSWindow-(Air-source Heat Pump)</t>
  </si>
  <si>
    <t>SGSWindow-(Apackaged VAV with Electric reheat)</t>
  </si>
  <si>
    <t>SGSWindow-(Apackaged VAV with Gas)</t>
  </si>
  <si>
    <t>SGSWindow-(VAV with Central Chillers / Gas Boilers)</t>
  </si>
  <si>
    <t>HVAC</t>
  </si>
  <si>
    <t>Mike Hatten did the modeling for NEEA</t>
  </si>
</sst>
</file>

<file path=xl/styles.xml><?xml version="1.0" encoding="utf-8"?>
<styleSheet xmlns="http://schemas.openxmlformats.org/spreadsheetml/2006/main">
  <numFmts count="21">
    <numFmt numFmtId="5" formatCode="&quot;$&quot;#,##0_);\(&quot;$&quot;#,##0\)"/>
    <numFmt numFmtId="6" formatCode="&quot;$&quot;#,##0_);[Red]\(&quot;$&quot;#,##0\)"/>
    <numFmt numFmtId="44" formatCode="_(&quot;$&quot;* #,##0.00_);_(&quot;$&quot;* \(#,##0.00\);_(&quot;$&quot;* &quot;-&quot;??_);_(@_)"/>
    <numFmt numFmtId="43" formatCode="_(* #,##0.00_);_(* \(#,##0.00\);_(* &quot;-&quot;??_);_(@_)"/>
    <numFmt numFmtId="164" formatCode="0.0"/>
    <numFmt numFmtId="165" formatCode="0.00000000000000"/>
    <numFmt numFmtId="166" formatCode="0.000000"/>
    <numFmt numFmtId="167" formatCode="0.0000"/>
    <numFmt numFmtId="168" formatCode="_(* #,##0_);_(* \(#,##0\);_(* &quot;-&quot;??_);_(@_)"/>
    <numFmt numFmtId="169" formatCode="_(&quot;$&quot;* #,##0_);_(&quot;$&quot;* \(#,##0\);_(&quot;$&quot;* &quot;-&quot;??_);_(@_)"/>
    <numFmt numFmtId="170" formatCode="m/d/\ h:mm"/>
    <numFmt numFmtId="171" formatCode="0.000"/>
    <numFmt numFmtId="172" formatCode="_(* #,##0.0_);_(* \(#,##0.0\);_(* &quot;-&quot;?_);_(@_)"/>
    <numFmt numFmtId="173" formatCode="_(* #,##0.0_);_(* \(#,##0.0\);_(* &quot;-&quot;??_);_(@_)"/>
    <numFmt numFmtId="174" formatCode="_(&quot;$&quot;* #,##0.0_);_(&quot;$&quot;* \(#,##0.0\);_(&quot;$&quot;* &quot;-&quot;??_);_(@_)"/>
    <numFmt numFmtId="175" formatCode="_(* #,##0.000_);_(* \(#,##0.000\);_(* &quot;-&quot;??_);_(@_)"/>
    <numFmt numFmtId="176" formatCode="0.0%"/>
    <numFmt numFmtId="177" formatCode="0.0;[Red]\-0.0"/>
    <numFmt numFmtId="178" formatCode="\ "/>
    <numFmt numFmtId="179" formatCode="_(* #,##0.000000000_);_(* \(#,##0.000000000\);_(* &quot;-&quot;??_);_(@_)"/>
    <numFmt numFmtId="180" formatCode="_(* #,##0.00_);_(* \(#,##0.00\);_(* &quot;-&quot;?_);_(@_)"/>
  </numFmts>
  <fonts count="58">
    <font>
      <sz val="10"/>
      <color theme="1"/>
      <name val="Arial"/>
      <family val="2"/>
    </font>
    <font>
      <sz val="10"/>
      <color theme="1"/>
      <name val="Arial"/>
      <family val="2"/>
    </font>
    <font>
      <sz val="11"/>
      <color theme="1"/>
      <name val="Calibri"/>
      <family val="2"/>
      <scheme val="minor"/>
    </font>
    <font>
      <b/>
      <sz val="14"/>
      <color theme="1"/>
      <name val="Calibri"/>
      <family val="2"/>
      <scheme val="minor"/>
    </font>
    <font>
      <sz val="10"/>
      <name val="Arial"/>
      <family val="2"/>
    </font>
    <font>
      <b/>
      <sz val="11"/>
      <name val="Calibri"/>
      <family val="2"/>
      <scheme val="minor"/>
    </font>
    <font>
      <sz val="11"/>
      <name val="Calibri"/>
      <family val="2"/>
      <scheme val="minor"/>
    </font>
    <font>
      <sz val="12"/>
      <name val="Arial"/>
      <family val="2"/>
    </font>
    <font>
      <b/>
      <i/>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b/>
      <sz val="8"/>
      <color indexed="81"/>
      <name val="Tahoma"/>
      <family val="2"/>
    </font>
    <font>
      <sz val="8"/>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name val="Times New Roman"/>
      <family val="1"/>
    </font>
    <font>
      <i/>
      <sz val="11"/>
      <color indexed="23"/>
      <name val="Calibri"/>
      <family val="2"/>
    </font>
    <font>
      <sz val="11"/>
      <color indexed="17"/>
      <name val="Calibri"/>
      <family val="2"/>
    </font>
    <font>
      <b/>
      <sz val="12"/>
      <name val="Times New Roman"/>
      <family val="1"/>
    </font>
    <font>
      <b/>
      <sz val="15"/>
      <color indexed="56"/>
      <name val="Calibri"/>
      <family val="2"/>
    </font>
    <font>
      <b/>
      <sz val="15"/>
      <color indexed="62"/>
      <name val="Calibri"/>
      <family val="2"/>
    </font>
    <font>
      <b/>
      <sz val="11"/>
      <color indexed="56"/>
      <name val="Calibri"/>
      <family val="2"/>
    </font>
    <font>
      <b/>
      <sz val="11"/>
      <color indexed="62"/>
      <name val="Calibri"/>
      <family val="2"/>
    </font>
    <font>
      <u/>
      <sz val="10"/>
      <color indexed="12"/>
      <name val="Arial"/>
      <family val="2"/>
    </font>
    <font>
      <u/>
      <sz val="10"/>
      <color theme="10"/>
      <name val="Arial"/>
      <family val="2"/>
    </font>
    <font>
      <sz val="11"/>
      <color indexed="62"/>
      <name val="Calibri"/>
      <family val="2"/>
    </font>
    <font>
      <sz val="11"/>
      <color indexed="52"/>
      <name val="Calibri"/>
      <family val="2"/>
    </font>
    <font>
      <sz val="11"/>
      <color indexed="60"/>
      <name val="Calibri"/>
      <family val="2"/>
    </font>
    <font>
      <sz val="12"/>
      <color theme="1"/>
      <name val="Palatino Linotype"/>
      <family val="2"/>
    </font>
    <font>
      <sz val="10"/>
      <name val="MS Sans Serif"/>
      <family val="2"/>
    </font>
    <font>
      <b/>
      <sz val="11"/>
      <color indexed="63"/>
      <name val="Calibri"/>
      <family val="2"/>
    </font>
    <font>
      <b/>
      <sz val="18"/>
      <color indexed="56"/>
      <name val="Cambria"/>
      <family val="2"/>
    </font>
    <font>
      <b/>
      <sz val="18"/>
      <color indexed="62"/>
      <name val="Cambria"/>
      <family val="2"/>
    </font>
    <font>
      <b/>
      <sz val="11"/>
      <color indexed="8"/>
      <name val="Calibri"/>
      <family val="2"/>
    </font>
    <font>
      <sz val="11"/>
      <color indexed="10"/>
      <name val="Calibri"/>
      <family val="2"/>
    </font>
    <font>
      <b/>
      <sz val="10"/>
      <color theme="1"/>
      <name val="Arial"/>
      <family val="2"/>
    </font>
    <font>
      <sz val="10"/>
      <color theme="0"/>
      <name val="Arial"/>
      <family val="2"/>
    </font>
    <font>
      <b/>
      <sz val="11"/>
      <color theme="1"/>
      <name val="Calibri"/>
      <family val="2"/>
      <scheme val="minor"/>
    </font>
    <font>
      <sz val="9"/>
      <color indexed="81"/>
      <name val="Tahoma"/>
      <family val="2"/>
    </font>
    <font>
      <b/>
      <sz val="9"/>
      <color indexed="81"/>
      <name val="Tahoma"/>
      <family val="2"/>
    </font>
    <font>
      <i/>
      <sz val="26"/>
      <color theme="1"/>
      <name val="Calibri"/>
      <family val="2"/>
      <scheme val="minor"/>
    </font>
    <font>
      <sz val="10"/>
      <color rgb="FF0070C0"/>
      <name val="Arial"/>
      <family val="2"/>
    </font>
    <font>
      <sz val="20"/>
      <name val="Arial"/>
      <family val="2"/>
    </font>
    <font>
      <b/>
      <sz val="14"/>
      <color indexed="8"/>
      <name val="Helvetica Condensed"/>
      <family val="2"/>
    </font>
    <font>
      <sz val="10"/>
      <name val="Helvetica Condensed"/>
      <family val="2"/>
    </font>
    <font>
      <sz val="11"/>
      <color theme="0" tint="-0.34998626667073579"/>
      <name val="Calibri"/>
      <family val="2"/>
      <scheme val="minor"/>
    </font>
    <font>
      <sz val="10"/>
      <color theme="0" tint="-0.34998626667073579"/>
      <name val="Arial"/>
      <family val="2"/>
    </font>
    <font>
      <sz val="10"/>
      <color rgb="FFFF0000"/>
      <name val="Arial"/>
      <family val="2"/>
    </font>
    <font>
      <sz val="10"/>
      <color indexed="9"/>
      <name val="Arial"/>
      <family val="2"/>
    </font>
    <font>
      <sz val="10"/>
      <color indexed="10"/>
      <name val="Arial"/>
      <family val="2"/>
    </font>
    <font>
      <sz val="11"/>
      <name val="Arial"/>
      <family val="2"/>
    </font>
  </fonts>
  <fills count="57">
    <fill>
      <patternFill patternType="none"/>
    </fill>
    <fill>
      <patternFill patternType="gray125"/>
    </fill>
    <fill>
      <patternFill patternType="solid">
        <fgColor theme="3" tint="0.79998168889431442"/>
        <bgColor indexed="64"/>
      </patternFill>
    </fill>
    <fill>
      <patternFill patternType="solid">
        <fgColor theme="2" tint="-9.9978637043366805E-2"/>
        <bgColor indexed="64"/>
      </patternFill>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theme="3"/>
        <bgColor indexed="64"/>
      </patternFill>
    </fill>
    <fill>
      <patternFill patternType="solid">
        <fgColor theme="6"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indexed="31"/>
      </patternFill>
    </fill>
    <fill>
      <patternFill patternType="solid">
        <fgColor indexed="9"/>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4"/>
        <bgColor indexed="64"/>
      </patternFill>
    </fill>
    <fill>
      <patternFill patternType="solid">
        <fgColor indexed="47"/>
        <bgColor indexed="64"/>
      </patternFill>
    </fill>
    <fill>
      <patternFill patternType="solid">
        <fgColor indexed="43"/>
      </patternFill>
    </fill>
    <fill>
      <patternFill patternType="solid">
        <fgColor indexed="26"/>
      </patternFill>
    </fill>
    <fill>
      <patternFill patternType="solid">
        <fgColor theme="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indexed="45"/>
        <bgColor indexed="64"/>
      </patternFill>
    </fill>
    <fill>
      <patternFill patternType="solid">
        <fgColor indexed="14"/>
        <bgColor indexed="64"/>
      </patternFill>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indexed="51"/>
        <bgColor indexed="64"/>
      </patternFill>
    </fill>
    <fill>
      <patternFill patternType="solid">
        <fgColor theme="4" tint="0.59999389629810485"/>
        <bgColor theme="4" tint="0.79998168889431442"/>
      </patternFill>
    </fill>
    <fill>
      <patternFill patternType="solid">
        <fgColor theme="0" tint="-0.14999847407452621"/>
        <bgColor theme="0" tint="-0.14999847407452621"/>
      </patternFill>
    </fill>
    <fill>
      <patternFill patternType="solid">
        <fgColor theme="4" tint="0.59999389629810485"/>
        <bgColor indexed="64"/>
      </patternFill>
    </fill>
    <fill>
      <patternFill patternType="solid">
        <fgColor indexed="57"/>
        <bgColor indexed="64"/>
      </patternFill>
    </fill>
    <fill>
      <patternFill patternType="solid">
        <fgColor indexed="60"/>
        <bgColor indexed="64"/>
      </patternFill>
    </fill>
    <fill>
      <patternFill patternType="solid">
        <fgColor indexed="31"/>
        <bgColor indexed="64"/>
      </patternFill>
    </fill>
    <fill>
      <patternFill patternType="solid">
        <fgColor theme="4" tint="0.39997558519241921"/>
        <bgColor indexed="64"/>
      </patternFill>
    </fill>
    <fill>
      <patternFill patternType="solid">
        <fgColor theme="6" tint="0.39997558519241921"/>
        <bgColor indexed="64"/>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theme="4" tint="0.39997558519241921"/>
      </bottom>
      <diagonal/>
    </border>
    <border>
      <left/>
      <right/>
      <top style="thin">
        <color theme="4" tint="0.3999755851924192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92">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lignment readingOrder="1"/>
    </xf>
    <xf numFmtId="0" fontId="4" fillId="0" borderId="0">
      <alignment readingOrder="1"/>
    </xf>
    <xf numFmtId="0" fontId="4" fillId="0" borderId="0"/>
    <xf numFmtId="0" fontId="7" fillId="0" borderId="0"/>
    <xf numFmtId="0" fontId="4" fillId="0" borderId="0"/>
    <xf numFmtId="0" fontId="4" fillId="0" borderId="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3"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17" fillId="21" borderId="0" applyNumberFormat="0" applyBorder="0" applyAlignment="0" applyProtection="0"/>
    <xf numFmtId="0" fontId="17" fillId="13" borderId="0" applyNumberFormat="0" applyBorder="0" applyAlignment="0" applyProtection="0"/>
    <xf numFmtId="0" fontId="17" fillId="15" borderId="0" applyNumberFormat="0" applyBorder="0" applyAlignment="0" applyProtection="0"/>
    <xf numFmtId="0" fontId="17" fillId="19" borderId="0" applyNumberFormat="0" applyBorder="0" applyAlignment="0" applyProtection="0"/>
    <xf numFmtId="0" fontId="17" fillId="18" borderId="0" applyNumberFormat="0" applyBorder="0" applyAlignment="0" applyProtection="0"/>
    <xf numFmtId="0" fontId="17" fillId="22" borderId="0" applyNumberFormat="0" applyBorder="0" applyAlignment="0" applyProtection="0"/>
    <xf numFmtId="0" fontId="17" fillId="17"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0" borderId="0" applyNumberFormat="0" applyBorder="0" applyAlignment="0" applyProtection="0"/>
    <xf numFmtId="0" fontId="18" fillId="13" borderId="0" applyNumberFormat="0" applyBorder="0" applyAlignment="0" applyProtection="0"/>
    <xf numFmtId="0" fontId="18" fillId="21" borderId="0" applyNumberFormat="0" applyBorder="0" applyAlignment="0" applyProtection="0"/>
    <xf numFmtId="0" fontId="18" fillId="13" borderId="0" applyNumberFormat="0" applyBorder="0" applyAlignment="0" applyProtection="0"/>
    <xf numFmtId="0" fontId="18" fillId="25" borderId="0" applyNumberFormat="0" applyBorder="0" applyAlignment="0" applyProtection="0"/>
    <xf numFmtId="0" fontId="18" fillId="19" borderId="0" applyNumberFormat="0" applyBorder="0" applyAlignment="0" applyProtection="0"/>
    <xf numFmtId="0" fontId="18" fillId="24" borderId="0" applyNumberFormat="0" applyBorder="0" applyAlignment="0" applyProtection="0"/>
    <xf numFmtId="0" fontId="18" fillId="26" borderId="0" applyNumberFormat="0" applyBorder="0" applyAlignment="0" applyProtection="0"/>
    <xf numFmtId="0" fontId="18" fillId="17" borderId="0" applyNumberFormat="0" applyBorder="0" applyAlignment="0" applyProtection="0"/>
    <xf numFmtId="0" fontId="18" fillId="27"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13" borderId="0" applyNumberFormat="0" applyBorder="0" applyAlignment="0" applyProtection="0"/>
    <xf numFmtId="0" fontId="18" fillId="25" borderId="0" applyNumberFormat="0" applyBorder="0" applyAlignment="0" applyProtection="0"/>
    <xf numFmtId="0" fontId="18" fillId="30" borderId="0" applyNumberFormat="0" applyBorder="0" applyAlignment="0" applyProtection="0"/>
    <xf numFmtId="0" fontId="18" fillId="24" borderId="0" applyNumberFormat="0" applyBorder="0" applyAlignment="0" applyProtection="0"/>
    <xf numFmtId="0" fontId="18" fillId="31" borderId="0" applyNumberFormat="0" applyBorder="0" applyAlignment="0" applyProtection="0"/>
    <xf numFmtId="0" fontId="19" fillId="13" borderId="0" applyNumberFormat="0" applyBorder="0" applyAlignment="0" applyProtection="0"/>
    <xf numFmtId="0" fontId="19" fillId="15" borderId="0" applyNumberFormat="0" applyBorder="0" applyAlignment="0" applyProtection="0"/>
    <xf numFmtId="0" fontId="20" fillId="19" borderId="12" applyNumberFormat="0" applyAlignment="0" applyProtection="0"/>
    <xf numFmtId="0" fontId="20" fillId="12" borderId="12" applyNumberFormat="0" applyAlignment="0" applyProtection="0"/>
    <xf numFmtId="0" fontId="21" fillId="32" borderId="13"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4" borderId="0" applyNumberFormat="0" applyAlignment="0"/>
    <xf numFmtId="170" fontId="22" fillId="0" borderId="0"/>
    <xf numFmtId="0" fontId="23" fillId="0" borderId="0" applyNumberFormat="0" applyFill="0" applyBorder="0" applyAlignment="0" applyProtection="0"/>
    <xf numFmtId="0" fontId="24" fillId="14" borderId="0" applyNumberFormat="0" applyBorder="0" applyAlignment="0" applyProtection="0"/>
    <xf numFmtId="0" fontId="25" fillId="0" borderId="0">
      <alignment horizontal="center" wrapText="1"/>
    </xf>
    <xf numFmtId="0" fontId="26" fillId="0" borderId="14" applyNumberFormat="0" applyFill="0" applyAlignment="0" applyProtection="0"/>
    <xf numFmtId="0" fontId="27" fillId="0" borderId="15" applyNumberFormat="0" applyFill="0" applyAlignment="0" applyProtection="0"/>
    <xf numFmtId="0" fontId="28" fillId="0" borderId="16" applyNumberFormat="0" applyFill="0" applyAlignment="0" applyProtection="0"/>
    <xf numFmtId="0" fontId="29" fillId="0" borderId="17"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2" fillId="17" borderId="12" applyNumberFormat="0" applyAlignment="0" applyProtection="0"/>
    <xf numFmtId="0" fontId="33" fillId="0" borderId="18" applyNumberFormat="0" applyFill="0" applyAlignment="0" applyProtection="0"/>
    <xf numFmtId="0" fontId="34" fillId="35" borderId="0" applyNumberFormat="0" applyBorder="0" applyAlignment="0" applyProtection="0"/>
    <xf numFmtId="0" fontId="17" fillId="0" borderId="0"/>
    <xf numFmtId="0" fontId="17" fillId="0" borderId="0"/>
    <xf numFmtId="0" fontId="17" fillId="0" borderId="0"/>
    <xf numFmtId="0" fontId="4" fillId="0" borderId="0"/>
    <xf numFmtId="0" fontId="2" fillId="0" borderId="0"/>
    <xf numFmtId="0" fontId="4" fillId="0" borderId="0">
      <alignment readingOrder="1"/>
    </xf>
    <xf numFmtId="0" fontId="2" fillId="0" borderId="0"/>
    <xf numFmtId="0" fontId="2" fillId="0" borderId="0"/>
    <xf numFmtId="0" fontId="2" fillId="0" borderId="0"/>
    <xf numFmtId="0" fontId="2" fillId="0" borderId="0"/>
    <xf numFmtId="0" fontId="2" fillId="0" borderId="0"/>
    <xf numFmtId="0" fontId="4" fillId="0" borderId="0">
      <alignment readingOrder="1"/>
    </xf>
    <xf numFmtId="0" fontId="2" fillId="0" borderId="0"/>
    <xf numFmtId="0" fontId="35"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xf numFmtId="0" fontId="17" fillId="0" borderId="0"/>
    <xf numFmtId="0" fontId="4" fillId="0" borderId="0"/>
    <xf numFmtId="0" fontId="4" fillId="0" borderId="0">
      <alignment readingOrder="1"/>
    </xf>
    <xf numFmtId="0" fontId="4" fillId="0" borderId="0">
      <alignment readingOrder="1"/>
    </xf>
    <xf numFmtId="0" fontId="4" fillId="0" borderId="0">
      <alignment readingOrder="1"/>
    </xf>
    <xf numFmtId="0" fontId="17" fillId="0" borderId="0"/>
    <xf numFmtId="0" fontId="4" fillId="0" borderId="0">
      <alignment readingOrder="1"/>
    </xf>
    <xf numFmtId="0" fontId="4" fillId="0" borderId="0"/>
    <xf numFmtId="0" fontId="4" fillId="0" borderId="0">
      <alignment readingOrder="1"/>
    </xf>
    <xf numFmtId="0" fontId="4" fillId="0" borderId="0"/>
    <xf numFmtId="0" fontId="4" fillId="0" borderId="0"/>
    <xf numFmtId="0" fontId="4" fillId="0" borderId="0"/>
    <xf numFmtId="0" fontId="4" fillId="0" borderId="0"/>
    <xf numFmtId="0" fontId="4" fillId="0" borderId="0"/>
    <xf numFmtId="0" fontId="2"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xf numFmtId="0" fontId="17" fillId="0" borderId="0"/>
    <xf numFmtId="0" fontId="36" fillId="0" borderId="0"/>
    <xf numFmtId="0" fontId="17" fillId="0" borderId="0"/>
    <xf numFmtId="0" fontId="17" fillId="0" borderId="0"/>
    <xf numFmtId="0" fontId="17" fillId="0" borderId="0"/>
    <xf numFmtId="0" fontId="17" fillId="0" borderId="0"/>
    <xf numFmtId="0" fontId="4" fillId="0" borderId="0">
      <alignment readingOrder="1"/>
    </xf>
    <xf numFmtId="0" fontId="4" fillId="0" borderId="0">
      <alignment readingOrder="1"/>
    </xf>
    <xf numFmtId="0" fontId="4" fillId="0" borderId="0">
      <alignment readingOrder="1"/>
    </xf>
    <xf numFmtId="0" fontId="17" fillId="36" borderId="19" applyNumberFormat="0" applyFont="0" applyAlignment="0" applyProtection="0"/>
    <xf numFmtId="0" fontId="4" fillId="36" borderId="19" applyNumberFormat="0" applyFont="0" applyAlignment="0" applyProtection="0"/>
    <xf numFmtId="0" fontId="37" fillId="19" borderId="20" applyNumberFormat="0" applyAlignment="0" applyProtection="0"/>
    <xf numFmtId="0" fontId="37" fillId="12" borderId="20"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21" applyNumberFormat="0" applyFill="0" applyAlignment="0" applyProtection="0"/>
    <xf numFmtId="0" fontId="40" fillId="0" borderId="22" applyNumberFormat="0" applyFill="0" applyAlignment="0" applyProtection="0"/>
    <xf numFmtId="0" fontId="41" fillId="0" borderId="0" applyNumberFormat="0" applyFill="0" applyBorder="0" applyAlignment="0" applyProtection="0"/>
    <xf numFmtId="0" fontId="4" fillId="0" borderId="0"/>
    <xf numFmtId="0" fontId="4" fillId="0" borderId="0"/>
    <xf numFmtId="9" fontId="1" fillId="0" borderId="0" applyFont="0" applyFill="0" applyBorder="0" applyAlignment="0" applyProtection="0"/>
    <xf numFmtId="0" fontId="4" fillId="0" borderId="0"/>
    <xf numFmtId="43" fontId="2" fillId="0" borderId="0" applyFont="0" applyFill="0" applyBorder="0" applyAlignment="0" applyProtection="0"/>
    <xf numFmtId="0" fontId="1" fillId="0" borderId="0"/>
  </cellStyleXfs>
  <cellXfs count="494">
    <xf numFmtId="0" fontId="0" fillId="0" borderId="0" xfId="0"/>
    <xf numFmtId="0" fontId="2" fillId="0" borderId="0" xfId="0" applyFont="1"/>
    <xf numFmtId="0" fontId="3" fillId="2" borderId="1" xfId="0" applyFont="1" applyFill="1" applyBorder="1"/>
    <xf numFmtId="0" fontId="3" fillId="2" borderId="2" xfId="0" applyFont="1" applyFill="1" applyBorder="1"/>
    <xf numFmtId="0" fontId="3" fillId="2" borderId="3" xfId="0" applyFont="1" applyFill="1" applyBorder="1"/>
    <xf numFmtId="0" fontId="5" fillId="3" borderId="4" xfId="3" applyFont="1" applyFill="1" applyBorder="1" applyAlignment="1">
      <alignment horizontal="left" vertical="center" wrapText="1"/>
    </xf>
    <xf numFmtId="0" fontId="5" fillId="3" borderId="5" xfId="3" applyFont="1" applyFill="1" applyBorder="1" applyAlignment="1">
      <alignment horizontal="left" vertical="center" wrapText="1"/>
    </xf>
    <xf numFmtId="0" fontId="6" fillId="0" borderId="5" xfId="3" applyNumberFormat="1" applyFont="1" applyFill="1" applyBorder="1" applyAlignment="1">
      <alignment horizontal="left" vertical="center" wrapText="1"/>
    </xf>
    <xf numFmtId="0" fontId="6" fillId="0" borderId="5" xfId="3" applyFont="1" applyFill="1" applyBorder="1" applyAlignment="1">
      <alignment horizontal="left" vertical="center" wrapText="1"/>
    </xf>
    <xf numFmtId="0" fontId="2" fillId="0" borderId="5" xfId="3" applyFont="1" applyFill="1" applyBorder="1" applyAlignment="1">
      <alignment horizontal="left" vertical="center" wrapText="1"/>
    </xf>
    <xf numFmtId="0" fontId="8" fillId="0" borderId="0" xfId="6" applyFont="1"/>
    <xf numFmtId="0" fontId="9" fillId="0" borderId="0" xfId="8" applyFont="1"/>
    <xf numFmtId="0" fontId="4" fillId="0" borderId="0" xfId="6" applyFont="1"/>
    <xf numFmtId="5" fontId="4" fillId="0" borderId="0" xfId="6" applyNumberFormat="1" applyFont="1"/>
    <xf numFmtId="164" fontId="4" fillId="0" borderId="0" xfId="6" applyNumberFormat="1" applyFont="1"/>
    <xf numFmtId="164" fontId="9" fillId="0" borderId="0" xfId="6" applyNumberFormat="1" applyFont="1"/>
    <xf numFmtId="0" fontId="4" fillId="0" borderId="0" xfId="6" applyFont="1" applyFill="1"/>
    <xf numFmtId="165" fontId="4" fillId="0" borderId="0" xfId="6" applyNumberFormat="1" applyFont="1"/>
    <xf numFmtId="0" fontId="8" fillId="0" borderId="0" xfId="6" applyFont="1" applyAlignment="1">
      <alignment horizontal="left"/>
    </xf>
    <xf numFmtId="0" fontId="0" fillId="0" borderId="0" xfId="0">
      <alignment readingOrder="1"/>
    </xf>
    <xf numFmtId="166" fontId="0" fillId="0" borderId="0" xfId="0" applyNumberFormat="1" applyAlignment="1">
      <alignment horizontal="center" readingOrder="1"/>
    </xf>
    <xf numFmtId="167" fontId="0" fillId="0" borderId="0" xfId="0" applyNumberFormat="1" applyAlignment="1">
      <alignment horizontal="center" readingOrder="1"/>
    </xf>
    <xf numFmtId="0" fontId="4" fillId="0" borderId="0" xfId="0" applyFont="1">
      <alignment readingOrder="1"/>
    </xf>
    <xf numFmtId="0" fontId="4" fillId="0" borderId="0" xfId="6" applyFont="1" applyAlignment="1">
      <alignment horizontal="center"/>
    </xf>
    <xf numFmtId="0" fontId="10" fillId="4" borderId="6" xfId="6" applyFont="1" applyFill="1" applyBorder="1" applyAlignment="1">
      <alignment horizontal="centerContinuous"/>
    </xf>
    <xf numFmtId="0" fontId="11" fillId="4" borderId="6" xfId="6" applyFont="1" applyFill="1" applyBorder="1" applyAlignment="1">
      <alignment horizontal="centerContinuous"/>
    </xf>
    <xf numFmtId="0" fontId="11" fillId="4" borderId="7" xfId="6" applyFont="1" applyFill="1" applyBorder="1" applyAlignment="1">
      <alignment horizontal="centerContinuous"/>
    </xf>
    <xf numFmtId="0" fontId="12" fillId="4" borderId="8" xfId="6" applyFont="1" applyFill="1" applyBorder="1" applyAlignment="1">
      <alignment horizontal="centerContinuous"/>
    </xf>
    <xf numFmtId="0" fontId="11" fillId="7" borderId="8" xfId="6" applyFont="1" applyFill="1" applyBorder="1" applyAlignment="1">
      <alignment horizontal="center"/>
    </xf>
    <xf numFmtId="0" fontId="11" fillId="0" borderId="0" xfId="6" applyFont="1" applyFill="1" applyBorder="1" applyAlignment="1">
      <alignment horizontal="centerContinuous"/>
    </xf>
    <xf numFmtId="0" fontId="12" fillId="0" borderId="0" xfId="6" applyFont="1" applyFill="1" applyBorder="1" applyAlignment="1">
      <alignment horizontal="centerContinuous"/>
    </xf>
    <xf numFmtId="0" fontId="13" fillId="0" borderId="0" xfId="6" applyFont="1" applyFill="1" applyBorder="1" applyAlignment="1">
      <alignment horizontal="centerContinuous"/>
    </xf>
    <xf numFmtId="0" fontId="4" fillId="0" borderId="0" xfId="6" applyFont="1" applyFill="1" applyBorder="1"/>
    <xf numFmtId="0" fontId="13" fillId="9" borderId="5" xfId="6" applyFont="1" applyFill="1" applyBorder="1" applyAlignment="1">
      <alignment horizontal="center" wrapText="1"/>
    </xf>
    <xf numFmtId="0" fontId="13" fillId="9" borderId="11" xfId="6" applyFont="1" applyFill="1" applyBorder="1" applyAlignment="1">
      <alignment horizontal="center" wrapText="1"/>
    </xf>
    <xf numFmtId="0" fontId="13" fillId="9" borderId="4" xfId="6" applyFont="1" applyFill="1" applyBorder="1" applyAlignment="1">
      <alignment horizontal="center" wrapText="1"/>
    </xf>
    <xf numFmtId="0" fontId="13" fillId="9" borderId="4" xfId="0" applyFont="1" applyFill="1" applyBorder="1" applyAlignment="1">
      <alignment horizontal="center" wrapText="1"/>
    </xf>
    <xf numFmtId="0" fontId="13" fillId="10" borderId="8" xfId="6" applyFont="1" applyFill="1" applyBorder="1" applyAlignment="1">
      <alignment horizontal="center" wrapText="1"/>
    </xf>
    <xf numFmtId="0" fontId="13" fillId="10" borderId="5" xfId="6" applyFont="1" applyFill="1" applyBorder="1" applyAlignment="1">
      <alignment horizontal="center" wrapText="1"/>
    </xf>
    <xf numFmtId="0" fontId="13" fillId="0" borderId="0" xfId="6" applyFont="1" applyFill="1" applyBorder="1" applyAlignment="1">
      <alignment horizontal="center" wrapText="1"/>
    </xf>
    <xf numFmtId="164" fontId="0" fillId="0" borderId="0" xfId="0" applyNumberFormat="1">
      <alignment readingOrder="1"/>
    </xf>
    <xf numFmtId="168" fontId="4" fillId="0" borderId="0" xfId="1" applyNumberFormat="1" applyFont="1">
      <alignment readingOrder="1"/>
    </xf>
    <xf numFmtId="0" fontId="4" fillId="0" borderId="0" xfId="4">
      <alignment readingOrder="1"/>
    </xf>
    <xf numFmtId="169" fontId="4" fillId="0" borderId="0" xfId="2" applyNumberFormat="1" applyFont="1">
      <alignment readingOrder="1"/>
    </xf>
    <xf numFmtId="0" fontId="4" fillId="0" borderId="0" xfId="5" applyFont="1"/>
    <xf numFmtId="164" fontId="0" fillId="0" borderId="0" xfId="0" applyNumberFormat="1" applyAlignment="1">
      <alignment horizontal="center" readingOrder="1"/>
    </xf>
    <xf numFmtId="0" fontId="4" fillId="0" borderId="0" xfId="4" applyFont="1" applyAlignment="1">
      <alignment horizontal="center" readingOrder="1"/>
    </xf>
    <xf numFmtId="0" fontId="3" fillId="8" borderId="2" xfId="0" applyFont="1" applyFill="1" applyBorder="1"/>
    <xf numFmtId="0" fontId="14" fillId="3" borderId="0" xfId="7" applyFont="1" applyFill="1"/>
    <xf numFmtId="0" fontId="4" fillId="0" borderId="0" xfId="7" applyFont="1"/>
    <xf numFmtId="0" fontId="0" fillId="0" borderId="0" xfId="0" applyFont="1"/>
    <xf numFmtId="15" fontId="4" fillId="0" borderId="0" xfId="7" applyNumberFormat="1" applyFont="1" applyAlignment="1">
      <alignment horizontal="center"/>
    </xf>
    <xf numFmtId="0" fontId="0" fillId="0" borderId="0" xfId="0" applyAlignment="1">
      <alignment horizontal="center"/>
    </xf>
    <xf numFmtId="0" fontId="4" fillId="37" borderId="0" xfId="7" applyFont="1" applyFill="1" applyAlignment="1">
      <alignment horizontal="center"/>
    </xf>
    <xf numFmtId="0" fontId="0" fillId="3" borderId="0" xfId="0" applyFill="1"/>
    <xf numFmtId="0" fontId="14" fillId="2" borderId="7" xfId="0" applyFont="1" applyFill="1" applyBorder="1">
      <alignment readingOrder="1"/>
    </xf>
    <xf numFmtId="0" fontId="0" fillId="0" borderId="0" xfId="0" applyFill="1">
      <alignment readingOrder="1"/>
    </xf>
    <xf numFmtId="0" fontId="0" fillId="2" borderId="25" xfId="0" applyFill="1" applyBorder="1">
      <alignment readingOrder="1"/>
    </xf>
    <xf numFmtId="0" fontId="0" fillId="0" borderId="0" xfId="0" applyFill="1" applyAlignment="1">
      <alignment vertical="center" wrapText="1" readingOrder="1"/>
    </xf>
    <xf numFmtId="0" fontId="14" fillId="2" borderId="25" xfId="0" applyFont="1" applyFill="1" applyBorder="1">
      <alignment readingOrder="1"/>
    </xf>
    <xf numFmtId="49" fontId="0" fillId="2" borderId="11" xfId="0" quotePrefix="1" applyNumberFormat="1" applyFill="1" applyBorder="1">
      <alignment readingOrder="1"/>
    </xf>
    <xf numFmtId="0" fontId="0" fillId="2" borderId="10" xfId="0" applyNumberFormat="1" applyFill="1" applyBorder="1" applyAlignment="1">
      <alignment vertical="center" wrapText="1" readingOrder="1"/>
    </xf>
    <xf numFmtId="0" fontId="0" fillId="2" borderId="8" xfId="0" applyNumberFormat="1" applyFill="1" applyBorder="1" applyAlignment="1">
      <alignment vertical="center" wrapText="1" readingOrder="1"/>
    </xf>
    <xf numFmtId="0" fontId="0" fillId="2" borderId="28" xfId="0" applyNumberFormat="1" applyFill="1" applyBorder="1" applyAlignment="1">
      <alignment vertical="center" wrapText="1" readingOrder="1"/>
    </xf>
    <xf numFmtId="0" fontId="0" fillId="2" borderId="29" xfId="0" applyNumberFormat="1" applyFill="1" applyBorder="1" applyAlignment="1">
      <alignment vertical="center" wrapText="1" readingOrder="1"/>
    </xf>
    <xf numFmtId="0" fontId="0" fillId="3" borderId="0" xfId="0" applyFill="1">
      <alignment readingOrder="1"/>
    </xf>
    <xf numFmtId="0" fontId="43" fillId="38" borderId="0" xfId="0" applyFont="1" applyFill="1">
      <alignment readingOrder="1"/>
    </xf>
    <xf numFmtId="1" fontId="0" fillId="0" borderId="0" xfId="0" quotePrefix="1" applyNumberFormat="1">
      <alignment readingOrder="1"/>
    </xf>
    <xf numFmtId="0" fontId="0" fillId="3" borderId="0" xfId="0" applyFill="1" applyAlignment="1">
      <alignment vertical="center" wrapText="1" readingOrder="1"/>
    </xf>
    <xf numFmtId="0" fontId="0" fillId="0" borderId="0" xfId="0" quotePrefix="1">
      <alignment readingOrder="1"/>
    </xf>
    <xf numFmtId="0" fontId="0" fillId="2" borderId="0" xfId="0" applyFill="1">
      <alignment readingOrder="1"/>
    </xf>
    <xf numFmtId="1" fontId="0" fillId="0" borderId="0" xfId="0" applyNumberFormat="1">
      <alignment readingOrder="1"/>
    </xf>
    <xf numFmtId="0" fontId="44" fillId="3" borderId="5" xfId="0" applyFont="1" applyFill="1" applyBorder="1"/>
    <xf numFmtId="9" fontId="44" fillId="3" borderId="5" xfId="162" applyFont="1" applyFill="1" applyBorder="1"/>
    <xf numFmtId="0" fontId="44" fillId="3" borderId="6" xfId="0" applyFont="1" applyFill="1" applyBorder="1"/>
    <xf numFmtId="0" fontId="44" fillId="3" borderId="11" xfId="0" applyFont="1" applyFill="1" applyBorder="1"/>
    <xf numFmtId="164" fontId="0" fillId="41" borderId="0" xfId="0" applyNumberFormat="1" applyFill="1" applyAlignment="1">
      <alignment horizontal="center" readingOrder="1"/>
    </xf>
    <xf numFmtId="2" fontId="0" fillId="0" borderId="0" xfId="0" applyNumberFormat="1">
      <alignment readingOrder="1"/>
    </xf>
    <xf numFmtId="0" fontId="0" fillId="0" borderId="0" xfId="0" applyAlignment="1">
      <alignment horizontal="center" readingOrder="1"/>
    </xf>
    <xf numFmtId="0" fontId="0" fillId="3" borderId="0" xfId="0" applyFill="1" applyAlignment="1">
      <alignment horizontal="center" readingOrder="1"/>
    </xf>
    <xf numFmtId="171" fontId="0" fillId="0" borderId="0" xfId="0" applyNumberFormat="1">
      <alignment readingOrder="1"/>
    </xf>
    <xf numFmtId="172" fontId="0" fillId="0" borderId="0" xfId="0" applyNumberFormat="1">
      <alignment readingOrder="1"/>
    </xf>
    <xf numFmtId="0" fontId="44" fillId="41" borderId="5" xfId="0" applyFont="1" applyFill="1" applyBorder="1"/>
    <xf numFmtId="164" fontId="44" fillId="41" borderId="5" xfId="0" applyNumberFormat="1" applyFont="1" applyFill="1" applyBorder="1"/>
    <xf numFmtId="0" fontId="44" fillId="39" borderId="5" xfId="0" applyFont="1" applyFill="1" applyBorder="1"/>
    <xf numFmtId="0" fontId="0" fillId="0" borderId="0" xfId="0" applyFill="1" applyBorder="1">
      <alignment readingOrder="1"/>
    </xf>
    <xf numFmtId="0" fontId="44" fillId="39" borderId="7" xfId="0" applyFont="1" applyFill="1" applyBorder="1"/>
    <xf numFmtId="0" fontId="44" fillId="3" borderId="9" xfId="0" applyFont="1" applyFill="1" applyBorder="1"/>
    <xf numFmtId="0" fontId="44" fillId="2" borderId="5" xfId="0" applyFont="1" applyFill="1" applyBorder="1"/>
    <xf numFmtId="0" fontId="0" fillId="3" borderId="0" xfId="0" applyFill="1" applyAlignment="1">
      <alignment horizontal="right" readingOrder="1"/>
    </xf>
    <xf numFmtId="0" fontId="44" fillId="3" borderId="23" xfId="0" applyFont="1" applyFill="1" applyBorder="1"/>
    <xf numFmtId="0" fontId="44" fillId="3" borderId="28" xfId="0" applyFont="1" applyFill="1" applyBorder="1"/>
    <xf numFmtId="0" fontId="44" fillId="3" borderId="24" xfId="0" applyFont="1" applyFill="1" applyBorder="1"/>
    <xf numFmtId="164" fontId="13" fillId="33" borderId="30" xfId="0" applyNumberFormat="1" applyFont="1" applyFill="1" applyBorder="1" applyAlignment="1">
      <alignment horizontal="centerContinuous" wrapText="1" readingOrder="1"/>
    </xf>
    <xf numFmtId="164" fontId="13" fillId="33" borderId="31" xfId="0" applyNumberFormat="1" applyFont="1" applyFill="1" applyBorder="1" applyAlignment="1">
      <alignment horizontal="centerContinuous" wrapText="1" readingOrder="1"/>
    </xf>
    <xf numFmtId="164" fontId="13" fillId="33" borderId="3" xfId="0" applyNumberFormat="1" applyFont="1" applyFill="1" applyBorder="1" applyAlignment="1">
      <alignment horizontal="centerContinuous" wrapText="1" readingOrder="1"/>
    </xf>
    <xf numFmtId="164" fontId="13" fillId="33" borderId="8" xfId="0" applyNumberFormat="1" applyFont="1" applyFill="1" applyBorder="1" applyAlignment="1">
      <alignment horizontal="center" wrapText="1" readingOrder="1"/>
    </xf>
    <xf numFmtId="0" fontId="44" fillId="3" borderId="29" xfId="0" applyFont="1" applyFill="1" applyBorder="1"/>
    <xf numFmtId="164" fontId="13" fillId="34" borderId="8" xfId="0" applyNumberFormat="1" applyFont="1" applyFill="1" applyBorder="1" applyAlignment="1">
      <alignment horizontal="center" wrapText="1" readingOrder="1"/>
    </xf>
    <xf numFmtId="1" fontId="0" fillId="10" borderId="0" xfId="0" applyNumberFormat="1" applyFill="1" applyAlignment="1">
      <alignment horizontal="center" readingOrder="1"/>
    </xf>
    <xf numFmtId="43" fontId="0" fillId="10" borderId="0" xfId="54" applyFont="1" applyFill="1" applyAlignment="1">
      <alignment horizontal="center" readingOrder="1"/>
    </xf>
    <xf numFmtId="168" fontId="0" fillId="0" borderId="0" xfId="0" applyNumberFormat="1"/>
    <xf numFmtId="9" fontId="0" fillId="0" borderId="0" xfId="0" applyNumberFormat="1"/>
    <xf numFmtId="6" fontId="0" fillId="0" borderId="0" xfId="0" applyNumberFormat="1"/>
    <xf numFmtId="0" fontId="47" fillId="3" borderId="0" xfId="0" applyFont="1" applyFill="1" applyAlignment="1">
      <alignment horizontal="left" vertical="center"/>
    </xf>
    <xf numFmtId="0" fontId="0" fillId="0" borderId="0" xfId="0" applyAlignment="1">
      <alignment horizontal="left"/>
    </xf>
    <xf numFmtId="1" fontId="0" fillId="0" borderId="0" xfId="0" applyNumberFormat="1" applyAlignment="1">
      <alignment horizontal="left"/>
    </xf>
    <xf numFmtId="168" fontId="0" fillId="0" borderId="5" xfId="0" applyNumberFormat="1" applyBorder="1"/>
    <xf numFmtId="168" fontId="0" fillId="0" borderId="7" xfId="0" applyNumberFormat="1" applyBorder="1"/>
    <xf numFmtId="9" fontId="0" fillId="0" borderId="0" xfId="169" applyFont="1"/>
    <xf numFmtId="0" fontId="0" fillId="0" borderId="0" xfId="0" applyFill="1"/>
    <xf numFmtId="0" fontId="44" fillId="42" borderId="32" xfId="0" applyFont="1" applyFill="1" applyBorder="1"/>
    <xf numFmtId="0" fontId="44" fillId="42" borderId="32" xfId="0" applyFont="1" applyFill="1" applyBorder="1" applyAlignment="1">
      <alignment wrapText="1"/>
    </xf>
    <xf numFmtId="0" fontId="44" fillId="42" borderId="33" xfId="0" applyFont="1" applyFill="1" applyBorder="1" applyAlignment="1">
      <alignment horizontal="left"/>
    </xf>
    <xf numFmtId="168" fontId="44" fillId="42" borderId="33" xfId="0" applyNumberFormat="1" applyFont="1" applyFill="1" applyBorder="1"/>
    <xf numFmtId="9" fontId="44" fillId="42" borderId="33" xfId="0" applyNumberFormat="1" applyFont="1" applyFill="1" applyBorder="1"/>
    <xf numFmtId="0" fontId="44" fillId="42" borderId="0" xfId="0" applyFont="1" applyFill="1"/>
    <xf numFmtId="0" fontId="4" fillId="0" borderId="0" xfId="189"/>
    <xf numFmtId="0" fontId="30" fillId="0" borderId="0" xfId="95" applyAlignment="1" applyProtection="1"/>
    <xf numFmtId="175" fontId="4" fillId="0" borderId="0" xfId="54" applyNumberFormat="1" applyFill="1"/>
    <xf numFmtId="175" fontId="4" fillId="0" borderId="0" xfId="54" applyNumberFormat="1" applyFont="1" applyFill="1"/>
    <xf numFmtId="175" fontId="4" fillId="0" borderId="0" xfId="54" applyNumberFormat="1"/>
    <xf numFmtId="168" fontId="4" fillId="0" borderId="0" xfId="54" applyNumberFormat="1"/>
    <xf numFmtId="175" fontId="4" fillId="0" borderId="0" xfId="54" applyNumberFormat="1" applyAlignment="1">
      <alignment textRotation="90"/>
    </xf>
    <xf numFmtId="175" fontId="4" fillId="0" borderId="5" xfId="54" applyNumberFormat="1" applyFont="1" applyBorder="1" applyAlignment="1">
      <alignment textRotation="90"/>
    </xf>
    <xf numFmtId="175" fontId="4" fillId="0" borderId="5" xfId="54" applyNumberFormat="1" applyBorder="1" applyAlignment="1">
      <alignment textRotation="90"/>
    </xf>
    <xf numFmtId="0" fontId="4" fillId="0" borderId="7" xfId="189" applyBorder="1" applyAlignment="1">
      <alignment wrapText="1"/>
    </xf>
    <xf numFmtId="175" fontId="14" fillId="45" borderId="0" xfId="54" applyNumberFormat="1" applyFont="1" applyFill="1"/>
    <xf numFmtId="175" fontId="4" fillId="45" borderId="6" xfId="54" applyNumberFormat="1" applyFill="1" applyBorder="1" applyAlignment="1">
      <alignment textRotation="90"/>
    </xf>
    <xf numFmtId="175" fontId="4" fillId="45" borderId="23" xfId="54" applyNumberFormat="1" applyFill="1" applyBorder="1" applyAlignment="1">
      <alignment textRotation="90"/>
    </xf>
    <xf numFmtId="175" fontId="4" fillId="45" borderId="24" xfId="54" applyNumberFormat="1" applyFill="1" applyBorder="1" applyAlignment="1">
      <alignment textRotation="90"/>
    </xf>
    <xf numFmtId="175" fontId="4" fillId="45" borderId="0" xfId="54" applyNumberFormat="1" applyFill="1" applyAlignment="1">
      <alignment textRotation="90"/>
    </xf>
    <xf numFmtId="0" fontId="4" fillId="0" borderId="25" xfId="189" applyBorder="1"/>
    <xf numFmtId="175" fontId="4" fillId="45" borderId="0" xfId="54" applyNumberFormat="1" applyFill="1"/>
    <xf numFmtId="43" fontId="4" fillId="45" borderId="10" xfId="54" applyNumberFormat="1" applyFill="1" applyBorder="1"/>
    <xf numFmtId="43" fontId="4" fillId="45" borderId="26" xfId="54" applyNumberFormat="1" applyFill="1" applyBorder="1"/>
    <xf numFmtId="43" fontId="4" fillId="45" borderId="0" xfId="54" applyNumberFormat="1" applyFill="1" applyBorder="1"/>
    <xf numFmtId="43" fontId="4" fillId="45" borderId="27" xfId="54" applyNumberFormat="1" applyFill="1" applyBorder="1"/>
    <xf numFmtId="43" fontId="4" fillId="45" borderId="0" xfId="54" applyNumberFormat="1" applyFill="1"/>
    <xf numFmtId="175" fontId="4" fillId="45" borderId="9" xfId="54" applyNumberFormat="1" applyFill="1" applyBorder="1"/>
    <xf numFmtId="43" fontId="4" fillId="45" borderId="9" xfId="54" applyNumberFormat="1" applyFill="1" applyBorder="1"/>
    <xf numFmtId="43" fontId="4" fillId="45" borderId="8" xfId="54" applyNumberFormat="1" applyFill="1" applyBorder="1"/>
    <xf numFmtId="0" fontId="4" fillId="0" borderId="10" xfId="189" applyBorder="1"/>
    <xf numFmtId="43" fontId="4" fillId="45" borderId="11" xfId="54" applyNumberFormat="1" applyFill="1" applyBorder="1"/>
    <xf numFmtId="43" fontId="4" fillId="45" borderId="28" xfId="54" applyNumberFormat="1" applyFill="1" applyBorder="1"/>
    <xf numFmtId="43" fontId="4" fillId="45" borderId="29" xfId="54" applyNumberFormat="1" applyFill="1" applyBorder="1"/>
    <xf numFmtId="0" fontId="4" fillId="0" borderId="5" xfId="189" applyBorder="1"/>
    <xf numFmtId="175" fontId="14" fillId="46" borderId="0" xfId="54" applyNumberFormat="1" applyFont="1" applyFill="1"/>
    <xf numFmtId="175" fontId="4" fillId="46" borderId="26" xfId="54" applyNumberFormat="1" applyFill="1" applyBorder="1" applyAlignment="1">
      <alignment textRotation="90"/>
    </xf>
    <xf numFmtId="175" fontId="4" fillId="46" borderId="0" xfId="54" applyNumberFormat="1" applyFill="1" applyBorder="1" applyAlignment="1">
      <alignment textRotation="90"/>
    </xf>
    <xf numFmtId="175" fontId="4" fillId="46" borderId="27" xfId="54" applyNumberFormat="1" applyFill="1" applyBorder="1" applyAlignment="1">
      <alignment textRotation="90"/>
    </xf>
    <xf numFmtId="175" fontId="4" fillId="46" borderId="0" xfId="54" applyNumberFormat="1" applyFill="1" applyAlignment="1">
      <alignment textRotation="90"/>
    </xf>
    <xf numFmtId="0" fontId="4" fillId="46" borderId="0" xfId="189" applyFill="1"/>
    <xf numFmtId="175" fontId="4" fillId="46" borderId="0" xfId="54" applyNumberFormat="1" applyFill="1"/>
    <xf numFmtId="175" fontId="4" fillId="46" borderId="26" xfId="54" applyNumberFormat="1" applyFill="1" applyBorder="1"/>
    <xf numFmtId="175" fontId="4" fillId="46" borderId="0" xfId="54" applyNumberFormat="1" applyFill="1" applyBorder="1"/>
    <xf numFmtId="175" fontId="4" fillId="46" borderId="27" xfId="54" applyNumberFormat="1" applyFill="1" applyBorder="1"/>
    <xf numFmtId="175" fontId="4" fillId="45" borderId="10" xfId="54" applyNumberFormat="1" applyFill="1" applyBorder="1"/>
    <xf numFmtId="175" fontId="4" fillId="46" borderId="9" xfId="54" applyNumberFormat="1" applyFill="1" applyBorder="1"/>
    <xf numFmtId="175" fontId="4" fillId="46" borderId="10" xfId="54" applyNumberFormat="1" applyFill="1" applyBorder="1"/>
    <xf numFmtId="175" fontId="4" fillId="46" borderId="8" xfId="54" applyNumberFormat="1" applyFill="1" applyBorder="1"/>
    <xf numFmtId="0" fontId="4" fillId="46" borderId="10" xfId="189" applyFill="1" applyBorder="1"/>
    <xf numFmtId="0" fontId="4" fillId="0" borderId="4" xfId="189" applyBorder="1"/>
    <xf numFmtId="175" fontId="4" fillId="46" borderId="11" xfId="54" applyNumberFormat="1" applyFill="1" applyBorder="1"/>
    <xf numFmtId="175" fontId="4" fillId="46" borderId="28" xfId="54" applyNumberFormat="1" applyFill="1" applyBorder="1"/>
    <xf numFmtId="175" fontId="4" fillId="46" borderId="29" xfId="54" applyNumberFormat="1" applyFill="1" applyBorder="1"/>
    <xf numFmtId="9" fontId="49" fillId="0" borderId="0" xfId="162" applyFont="1" applyAlignment="1"/>
    <xf numFmtId="175" fontId="14" fillId="47" borderId="0" xfId="54" applyNumberFormat="1" applyFont="1" applyFill="1"/>
    <xf numFmtId="175" fontId="4" fillId="47" borderId="26" xfId="54" applyNumberFormat="1" applyFill="1" applyBorder="1" applyAlignment="1">
      <alignment textRotation="90"/>
    </xf>
    <xf numFmtId="175" fontId="4" fillId="47" borderId="0" xfId="54" applyNumberFormat="1" applyFill="1" applyBorder="1" applyAlignment="1">
      <alignment textRotation="90"/>
    </xf>
    <xf numFmtId="175" fontId="4" fillId="47" borderId="27" xfId="54" applyNumberFormat="1" applyFill="1" applyBorder="1" applyAlignment="1">
      <alignment textRotation="90"/>
    </xf>
    <xf numFmtId="175" fontId="4" fillId="47" borderId="0" xfId="54" applyNumberFormat="1" applyFill="1" applyAlignment="1">
      <alignment textRotation="90"/>
    </xf>
    <xf numFmtId="0" fontId="4" fillId="47" borderId="0" xfId="189" applyFill="1"/>
    <xf numFmtId="175" fontId="4" fillId="47" borderId="0" xfId="54" applyNumberFormat="1" applyFill="1"/>
    <xf numFmtId="175" fontId="4" fillId="48" borderId="26" xfId="54" applyNumberFormat="1" applyFill="1" applyBorder="1"/>
    <xf numFmtId="175" fontId="4" fillId="48" borderId="0" xfId="54" applyNumberFormat="1" applyFill="1" applyBorder="1"/>
    <xf numFmtId="175" fontId="4" fillId="47" borderId="27" xfId="54" applyNumberFormat="1" applyFill="1" applyBorder="1"/>
    <xf numFmtId="175" fontId="4" fillId="47" borderId="26" xfId="54" applyNumberFormat="1" applyFill="1" applyBorder="1"/>
    <xf numFmtId="175" fontId="4" fillId="47" borderId="0" xfId="54" applyNumberFormat="1" applyFill="1" applyBorder="1"/>
    <xf numFmtId="175" fontId="4" fillId="47" borderId="9" xfId="54" applyNumberFormat="1" applyFill="1" applyBorder="1"/>
    <xf numFmtId="175" fontId="4" fillId="48" borderId="9" xfId="54" applyNumberFormat="1" applyFill="1" applyBorder="1"/>
    <xf numFmtId="175" fontId="4" fillId="48" borderId="10" xfId="54" applyNumberFormat="1" applyFill="1" applyBorder="1"/>
    <xf numFmtId="175" fontId="4" fillId="47" borderId="8" xfId="54" applyNumberFormat="1" applyFill="1" applyBorder="1"/>
    <xf numFmtId="175" fontId="4" fillId="47" borderId="10" xfId="54" applyNumberFormat="1" applyFill="1" applyBorder="1"/>
    <xf numFmtId="0" fontId="4" fillId="47" borderId="10" xfId="189" applyFill="1" applyBorder="1"/>
    <xf numFmtId="175" fontId="4" fillId="48" borderId="11" xfId="54" applyNumberFormat="1" applyFill="1" applyBorder="1"/>
    <xf numFmtId="175" fontId="4" fillId="48" borderId="28" xfId="54" applyNumberFormat="1" applyFill="1" applyBorder="1"/>
    <xf numFmtId="175" fontId="4" fillId="47" borderId="29" xfId="54" applyNumberFormat="1" applyFill="1" applyBorder="1"/>
    <xf numFmtId="175" fontId="4" fillId="47" borderId="11" xfId="54" applyNumberFormat="1" applyFill="1" applyBorder="1"/>
    <xf numFmtId="175" fontId="4" fillId="47" borderId="28" xfId="54" applyNumberFormat="1" applyFill="1" applyBorder="1"/>
    <xf numFmtId="43" fontId="49" fillId="0" borderId="0" xfId="54" applyFont="1" applyAlignment="1"/>
    <xf numFmtId="9" fontId="4" fillId="0" borderId="5" xfId="189" applyNumberFormat="1" applyBorder="1" applyAlignment="1">
      <alignment horizontal="center"/>
    </xf>
    <xf numFmtId="176" fontId="4" fillId="0" borderId="5" xfId="189" applyNumberFormat="1" applyBorder="1"/>
    <xf numFmtId="175" fontId="14" fillId="34" borderId="0" xfId="54" applyNumberFormat="1" applyFont="1" applyFill="1" applyBorder="1"/>
    <xf numFmtId="0" fontId="4" fillId="34" borderId="0" xfId="189" applyFill="1"/>
    <xf numFmtId="0" fontId="4" fillId="34" borderId="0" xfId="189" applyFill="1" applyAlignment="1">
      <alignment wrapText="1"/>
    </xf>
    <xf numFmtId="0" fontId="4" fillId="34" borderId="5" xfId="189" applyFill="1" applyBorder="1"/>
    <xf numFmtId="175" fontId="4" fillId="0" borderId="5" xfId="54" applyNumberFormat="1" applyBorder="1" applyAlignment="1"/>
    <xf numFmtId="44" fontId="4" fillId="0" borderId="0" xfId="189" applyNumberFormat="1"/>
    <xf numFmtId="9" fontId="4" fillId="0" borderId="0" xfId="189" applyNumberFormat="1"/>
    <xf numFmtId="175" fontId="4" fillId="0" borderId="0" xfId="54" applyNumberFormat="1" applyBorder="1" applyAlignment="1"/>
    <xf numFmtId="175" fontId="14" fillId="34" borderId="0" xfId="54" applyNumberFormat="1" applyFont="1" applyFill="1" applyAlignment="1"/>
    <xf numFmtId="175" fontId="4" fillId="0" borderId="7" xfId="54" applyNumberFormat="1" applyBorder="1" applyAlignment="1"/>
    <xf numFmtId="168" fontId="4" fillId="0" borderId="0" xfId="54" applyNumberFormat="1" applyFill="1" applyBorder="1"/>
    <xf numFmtId="0" fontId="4" fillId="0" borderId="0" xfId="189" applyAlignment="1">
      <alignment vertical="top" wrapText="1"/>
    </xf>
    <xf numFmtId="175" fontId="14" fillId="3" borderId="0" xfId="54" applyNumberFormat="1" applyFont="1" applyFill="1"/>
    <xf numFmtId="175" fontId="4" fillId="3" borderId="26" xfId="54" applyNumberFormat="1" applyFill="1" applyBorder="1" applyAlignment="1">
      <alignment textRotation="90"/>
    </xf>
    <xf numFmtId="175" fontId="4" fillId="3" borderId="0" xfId="54" applyNumberFormat="1" applyFill="1" applyBorder="1" applyAlignment="1">
      <alignment textRotation="90"/>
    </xf>
    <xf numFmtId="175" fontId="4" fillId="3" borderId="27" xfId="54" applyNumberFormat="1" applyFill="1" applyBorder="1" applyAlignment="1">
      <alignment textRotation="90"/>
    </xf>
    <xf numFmtId="175" fontId="4" fillId="3" borderId="0" xfId="54" applyNumberFormat="1" applyFill="1" applyAlignment="1">
      <alignment textRotation="90"/>
    </xf>
    <xf numFmtId="0" fontId="4" fillId="3" borderId="0" xfId="189" applyFill="1"/>
    <xf numFmtId="175" fontId="4" fillId="3" borderId="0" xfId="54" applyNumberFormat="1" applyFill="1"/>
    <xf numFmtId="175" fontId="4" fillId="3" borderId="26" xfId="54" applyNumberFormat="1" applyFill="1" applyBorder="1"/>
    <xf numFmtId="175" fontId="4" fillId="3" borderId="0" xfId="54" applyNumberFormat="1" applyFill="1" applyBorder="1"/>
    <xf numFmtId="175" fontId="4" fillId="3" borderId="27" xfId="54" applyNumberFormat="1" applyFill="1" applyBorder="1"/>
    <xf numFmtId="175" fontId="4" fillId="3" borderId="10" xfId="54" applyNumberFormat="1" applyFill="1" applyBorder="1"/>
    <xf numFmtId="175" fontId="4" fillId="3" borderId="9" xfId="54" applyNumberFormat="1" applyFill="1" applyBorder="1"/>
    <xf numFmtId="175" fontId="4" fillId="3" borderId="8" xfId="54" applyNumberFormat="1" applyFill="1" applyBorder="1"/>
    <xf numFmtId="0" fontId="4" fillId="3" borderId="10" xfId="189" applyFill="1" applyBorder="1"/>
    <xf numFmtId="175" fontId="4" fillId="3" borderId="11" xfId="54" applyNumberFormat="1" applyFill="1" applyBorder="1"/>
    <xf numFmtId="175" fontId="4" fillId="3" borderId="28" xfId="54" applyNumberFormat="1" applyFill="1" applyBorder="1"/>
    <xf numFmtId="175" fontId="4" fillId="3" borderId="29" xfId="54" applyNumberFormat="1" applyFill="1" applyBorder="1"/>
    <xf numFmtId="14" fontId="0" fillId="0" borderId="0" xfId="0" applyNumberFormat="1" applyAlignment="1">
      <alignment horizontal="center"/>
    </xf>
    <xf numFmtId="0" fontId="0" fillId="40" borderId="0" xfId="0" applyFill="1"/>
    <xf numFmtId="0" fontId="6" fillId="0" borderId="5" xfId="3" applyFont="1" applyBorder="1" applyAlignment="1">
      <alignment horizontal="left" vertical="center" wrapText="1"/>
    </xf>
    <xf numFmtId="0" fontId="6" fillId="0" borderId="5" xfId="3" applyNumberFormat="1" applyFont="1" applyBorder="1" applyAlignment="1">
      <alignment horizontal="left" vertical="center" wrapText="1"/>
    </xf>
    <xf numFmtId="0" fontId="6" fillId="0" borderId="5" xfId="3" applyFont="1" applyBorder="1" applyAlignment="1">
      <alignment vertical="center" wrapText="1"/>
    </xf>
    <xf numFmtId="0" fontId="6" fillId="0" borderId="5" xfId="3" applyFont="1" applyBorder="1" applyAlignment="1">
      <alignment wrapText="1"/>
    </xf>
    <xf numFmtId="0" fontId="6" fillId="0" borderId="5" xfId="3" applyNumberFormat="1" applyFont="1" applyBorder="1" applyAlignment="1">
      <alignment vertical="center" wrapText="1"/>
    </xf>
    <xf numFmtId="0" fontId="2" fillId="0" borderId="0" xfId="0" applyFont="1" applyAlignment="1">
      <alignment wrapText="1"/>
    </xf>
    <xf numFmtId="0" fontId="2" fillId="3" borderId="0" xfId="104" applyFill="1"/>
    <xf numFmtId="0" fontId="2" fillId="0" borderId="0" xfId="104"/>
    <xf numFmtId="2" fontId="2" fillId="0" borderId="0" xfId="104" applyNumberFormat="1"/>
    <xf numFmtId="164" fontId="2" fillId="0" borderId="0" xfId="104" applyNumberFormat="1"/>
    <xf numFmtId="0" fontId="50" fillId="0" borderId="0" xfId="5" applyFont="1" applyFill="1" applyBorder="1" applyAlignment="1">
      <alignment horizontal="left" vertical="center"/>
    </xf>
    <xf numFmtId="0" fontId="2" fillId="0" borderId="6" xfId="104" applyBorder="1"/>
    <xf numFmtId="168" fontId="0" fillId="0" borderId="23" xfId="190" applyNumberFormat="1" applyFont="1" applyBorder="1"/>
    <xf numFmtId="0" fontId="2" fillId="0" borderId="24" xfId="104" applyBorder="1"/>
    <xf numFmtId="0" fontId="2" fillId="0" borderId="0" xfId="104" applyBorder="1" applyAlignment="1">
      <alignment horizontal="center"/>
    </xf>
    <xf numFmtId="0" fontId="51" fillId="0" borderId="9" xfId="5" applyFont="1" applyBorder="1" applyAlignment="1">
      <alignment vertical="center"/>
    </xf>
    <xf numFmtId="168" fontId="0" fillId="0" borderId="10" xfId="190" applyNumberFormat="1" applyFont="1" applyBorder="1"/>
    <xf numFmtId="0" fontId="51" fillId="0" borderId="8" xfId="5" applyFont="1" applyBorder="1" applyAlignment="1">
      <alignment vertical="center"/>
    </xf>
    <xf numFmtId="0" fontId="52" fillId="0" borderId="0" xfId="104" applyFont="1" applyBorder="1" applyAlignment="1">
      <alignment horizontal="left"/>
    </xf>
    <xf numFmtId="43" fontId="52" fillId="0" borderId="0" xfId="190" applyFont="1" applyBorder="1" applyAlignment="1">
      <alignment horizontal="right"/>
    </xf>
    <xf numFmtId="0" fontId="2" fillId="0" borderId="5" xfId="104" applyBorder="1" applyAlignment="1">
      <alignment horizontal="center" wrapText="1"/>
    </xf>
    <xf numFmtId="0" fontId="2" fillId="0" borderId="5" xfId="104" applyNumberFormat="1" applyBorder="1" applyAlignment="1">
      <alignment horizontal="center" wrapText="1"/>
    </xf>
    <xf numFmtId="0" fontId="2" fillId="0" borderId="0" xfId="104" applyNumberFormat="1" applyBorder="1" applyAlignment="1">
      <alignment horizontal="center" wrapText="1"/>
    </xf>
    <xf numFmtId="0" fontId="2" fillId="3" borderId="9" xfId="104" applyNumberFormat="1" applyFill="1" applyBorder="1" applyAlignment="1">
      <alignment horizontal="center" wrapText="1"/>
    </xf>
    <xf numFmtId="0" fontId="2" fillId="3" borderId="5" xfId="104" applyNumberFormat="1" applyFill="1" applyBorder="1" applyAlignment="1">
      <alignment horizontal="center" wrapText="1"/>
    </xf>
    <xf numFmtId="0" fontId="2" fillId="37" borderId="4" xfId="104" applyNumberFormat="1" applyFill="1" applyBorder="1" applyAlignment="1">
      <alignment horizontal="center" wrapText="1"/>
    </xf>
    <xf numFmtId="0" fontId="2" fillId="37" borderId="5" xfId="104" applyNumberFormat="1" applyFill="1" applyBorder="1" applyAlignment="1">
      <alignment horizontal="center" wrapText="1"/>
    </xf>
    <xf numFmtId="168" fontId="0" fillId="0" borderId="7" xfId="190" applyNumberFormat="1" applyFont="1" applyBorder="1"/>
    <xf numFmtId="43" fontId="0" fillId="0" borderId="7" xfId="190" applyFont="1" applyBorder="1"/>
    <xf numFmtId="43" fontId="0" fillId="0" borderId="24" xfId="190" applyFont="1" applyBorder="1"/>
    <xf numFmtId="43" fontId="0" fillId="0" borderId="6" xfId="190" applyFont="1" applyBorder="1"/>
    <xf numFmtId="0" fontId="2" fillId="0" borderId="7" xfId="104" applyBorder="1"/>
    <xf numFmtId="0" fontId="2" fillId="0" borderId="23" xfId="104" applyBorder="1"/>
    <xf numFmtId="164" fontId="2" fillId="0" borderId="23" xfId="104" applyNumberFormat="1" applyBorder="1"/>
    <xf numFmtId="164" fontId="2" fillId="0" borderId="7" xfId="104" applyNumberFormat="1" applyBorder="1"/>
    <xf numFmtId="2" fontId="2" fillId="0" borderId="23" xfId="104" applyNumberFormat="1" applyBorder="1"/>
    <xf numFmtId="0" fontId="2" fillId="0" borderId="26" xfId="104" applyBorder="1"/>
    <xf numFmtId="168" fontId="0" fillId="0" borderId="25" xfId="190" applyNumberFormat="1" applyFont="1" applyBorder="1"/>
    <xf numFmtId="43" fontId="0" fillId="0" borderId="25" xfId="190" applyFont="1" applyBorder="1"/>
    <xf numFmtId="168" fontId="0" fillId="0" borderId="0" xfId="190" applyNumberFormat="1" applyFont="1" applyBorder="1"/>
    <xf numFmtId="43" fontId="0" fillId="0" borderId="26" xfId="190" applyFont="1" applyBorder="1"/>
    <xf numFmtId="43" fontId="2" fillId="0" borderId="25" xfId="104" applyNumberFormat="1" applyBorder="1"/>
    <xf numFmtId="173" fontId="2" fillId="0" borderId="0" xfId="104" applyNumberFormat="1" applyBorder="1"/>
    <xf numFmtId="173" fontId="2" fillId="0" borderId="25" xfId="104" applyNumberFormat="1" applyBorder="1"/>
    <xf numFmtId="164" fontId="2" fillId="0" borderId="0" xfId="104" applyNumberFormat="1" applyBorder="1"/>
    <xf numFmtId="164" fontId="2" fillId="0" borderId="25" xfId="104" applyNumberFormat="1" applyBorder="1"/>
    <xf numFmtId="2" fontId="2" fillId="0" borderId="0" xfId="104" applyNumberFormat="1" applyBorder="1"/>
    <xf numFmtId="0" fontId="2" fillId="0" borderId="11" xfId="104" applyBorder="1"/>
    <xf numFmtId="168" fontId="0" fillId="0" borderId="4" xfId="190" applyNumberFormat="1" applyFont="1" applyBorder="1"/>
    <xf numFmtId="43" fontId="0" fillId="0" borderId="4" xfId="190" applyFont="1" applyBorder="1"/>
    <xf numFmtId="168" fontId="0" fillId="0" borderId="28" xfId="190" applyNumberFormat="1" applyFont="1" applyBorder="1"/>
    <xf numFmtId="43" fontId="0" fillId="0" borderId="11" xfId="190" applyFont="1" applyBorder="1"/>
    <xf numFmtId="43" fontId="2" fillId="0" borderId="4" xfId="104" applyNumberFormat="1" applyBorder="1"/>
    <xf numFmtId="173" fontId="2" fillId="0" borderId="28" xfId="104" applyNumberFormat="1" applyBorder="1"/>
    <xf numFmtId="173" fontId="2" fillId="0" borderId="4" xfId="104" applyNumberFormat="1" applyBorder="1"/>
    <xf numFmtId="164" fontId="2" fillId="0" borderId="28" xfId="104" applyNumberFormat="1" applyBorder="1"/>
    <xf numFmtId="164" fontId="2" fillId="0" borderId="4" xfId="104" applyNumberFormat="1" applyBorder="1"/>
    <xf numFmtId="2" fontId="2" fillId="0" borderId="28" xfId="104" applyNumberFormat="1" applyBorder="1"/>
    <xf numFmtId="43" fontId="0" fillId="0" borderId="27" xfId="190" applyFont="1" applyBorder="1"/>
    <xf numFmtId="0" fontId="0" fillId="0" borderId="0" xfId="0" applyFill="1" applyBorder="1"/>
    <xf numFmtId="0" fontId="0" fillId="0" borderId="0" xfId="0" applyFill="1" applyBorder="1" applyAlignment="1">
      <alignment wrapText="1"/>
    </xf>
    <xf numFmtId="0" fontId="44" fillId="0" borderId="0" xfId="0" applyFont="1" applyFill="1" applyBorder="1" applyAlignment="1">
      <alignment wrapText="1"/>
    </xf>
    <xf numFmtId="0" fontId="0" fillId="0" borderId="0" xfId="0" applyFill="1" applyBorder="1" applyAlignment="1">
      <alignment horizontal="left"/>
    </xf>
    <xf numFmtId="168" fontId="0" fillId="0" borderId="0" xfId="0" applyNumberFormat="1" applyFill="1" applyBorder="1"/>
    <xf numFmtId="1" fontId="0" fillId="0" borderId="0" xfId="0" applyNumberFormat="1" applyFill="1" applyBorder="1" applyAlignment="1">
      <alignment horizontal="left"/>
    </xf>
    <xf numFmtId="0" fontId="0" fillId="0" borderId="0" xfId="0" applyFill="1" applyBorder="1" applyAlignment="1">
      <alignment horizontal="left" wrapText="1"/>
    </xf>
    <xf numFmtId="168" fontId="0" fillId="0" borderId="0" xfId="0" applyNumberFormat="1" applyFill="1" applyBorder="1" applyAlignment="1">
      <alignment wrapText="1"/>
    </xf>
    <xf numFmtId="0" fontId="48" fillId="0" borderId="0" xfId="0" applyFont="1" applyFill="1" applyBorder="1"/>
    <xf numFmtId="1" fontId="0" fillId="0" borderId="0" xfId="0" applyNumberFormat="1" applyFill="1" applyBorder="1" applyAlignment="1">
      <alignment horizontal="center"/>
    </xf>
    <xf numFmtId="9" fontId="0" fillId="0" borderId="0" xfId="0" applyNumberFormat="1" applyFill="1" applyBorder="1"/>
    <xf numFmtId="174" fontId="0" fillId="0" borderId="0" xfId="2" applyNumberFormat="1" applyFont="1" applyFill="1" applyBorder="1"/>
    <xf numFmtId="6" fontId="0" fillId="0" borderId="0" xfId="0" applyNumberFormat="1" applyFill="1" applyBorder="1"/>
    <xf numFmtId="0" fontId="44" fillId="0" borderId="0" xfId="0" applyFont="1" applyFill="1" applyBorder="1"/>
    <xf numFmtId="0" fontId="44" fillId="0" borderId="0" xfId="0" applyFont="1" applyFill="1" applyBorder="1" applyAlignment="1">
      <alignment horizontal="left"/>
    </xf>
    <xf numFmtId="168" fontId="44" fillId="0" borderId="0" xfId="0" applyNumberFormat="1" applyFont="1" applyFill="1" applyBorder="1"/>
    <xf numFmtId="0" fontId="44" fillId="0" borderId="0" xfId="0" applyFont="1" applyFill="1" applyBorder="1" applyAlignment="1">
      <alignment horizontal="left" wrapText="1"/>
    </xf>
    <xf numFmtId="168" fontId="44" fillId="0" borderId="0" xfId="0" applyNumberFormat="1" applyFont="1" applyFill="1" applyBorder="1" applyAlignment="1">
      <alignment wrapText="1"/>
    </xf>
    <xf numFmtId="0" fontId="47" fillId="3" borderId="0" xfId="191" applyFont="1" applyFill="1" applyAlignment="1">
      <alignment horizontal="left" vertical="center"/>
    </xf>
    <xf numFmtId="0" fontId="1" fillId="3" borderId="0" xfId="191" applyFill="1"/>
    <xf numFmtId="0" fontId="1" fillId="0" borderId="0" xfId="191"/>
    <xf numFmtId="0" fontId="44" fillId="42" borderId="0" xfId="191" applyFont="1" applyFill="1"/>
    <xf numFmtId="0" fontId="44" fillId="50" borderId="0" xfId="191" applyFont="1" applyFill="1"/>
    <xf numFmtId="0" fontId="44" fillId="42" borderId="32" xfId="191" applyFont="1" applyFill="1" applyBorder="1"/>
    <xf numFmtId="0" fontId="44" fillId="49" borderId="5" xfId="191" applyFont="1" applyFill="1" applyBorder="1" applyAlignment="1">
      <alignment wrapText="1"/>
    </xf>
    <xf numFmtId="0" fontId="44" fillId="42" borderId="0" xfId="191" applyFont="1" applyFill="1" applyBorder="1" applyAlignment="1">
      <alignment wrapText="1"/>
    </xf>
    <xf numFmtId="0" fontId="44" fillId="50" borderId="32" xfId="191" applyFont="1" applyFill="1" applyBorder="1"/>
    <xf numFmtId="0" fontId="44" fillId="50" borderId="32" xfId="191" applyFont="1" applyFill="1" applyBorder="1" applyAlignment="1">
      <alignment wrapText="1"/>
    </xf>
    <xf numFmtId="0" fontId="1" fillId="0" borderId="0" xfId="191" applyAlignment="1">
      <alignment horizontal="left"/>
    </xf>
    <xf numFmtId="168" fontId="1" fillId="0" borderId="0" xfId="191" applyNumberFormat="1"/>
    <xf numFmtId="9" fontId="1" fillId="0" borderId="0" xfId="191" applyNumberFormat="1"/>
    <xf numFmtId="168" fontId="1" fillId="50" borderId="0" xfId="191" applyNumberFormat="1" applyFill="1"/>
    <xf numFmtId="9" fontId="1" fillId="50" borderId="0" xfId="191" applyNumberFormat="1" applyFill="1"/>
    <xf numFmtId="0" fontId="44" fillId="42" borderId="33" xfId="191" applyFont="1" applyFill="1" applyBorder="1" applyAlignment="1">
      <alignment horizontal="left"/>
    </xf>
    <xf numFmtId="168" fontId="44" fillId="42" borderId="33" xfId="191" applyNumberFormat="1" applyFont="1" applyFill="1" applyBorder="1"/>
    <xf numFmtId="9" fontId="44" fillId="42" borderId="33" xfId="191" applyNumberFormat="1" applyFont="1" applyFill="1" applyBorder="1"/>
    <xf numFmtId="168" fontId="44" fillId="42" borderId="0" xfId="191" applyNumberFormat="1" applyFont="1" applyFill="1" applyBorder="1"/>
    <xf numFmtId="0" fontId="44" fillId="50" borderId="0" xfId="191" applyFont="1" applyFill="1" applyBorder="1" applyAlignment="1">
      <alignment wrapText="1"/>
    </xf>
    <xf numFmtId="168" fontId="42" fillId="0" borderId="0" xfId="191" applyNumberFormat="1" applyFont="1"/>
    <xf numFmtId="0" fontId="52" fillId="0" borderId="0" xfId="104" applyFont="1"/>
    <xf numFmtId="9" fontId="1" fillId="0" borderId="0" xfId="188"/>
    <xf numFmtId="0" fontId="44" fillId="50" borderId="0" xfId="0" applyFont="1" applyFill="1"/>
    <xf numFmtId="0" fontId="44" fillId="50" borderId="32" xfId="0" applyFont="1" applyFill="1" applyBorder="1"/>
    <xf numFmtId="168" fontId="0" fillId="50" borderId="0" xfId="0" applyNumberFormat="1" applyFill="1"/>
    <xf numFmtId="9" fontId="0" fillId="50" borderId="0" xfId="0" applyNumberFormat="1" applyFill="1"/>
    <xf numFmtId="0" fontId="0" fillId="0" borderId="0" xfId="191" applyFont="1"/>
    <xf numFmtId="0" fontId="0" fillId="0" borderId="6" xfId="191" applyFont="1" applyBorder="1"/>
    <xf numFmtId="0" fontId="1" fillId="0" borderId="23" xfId="191" applyBorder="1"/>
    <xf numFmtId="0" fontId="1" fillId="0" borderId="24" xfId="191" applyBorder="1"/>
    <xf numFmtId="0" fontId="1" fillId="0" borderId="26" xfId="191" applyBorder="1"/>
    <xf numFmtId="0" fontId="53" fillId="0" borderId="0" xfId="191" applyFont="1" applyBorder="1" applyAlignment="1">
      <alignment wrapText="1"/>
    </xf>
    <xf numFmtId="0" fontId="53" fillId="0" borderId="27" xfId="191" applyFont="1" applyBorder="1" applyAlignment="1">
      <alignment wrapText="1"/>
    </xf>
    <xf numFmtId="0" fontId="53" fillId="0" borderId="26" xfId="191" applyFont="1" applyBorder="1"/>
    <xf numFmtId="9" fontId="1" fillId="0" borderId="0" xfId="188" applyBorder="1"/>
    <xf numFmtId="9" fontId="1" fillId="0" borderId="27" xfId="188" applyBorder="1"/>
    <xf numFmtId="0" fontId="53" fillId="0" borderId="11" xfId="191" applyFont="1" applyBorder="1"/>
    <xf numFmtId="9" fontId="1" fillId="0" borderId="28" xfId="188" applyBorder="1"/>
    <xf numFmtId="9" fontId="1" fillId="0" borderId="29" xfId="188" applyBorder="1"/>
    <xf numFmtId="0" fontId="1" fillId="0" borderId="0" xfId="191" applyBorder="1"/>
    <xf numFmtId="0" fontId="2" fillId="3" borderId="0" xfId="104" applyFill="1" applyAlignment="1">
      <alignment wrapText="1"/>
    </xf>
    <xf numFmtId="9" fontId="42" fillId="0" borderId="0" xfId="188" applyFont="1"/>
    <xf numFmtId="0" fontId="42" fillId="51" borderId="0" xfId="191" applyFont="1" applyFill="1" applyAlignment="1">
      <alignment wrapText="1"/>
    </xf>
    <xf numFmtId="176" fontId="1" fillId="0" borderId="0" xfId="188" applyNumberFormat="1"/>
    <xf numFmtId="9" fontId="1" fillId="0" borderId="28" xfId="191" applyNumberFormat="1" applyBorder="1"/>
    <xf numFmtId="9" fontId="1" fillId="0" borderId="0" xfId="191" applyNumberFormat="1" applyBorder="1"/>
    <xf numFmtId="0" fontId="44" fillId="0" borderId="32" xfId="0" applyFont="1" applyBorder="1" applyAlignment="1">
      <alignment horizontal="left"/>
    </xf>
    <xf numFmtId="168" fontId="44" fillId="0" borderId="32" xfId="0" applyNumberFormat="1" applyFont="1" applyBorder="1"/>
    <xf numFmtId="9" fontId="44" fillId="0" borderId="32" xfId="0" applyNumberFormat="1" applyFont="1" applyBorder="1"/>
    <xf numFmtId="0" fontId="0" fillId="0" borderId="0" xfId="0" applyAlignment="1">
      <alignment horizontal="left" indent="1"/>
    </xf>
    <xf numFmtId="168" fontId="53" fillId="0" borderId="0" xfId="1" applyNumberFormat="1" applyFont="1" applyBorder="1"/>
    <xf numFmtId="168" fontId="53" fillId="0" borderId="27" xfId="1" applyNumberFormat="1" applyFont="1" applyBorder="1"/>
    <xf numFmtId="168" fontId="53" fillId="0" borderId="28" xfId="1" applyNumberFormat="1" applyFont="1" applyBorder="1"/>
    <xf numFmtId="168" fontId="53" fillId="0" borderId="29" xfId="1" applyNumberFormat="1" applyFont="1" applyBorder="1"/>
    <xf numFmtId="9" fontId="2" fillId="0" borderId="0" xfId="188" applyFont="1"/>
    <xf numFmtId="164" fontId="52" fillId="0" borderId="0" xfId="104" applyNumberFormat="1" applyFont="1"/>
    <xf numFmtId="2" fontId="52" fillId="0" borderId="0" xfId="104" applyNumberFormat="1" applyFont="1"/>
    <xf numFmtId="1" fontId="2" fillId="0" borderId="0" xfId="104" applyNumberFormat="1"/>
    <xf numFmtId="6" fontId="2" fillId="0" borderId="0" xfId="104" applyNumberFormat="1"/>
    <xf numFmtId="0" fontId="55" fillId="52" borderId="9" xfId="0" applyFont="1" applyFill="1" applyBorder="1" applyAlignment="1">
      <alignment horizontal="left" readingOrder="1"/>
    </xf>
    <xf numFmtId="0" fontId="55" fillId="52" borderId="8" xfId="0" applyFont="1" applyFill="1" applyBorder="1" applyAlignment="1">
      <alignment horizontal="center" wrapText="1" readingOrder="1"/>
    </xf>
    <xf numFmtId="0" fontId="13" fillId="33" borderId="5" xfId="0" applyFont="1" applyFill="1" applyBorder="1" applyAlignment="1">
      <alignment horizontal="center" wrapText="1" readingOrder="1"/>
    </xf>
    <xf numFmtId="0" fontId="13" fillId="33" borderId="8" xfId="0" applyFont="1" applyFill="1" applyBorder="1" applyAlignment="1">
      <alignment horizontal="center" wrapText="1" readingOrder="1"/>
    </xf>
    <xf numFmtId="0" fontId="13" fillId="34" borderId="5" xfId="0" applyFont="1" applyFill="1" applyBorder="1" applyAlignment="1">
      <alignment horizontal="center" wrapText="1" readingOrder="1"/>
    </xf>
    <xf numFmtId="0" fontId="13" fillId="34" borderId="8" xfId="0" applyFont="1" applyFill="1" applyBorder="1" applyAlignment="1">
      <alignment horizontal="center" wrapText="1" readingOrder="1"/>
    </xf>
    <xf numFmtId="164" fontId="12" fillId="0" borderId="0" xfId="0" applyNumberFormat="1" applyFont="1">
      <alignment readingOrder="1"/>
    </xf>
    <xf numFmtId="164" fontId="56" fillId="0" borderId="0" xfId="0" applyNumberFormat="1" applyFont="1">
      <alignment readingOrder="1"/>
    </xf>
    <xf numFmtId="0" fontId="55" fillId="53" borderId="9" xfId="0" applyFont="1" applyFill="1" applyBorder="1" applyAlignment="1">
      <alignment horizontal="left" wrapText="1" readingOrder="1"/>
    </xf>
    <xf numFmtId="0" fontId="55" fillId="53" borderId="8" xfId="0" applyFont="1" applyFill="1" applyBorder="1" applyAlignment="1">
      <alignment horizontal="center" wrapText="1" readingOrder="1"/>
    </xf>
    <xf numFmtId="0" fontId="55" fillId="52" borderId="10" xfId="0" applyFont="1" applyFill="1" applyBorder="1" applyAlignment="1">
      <alignment horizontal="center" wrapText="1" readingOrder="1"/>
    </xf>
    <xf numFmtId="0" fontId="0" fillId="0" borderId="34" xfId="0" applyBorder="1">
      <alignment readingOrder="1"/>
    </xf>
    <xf numFmtId="0" fontId="0" fillId="0" borderId="35" xfId="0" applyBorder="1">
      <alignment readingOrder="1"/>
    </xf>
    <xf numFmtId="0" fontId="0" fillId="0" borderId="36" xfId="0" applyBorder="1">
      <alignment readingOrder="1"/>
    </xf>
    <xf numFmtId="0" fontId="0" fillId="0" borderId="37" xfId="0" applyBorder="1">
      <alignment readingOrder="1"/>
    </xf>
    <xf numFmtId="0" fontId="0" fillId="0" borderId="0" xfId="0" applyBorder="1">
      <alignment readingOrder="1"/>
    </xf>
    <xf numFmtId="0" fontId="0" fillId="0" borderId="38" xfId="0" applyBorder="1">
      <alignment readingOrder="1"/>
    </xf>
    <xf numFmtId="0" fontId="0" fillId="0" borderId="39" xfId="0" applyBorder="1">
      <alignment readingOrder="1"/>
    </xf>
    <xf numFmtId="0" fontId="0" fillId="0" borderId="40" xfId="0" applyBorder="1">
      <alignment readingOrder="1"/>
    </xf>
    <xf numFmtId="0" fontId="0" fillId="0" borderId="41" xfId="0" applyBorder="1">
      <alignment readingOrder="1"/>
    </xf>
    <xf numFmtId="0" fontId="13" fillId="54" borderId="1" xfId="0" applyFont="1" applyFill="1" applyBorder="1" applyAlignment="1">
      <alignment horizontal="centerContinuous" wrapText="1" readingOrder="1"/>
    </xf>
    <xf numFmtId="0" fontId="13" fillId="54" borderId="3" xfId="0" applyFont="1" applyFill="1" applyBorder="1" applyAlignment="1">
      <alignment horizontal="centerContinuous" wrapText="1" readingOrder="1"/>
    </xf>
    <xf numFmtId="164" fontId="13" fillId="54" borderId="1" xfId="0" applyNumberFormat="1" applyFont="1" applyFill="1" applyBorder="1" applyAlignment="1">
      <alignment horizontal="centerContinuous" wrapText="1" readingOrder="1"/>
    </xf>
    <xf numFmtId="164" fontId="13" fillId="54" borderId="2" xfId="0" applyNumberFormat="1" applyFont="1" applyFill="1" applyBorder="1" applyAlignment="1">
      <alignment horizontal="centerContinuous" wrapText="1" readingOrder="1"/>
    </xf>
    <xf numFmtId="164" fontId="13" fillId="54" borderId="3" xfId="0" applyNumberFormat="1" applyFont="1" applyFill="1" applyBorder="1" applyAlignment="1">
      <alignment horizontal="centerContinuous" wrapText="1" readingOrder="1"/>
    </xf>
    <xf numFmtId="164" fontId="13" fillId="54" borderId="10" xfId="0" applyNumberFormat="1" applyFont="1" applyFill="1" applyBorder="1" applyAlignment="1">
      <alignment horizontal="center" wrapText="1" readingOrder="1"/>
    </xf>
    <xf numFmtId="177" fontId="13" fillId="34" borderId="8" xfId="0" applyNumberFormat="1" applyFont="1" applyFill="1" applyBorder="1" applyAlignment="1">
      <alignment horizontal="center" wrapText="1" readingOrder="1"/>
    </xf>
    <xf numFmtId="0" fontId="13" fillId="33" borderId="1" xfId="0" applyFont="1" applyFill="1" applyBorder="1" applyAlignment="1">
      <alignment horizontal="centerContinuous" wrapText="1" readingOrder="1"/>
    </xf>
    <xf numFmtId="0" fontId="13" fillId="33" borderId="2" xfId="0" applyFont="1" applyFill="1" applyBorder="1" applyAlignment="1">
      <alignment horizontal="centerContinuous" wrapText="1" readingOrder="1"/>
    </xf>
    <xf numFmtId="164" fontId="13" fillId="33" borderId="2" xfId="0" applyNumberFormat="1" applyFont="1" applyFill="1" applyBorder="1" applyAlignment="1">
      <alignment horizontal="centerContinuous" wrapText="1" readingOrder="1"/>
    </xf>
    <xf numFmtId="164" fontId="13" fillId="33" borderId="10" xfId="0" applyNumberFormat="1" applyFont="1" applyFill="1" applyBorder="1" applyAlignment="1">
      <alignment horizontal="center" wrapText="1" readingOrder="1"/>
    </xf>
    <xf numFmtId="164" fontId="13" fillId="33" borderId="1" xfId="0" applyNumberFormat="1" applyFont="1" applyFill="1" applyBorder="1" applyAlignment="1">
      <alignment horizontal="centerContinuous" wrapText="1" readingOrder="1"/>
    </xf>
    <xf numFmtId="0" fontId="14" fillId="0" borderId="0" xfId="0" applyFont="1">
      <alignment readingOrder="1"/>
    </xf>
    <xf numFmtId="164" fontId="14" fillId="0" borderId="0" xfId="0" applyNumberFormat="1" applyFont="1">
      <alignment readingOrder="1"/>
    </xf>
    <xf numFmtId="178" fontId="14" fillId="0" borderId="0" xfId="0" applyNumberFormat="1" applyFont="1">
      <alignment readingOrder="1"/>
    </xf>
    <xf numFmtId="178" fontId="0" fillId="0" borderId="0" xfId="0" applyNumberFormat="1">
      <alignment readingOrder="1"/>
    </xf>
    <xf numFmtId="178" fontId="56" fillId="0" borderId="0" xfId="0" applyNumberFormat="1" applyFont="1">
      <alignment readingOrder="1"/>
    </xf>
    <xf numFmtId="176" fontId="2" fillId="0" borderId="0" xfId="188" applyNumberFormat="1" applyFont="1"/>
    <xf numFmtId="0" fontId="0" fillId="3" borderId="6" xfId="0" applyFill="1" applyBorder="1">
      <alignment readingOrder="1"/>
    </xf>
    <xf numFmtId="0" fontId="0" fillId="3" borderId="26" xfId="0" applyFill="1" applyBorder="1">
      <alignment readingOrder="1"/>
    </xf>
    <xf numFmtId="0" fontId="54" fillId="0" borderId="0" xfId="0" applyFont="1">
      <alignment readingOrder="1"/>
    </xf>
    <xf numFmtId="0" fontId="0" fillId="3" borderId="11" xfId="0" applyFill="1" applyBorder="1">
      <alignment readingOrder="1"/>
    </xf>
    <xf numFmtId="1" fontId="42" fillId="41" borderId="0" xfId="0" applyNumberFormat="1" applyFont="1" applyFill="1" applyAlignment="1">
      <alignment horizontal="center" readingOrder="1"/>
    </xf>
    <xf numFmtId="0" fontId="0" fillId="51" borderId="0" xfId="0" applyFill="1">
      <alignment readingOrder="1"/>
    </xf>
    <xf numFmtId="9" fontId="0" fillId="51" borderId="0" xfId="0" applyNumberFormat="1" applyFill="1" applyAlignment="1">
      <alignment horizontal="center"/>
    </xf>
    <xf numFmtId="1" fontId="0" fillId="0" borderId="0" xfId="0" quotePrefix="1" applyNumberFormat="1" applyFill="1">
      <alignment readingOrder="1"/>
    </xf>
    <xf numFmtId="168" fontId="43" fillId="0" borderId="0" xfId="54" applyNumberFormat="1" applyFont="1" applyFill="1">
      <alignment readingOrder="1"/>
    </xf>
    <xf numFmtId="168" fontId="0" fillId="0" borderId="0" xfId="54" applyNumberFormat="1" applyFont="1">
      <alignment readingOrder="1"/>
    </xf>
    <xf numFmtId="168" fontId="0" fillId="0" borderId="0" xfId="54" applyNumberFormat="1" applyFont="1"/>
    <xf numFmtId="1" fontId="0" fillId="0" borderId="0" xfId="0" applyNumberFormat="1"/>
    <xf numFmtId="9" fontId="0" fillId="0" borderId="0" xfId="169" applyFont="1">
      <alignment readingOrder="1"/>
    </xf>
    <xf numFmtId="9" fontId="6" fillId="0" borderId="0" xfId="169" applyFont="1" applyAlignment="1">
      <alignment horizontal="center" readingOrder="1"/>
    </xf>
    <xf numFmtId="168" fontId="0" fillId="39" borderId="0" xfId="0" applyNumberFormat="1" applyFill="1"/>
    <xf numFmtId="173" fontId="0" fillId="0" borderId="0" xfId="54" applyNumberFormat="1" applyFont="1">
      <alignment readingOrder="1"/>
    </xf>
    <xf numFmtId="9" fontId="0" fillId="0" borderId="0" xfId="169" applyFont="1" applyAlignment="1">
      <alignment horizontal="center"/>
    </xf>
    <xf numFmtId="164" fontId="0" fillId="0" borderId="0" xfId="0" applyNumberFormat="1"/>
    <xf numFmtId="0" fontId="42" fillId="0" borderId="0" xfId="0" applyFont="1"/>
    <xf numFmtId="173" fontId="0" fillId="0" borderId="0" xfId="0" applyNumberFormat="1"/>
    <xf numFmtId="43" fontId="0" fillId="0" borderId="0" xfId="0" applyNumberFormat="1"/>
    <xf numFmtId="0" fontId="0" fillId="55" borderId="0" xfId="0" applyFill="1">
      <alignment readingOrder="1"/>
    </xf>
    <xf numFmtId="1" fontId="6" fillId="0" borderId="0" xfId="0" applyNumberFormat="1" applyFont="1"/>
    <xf numFmtId="43" fontId="0" fillId="0" borderId="0" xfId="54" applyNumberFormat="1" applyFont="1">
      <alignment readingOrder="1"/>
    </xf>
    <xf numFmtId="173" fontId="0" fillId="55" borderId="0" xfId="54" applyNumberFormat="1" applyFont="1" applyFill="1">
      <alignment readingOrder="1"/>
    </xf>
    <xf numFmtId="172" fontId="0" fillId="0" borderId="0" xfId="0" applyNumberFormat="1"/>
    <xf numFmtId="168" fontId="0" fillId="0" borderId="0" xfId="54" applyNumberFormat="1" applyFont="1" applyFill="1">
      <alignment readingOrder="1"/>
    </xf>
    <xf numFmtId="1" fontId="6" fillId="0" borderId="0" xfId="0" applyNumberFormat="1" applyFont="1">
      <alignment readingOrder="1"/>
    </xf>
    <xf numFmtId="1" fontId="0" fillId="55" borderId="0" xfId="0" applyNumberFormat="1" applyFill="1">
      <alignment readingOrder="1"/>
    </xf>
    <xf numFmtId="0" fontId="42" fillId="56" borderId="0" xfId="0" applyFont="1" applyFill="1"/>
    <xf numFmtId="173" fontId="0" fillId="0" borderId="0" xfId="54" applyNumberFormat="1" applyFont="1"/>
    <xf numFmtId="9" fontId="2" fillId="0" borderId="0" xfId="104" applyNumberFormat="1"/>
    <xf numFmtId="9" fontId="42" fillId="56" borderId="0" xfId="188" applyFont="1" applyFill="1"/>
    <xf numFmtId="0" fontId="0" fillId="56" borderId="5" xfId="0" applyFill="1" applyBorder="1"/>
    <xf numFmtId="9" fontId="0" fillId="56" borderId="5" xfId="188" applyFont="1" applyFill="1" applyBorder="1"/>
    <xf numFmtId="0" fontId="53" fillId="0" borderId="0" xfId="0" applyFont="1"/>
    <xf numFmtId="43" fontId="0" fillId="39" borderId="0" xfId="0" applyNumberFormat="1" applyFill="1"/>
    <xf numFmtId="175" fontId="0" fillId="0" borderId="0" xfId="0" applyNumberFormat="1"/>
    <xf numFmtId="179" fontId="0" fillId="0" borderId="0" xfId="0" applyNumberFormat="1"/>
    <xf numFmtId="173" fontId="0" fillId="55" borderId="0" xfId="0" applyNumberFormat="1" applyFill="1"/>
    <xf numFmtId="180" fontId="0" fillId="0" borderId="0" xfId="0" applyNumberFormat="1">
      <alignment readingOrder="1"/>
    </xf>
    <xf numFmtId="167" fontId="0" fillId="10" borderId="0" xfId="0" applyNumberFormat="1" applyFill="1" applyAlignment="1">
      <alignment horizontal="center" readingOrder="1"/>
    </xf>
    <xf numFmtId="164" fontId="0" fillId="10" borderId="0" xfId="0" applyNumberFormat="1" applyFill="1" applyAlignment="1">
      <alignment horizontal="center" readingOrder="1"/>
    </xf>
    <xf numFmtId="0" fontId="57" fillId="2" borderId="6" xfId="0" applyNumberFormat="1" applyFont="1" applyFill="1" applyBorder="1" applyAlignment="1">
      <alignment horizontal="left" vertical="center" wrapText="1" readingOrder="1"/>
    </xf>
    <xf numFmtId="0" fontId="57" fillId="2" borderId="23" xfId="0" applyNumberFormat="1" applyFont="1" applyFill="1" applyBorder="1" applyAlignment="1">
      <alignment horizontal="left" vertical="center" wrapText="1" readingOrder="1"/>
    </xf>
    <xf numFmtId="0" fontId="57" fillId="2" borderId="24" xfId="0" applyNumberFormat="1" applyFont="1" applyFill="1" applyBorder="1" applyAlignment="1">
      <alignment horizontal="left" vertical="center" wrapText="1" readingOrder="1"/>
    </xf>
    <xf numFmtId="0" fontId="57" fillId="2" borderId="26" xfId="0" applyNumberFormat="1" applyFont="1" applyFill="1" applyBorder="1" applyAlignment="1">
      <alignment horizontal="left" vertical="center" wrapText="1" readingOrder="1"/>
    </xf>
    <xf numFmtId="0" fontId="57" fillId="2" borderId="0" xfId="0" applyNumberFormat="1" applyFont="1" applyFill="1" applyBorder="1" applyAlignment="1">
      <alignment horizontal="left" vertical="center" wrapText="1" readingOrder="1"/>
    </xf>
    <xf numFmtId="0" fontId="57" fillId="2" borderId="27" xfId="0" applyNumberFormat="1" applyFont="1" applyFill="1" applyBorder="1" applyAlignment="1">
      <alignment horizontal="left" vertical="center" wrapText="1" readingOrder="1"/>
    </xf>
    <xf numFmtId="0" fontId="57" fillId="2" borderId="28" xfId="0" applyNumberFormat="1" applyFont="1" applyFill="1" applyBorder="1" applyAlignment="1">
      <alignment horizontal="left" vertical="center" wrapText="1" readingOrder="1"/>
    </xf>
    <xf numFmtId="0" fontId="57" fillId="2" borderId="29" xfId="0" applyNumberFormat="1" applyFont="1" applyFill="1" applyBorder="1" applyAlignment="1">
      <alignment horizontal="left" vertical="center" wrapText="1" readingOrder="1"/>
    </xf>
    <xf numFmtId="0" fontId="13" fillId="5" borderId="9" xfId="6" applyFont="1" applyFill="1" applyBorder="1" applyAlignment="1">
      <alignment horizontal="center"/>
    </xf>
    <xf numFmtId="0" fontId="13" fillId="5" borderId="10" xfId="6" applyFont="1" applyFill="1" applyBorder="1" applyAlignment="1">
      <alignment horizontal="center"/>
    </xf>
    <xf numFmtId="0" fontId="13" fillId="5" borderId="8" xfId="6" applyFont="1" applyFill="1" applyBorder="1" applyAlignment="1">
      <alignment horizontal="center"/>
    </xf>
    <xf numFmtId="0" fontId="10" fillId="6" borderId="5" xfId="0" applyFont="1" applyFill="1" applyBorder="1" applyAlignment="1">
      <alignment horizontal="center"/>
    </xf>
    <xf numFmtId="0" fontId="14" fillId="0" borderId="5" xfId="0" applyFont="1" applyBorder="1" applyAlignment="1">
      <alignment horizontal="center"/>
    </xf>
    <xf numFmtId="0" fontId="14" fillId="8" borderId="5" xfId="6" applyFont="1" applyFill="1" applyBorder="1" applyAlignment="1">
      <alignment horizontal="center"/>
    </xf>
    <xf numFmtId="0" fontId="44" fillId="49" borderId="5" xfId="191" applyFont="1" applyFill="1" applyBorder="1" applyAlignment="1">
      <alignment horizontal="center"/>
    </xf>
    <xf numFmtId="0" fontId="2" fillId="37" borderId="9" xfId="104" applyFill="1" applyBorder="1" applyAlignment="1">
      <alignment horizontal="center"/>
    </xf>
    <xf numFmtId="0" fontId="2" fillId="37" borderId="10" xfId="104" applyFill="1" applyBorder="1" applyAlignment="1">
      <alignment horizontal="center"/>
    </xf>
    <xf numFmtId="0" fontId="2" fillId="37" borderId="8" xfId="104" applyFill="1" applyBorder="1" applyAlignment="1">
      <alignment horizontal="center"/>
    </xf>
    <xf numFmtId="0" fontId="2" fillId="0" borderId="11" xfId="104" applyBorder="1" applyAlignment="1">
      <alignment horizontal="center"/>
    </xf>
    <xf numFmtId="0" fontId="2" fillId="0" borderId="29" xfId="104" applyBorder="1" applyAlignment="1">
      <alignment horizontal="center"/>
    </xf>
    <xf numFmtId="0" fontId="2" fillId="0" borderId="5" xfId="104" applyBorder="1" applyAlignment="1">
      <alignment horizontal="center" vertical="center"/>
    </xf>
    <xf numFmtId="0" fontId="2" fillId="3" borderId="5" xfId="104" applyFill="1" applyBorder="1" applyAlignment="1">
      <alignment horizontal="center"/>
    </xf>
    <xf numFmtId="0" fontId="50" fillId="0" borderId="9" xfId="5" applyFont="1" applyFill="1" applyBorder="1" applyAlignment="1">
      <alignment horizontal="left" vertical="center"/>
    </xf>
    <xf numFmtId="0" fontId="50" fillId="0" borderId="10" xfId="5" applyFont="1" applyFill="1" applyBorder="1" applyAlignment="1">
      <alignment horizontal="left" vertical="center"/>
    </xf>
    <xf numFmtId="0" fontId="50" fillId="0" borderId="8" xfId="5" applyFont="1" applyFill="1" applyBorder="1" applyAlignment="1">
      <alignment horizontal="left" vertical="center"/>
    </xf>
    <xf numFmtId="0" fontId="2" fillId="0" borderId="23" xfId="104" applyBorder="1" applyAlignment="1">
      <alignment horizontal="center"/>
    </xf>
    <xf numFmtId="0" fontId="2" fillId="0" borderId="24" xfId="104" applyBorder="1" applyAlignment="1">
      <alignment horizontal="center"/>
    </xf>
    <xf numFmtId="0" fontId="2" fillId="0" borderId="26" xfId="104" applyBorder="1" applyAlignment="1">
      <alignment horizontal="center"/>
    </xf>
    <xf numFmtId="0" fontId="2" fillId="0" borderId="0" xfId="104" applyBorder="1" applyAlignment="1">
      <alignment horizontal="center"/>
    </xf>
    <xf numFmtId="0" fontId="2" fillId="0" borderId="27" xfId="104" applyBorder="1" applyAlignment="1">
      <alignment horizontal="center"/>
    </xf>
    <xf numFmtId="175" fontId="4" fillId="43" borderId="5" xfId="54" applyNumberFormat="1" applyFont="1" applyFill="1" applyBorder="1" applyAlignment="1">
      <alignment horizontal="center"/>
    </xf>
    <xf numFmtId="175" fontId="4" fillId="43" borderId="5" xfId="54" applyNumberFormat="1" applyFill="1" applyBorder="1" applyAlignment="1">
      <alignment horizontal="center"/>
    </xf>
    <xf numFmtId="0" fontId="4" fillId="44" borderId="5" xfId="189" applyFill="1" applyBorder="1" applyAlignment="1">
      <alignment horizontal="center"/>
    </xf>
    <xf numFmtId="0" fontId="4" fillId="0" borderId="5" xfId="189" applyBorder="1" applyAlignment="1">
      <alignment horizontal="center"/>
    </xf>
    <xf numFmtId="0" fontId="4" fillId="0" borderId="9" xfId="189" applyBorder="1" applyAlignment="1">
      <alignment horizontal="center"/>
    </xf>
    <xf numFmtId="0" fontId="4" fillId="0" borderId="10" xfId="189" applyBorder="1" applyAlignment="1">
      <alignment horizontal="center"/>
    </xf>
    <xf numFmtId="0" fontId="4" fillId="0" borderId="8" xfId="189" applyBorder="1" applyAlignment="1">
      <alignment horizontal="center"/>
    </xf>
    <xf numFmtId="9" fontId="4" fillId="0" borderId="5" xfId="189" applyNumberFormat="1" applyBorder="1" applyAlignment="1">
      <alignment horizontal="center"/>
    </xf>
    <xf numFmtId="0" fontId="4" fillId="34" borderId="9" xfId="189" applyFill="1" applyBorder="1" applyAlignment="1">
      <alignment horizontal="center"/>
    </xf>
    <xf numFmtId="0" fontId="4" fillId="34" borderId="10" xfId="189" applyFill="1" applyBorder="1" applyAlignment="1">
      <alignment horizontal="center"/>
    </xf>
    <xf numFmtId="0" fontId="4" fillId="34" borderId="8" xfId="189" applyFill="1" applyBorder="1" applyAlignment="1">
      <alignment horizontal="center"/>
    </xf>
    <xf numFmtId="0" fontId="4" fillId="0" borderId="0" xfId="189" applyAlignment="1">
      <alignment vertical="top" wrapText="1"/>
    </xf>
    <xf numFmtId="0" fontId="4" fillId="0" borderId="0" xfId="189" applyAlignment="1">
      <alignment horizontal="center" wrapText="1"/>
    </xf>
    <xf numFmtId="0" fontId="4" fillId="0" borderId="6" xfId="189" applyBorder="1" applyAlignment="1">
      <alignment horizontal="left" wrapText="1"/>
    </xf>
    <xf numFmtId="0" fontId="4" fillId="0" borderId="23" xfId="189" applyBorder="1" applyAlignment="1">
      <alignment horizontal="left" wrapText="1"/>
    </xf>
    <xf numFmtId="0" fontId="4" fillId="0" borderId="24" xfId="189" applyBorder="1" applyAlignment="1">
      <alignment horizontal="left" wrapText="1"/>
    </xf>
    <xf numFmtId="0" fontId="4" fillId="0" borderId="26" xfId="189" applyBorder="1" applyAlignment="1">
      <alignment horizontal="left" wrapText="1"/>
    </xf>
    <xf numFmtId="0" fontId="4" fillId="0" borderId="0" xfId="189" applyBorder="1" applyAlignment="1">
      <alignment horizontal="left" wrapText="1"/>
    </xf>
    <xf numFmtId="0" fontId="4" fillId="0" borderId="27" xfId="189" applyBorder="1" applyAlignment="1">
      <alignment horizontal="left" wrapText="1"/>
    </xf>
    <xf numFmtId="0" fontId="4" fillId="0" borderId="11" xfId="189" applyBorder="1" applyAlignment="1">
      <alignment horizontal="left" wrapText="1"/>
    </xf>
    <xf numFmtId="0" fontId="4" fillId="0" borderId="28" xfId="189" applyBorder="1" applyAlignment="1">
      <alignment horizontal="left" wrapText="1"/>
    </xf>
    <xf numFmtId="0" fontId="4" fillId="0" borderId="29" xfId="189" applyBorder="1" applyAlignment="1">
      <alignment horizontal="left" wrapText="1"/>
    </xf>
  </cellXfs>
  <cellStyles count="192">
    <cellStyle name="20% - Accent1 2" xfId="9"/>
    <cellStyle name="20% - Accent1 2 2" xfId="10"/>
    <cellStyle name="20% - Accent2 2" xfId="11"/>
    <cellStyle name="20% - Accent3 2" xfId="12"/>
    <cellStyle name="20% - Accent3 2 2" xfId="13"/>
    <cellStyle name="20% - Accent4 2" xfId="14"/>
    <cellStyle name="20% - Accent4 2 2" xfId="15"/>
    <cellStyle name="20% - Accent5 2" xfId="16"/>
    <cellStyle name="20% - Accent6 2" xfId="17"/>
    <cellStyle name="40% - Accent1 2" xfId="18"/>
    <cellStyle name="40% - Accent1 2 2" xfId="19"/>
    <cellStyle name="40% - Accent2 2" xfId="20"/>
    <cellStyle name="40% - Accent2 2 2" xfId="21"/>
    <cellStyle name="40% - Accent3 2" xfId="22"/>
    <cellStyle name="40% - Accent3 2 2" xfId="23"/>
    <cellStyle name="40% - Accent4 2" xfId="24"/>
    <cellStyle name="40% - Accent4 2 2" xfId="25"/>
    <cellStyle name="40% - Accent5 2" xfId="26"/>
    <cellStyle name="40% - Accent6 2" xfId="27"/>
    <cellStyle name="40% - Accent6 2 2" xfId="28"/>
    <cellStyle name="60% - Accent1 2" xfId="29"/>
    <cellStyle name="60% - Accent1 2 2" xfId="30"/>
    <cellStyle name="60% - Accent2 2" xfId="31"/>
    <cellStyle name="60% - Accent2 2 2" xfId="32"/>
    <cellStyle name="60% - Accent3 2" xfId="33"/>
    <cellStyle name="60% - Accent3 2 2" xfId="34"/>
    <cellStyle name="60% - Accent4 2" xfId="35"/>
    <cellStyle name="60% - Accent4 2 2" xfId="36"/>
    <cellStyle name="60% - Accent5 2" xfId="37"/>
    <cellStyle name="60% - Accent6 2" xfId="38"/>
    <cellStyle name="60% - Accent6 2 2" xfId="39"/>
    <cellStyle name="Accent1 2" xfId="40"/>
    <cellStyle name="Accent1 2 2" xfId="41"/>
    <cellStyle name="Accent2 2" xfId="42"/>
    <cellStyle name="Accent3 2" xfId="43"/>
    <cellStyle name="Accent3 2 2" xfId="44"/>
    <cellStyle name="Accent4 2" xfId="45"/>
    <cellStyle name="Accent4 2 2" xfId="46"/>
    <cellStyle name="Accent5 2" xfId="47"/>
    <cellStyle name="Accent6 2" xfId="48"/>
    <cellStyle name="Bad 2" xfId="49"/>
    <cellStyle name="Bad 2 2" xfId="50"/>
    <cellStyle name="Calculation 2" xfId="51"/>
    <cellStyle name="Calculation 2 2" xfId="52"/>
    <cellStyle name="Check Cell 2" xfId="53"/>
    <cellStyle name="Comma" xfId="1" builtinId="3"/>
    <cellStyle name="Comma 2" xfId="54"/>
    <cellStyle name="Comma 2 2" xfId="55"/>
    <cellStyle name="Comma 2 2 2" xfId="56"/>
    <cellStyle name="Comma 2 2 3" xfId="57"/>
    <cellStyle name="Comma 2 3" xfId="58"/>
    <cellStyle name="Comma 2 4" xfId="59"/>
    <cellStyle name="Comma 3" xfId="60"/>
    <cellStyle name="Comma 3 2" xfId="61"/>
    <cellStyle name="Comma 3 2 2" xfId="62"/>
    <cellStyle name="Comma 3 2 3" xfId="63"/>
    <cellStyle name="Comma 3 3" xfId="64"/>
    <cellStyle name="Comma 3 4" xfId="65"/>
    <cellStyle name="Comma 4" xfId="190"/>
    <cellStyle name="Currency" xfId="2" builtinId="4"/>
    <cellStyle name="Currency 2" xfId="66"/>
    <cellStyle name="Currency 2 2" xfId="67"/>
    <cellStyle name="Currency 2 2 2" xfId="68"/>
    <cellStyle name="Currency 2 2 3" xfId="69"/>
    <cellStyle name="Currency 2 3" xfId="70"/>
    <cellStyle name="Currency 2 4" xfId="71"/>
    <cellStyle name="Currency 3" xfId="72"/>
    <cellStyle name="Currency 3 2" xfId="73"/>
    <cellStyle name="Currency 3 2 2" xfId="74"/>
    <cellStyle name="Currency 3 2 3" xfId="75"/>
    <cellStyle name="Currency 3 3" xfId="76"/>
    <cellStyle name="Currency 3 4" xfId="77"/>
    <cellStyle name="Data Field" xfId="78"/>
    <cellStyle name="Data Field 2" xfId="79"/>
    <cellStyle name="Data Field 2 2" xfId="80"/>
    <cellStyle name="Data Field 2 3" xfId="81"/>
    <cellStyle name="Data Field 3" xfId="82"/>
    <cellStyle name="Data Field 4" xfId="83"/>
    <cellStyle name="Data Name" xfId="84"/>
    <cellStyle name="Date/Time" xfId="85"/>
    <cellStyle name="Explanatory Text 2" xfId="86"/>
    <cellStyle name="Good 2" xfId="87"/>
    <cellStyle name="Heading" xfId="88"/>
    <cellStyle name="Heading 1 2" xfId="89"/>
    <cellStyle name="Heading 1 2 2" xfId="90"/>
    <cellStyle name="Heading 3 2" xfId="91"/>
    <cellStyle name="Heading 3 2 2" xfId="92"/>
    <cellStyle name="Heading 4 2" xfId="93"/>
    <cellStyle name="Heading 4 2 2" xfId="94"/>
    <cellStyle name="Hyperlink 2" xfId="95"/>
    <cellStyle name="Hyperlink 3" xfId="96"/>
    <cellStyle name="Input 2" xfId="97"/>
    <cellStyle name="Linked Cell 2" xfId="98"/>
    <cellStyle name="Neutral 2" xfId="99"/>
    <cellStyle name="Normal" xfId="0" builtinId="0"/>
    <cellStyle name="Normal 10" xfId="100"/>
    <cellStyle name="Normal 11" xfId="101"/>
    <cellStyle name="Normal 12" xfId="102"/>
    <cellStyle name="Normal 13" xfId="4"/>
    <cellStyle name="Normal 13 2" xfId="103"/>
    <cellStyle name="Normal 14" xfId="104"/>
    <cellStyle name="Normal 14 2" xfId="105"/>
    <cellStyle name="Normal 14 3" xfId="106"/>
    <cellStyle name="Normal 14 4" xfId="107"/>
    <cellStyle name="Normal 15" xfId="108"/>
    <cellStyle name="Normal 15 2" xfId="109"/>
    <cellStyle name="Normal 15 3" xfId="110"/>
    <cellStyle name="Normal 16" xfId="111"/>
    <cellStyle name="Normal 17" xfId="112"/>
    <cellStyle name="Normal 2" xfId="113"/>
    <cellStyle name="Normal 2 2" xfId="114"/>
    <cellStyle name="Normal 2 2 2" xfId="115"/>
    <cellStyle name="Normal 2 2 2 2" xfId="116"/>
    <cellStyle name="Normal 2 2 2 3" xfId="117"/>
    <cellStyle name="Normal 2 2 3" xfId="118"/>
    <cellStyle name="Normal 2 2 4" xfId="119"/>
    <cellStyle name="Normal 2 3" xfId="120"/>
    <cellStyle name="Normal 2 3 2" xfId="121"/>
    <cellStyle name="Normal 2 3 3" xfId="122"/>
    <cellStyle name="Normal 2 4" xfId="123"/>
    <cellStyle name="Normal 2 4 2" xfId="124"/>
    <cellStyle name="Normal 2 4 3" xfId="125"/>
    <cellStyle name="Normal 2 5" xfId="126"/>
    <cellStyle name="Normal 2 6" xfId="127"/>
    <cellStyle name="Normal 2 6 2" xfId="128"/>
    <cellStyle name="Normal 2 7" xfId="129"/>
    <cellStyle name="Normal 3" xfId="5"/>
    <cellStyle name="Normal 3 2" xfId="130"/>
    <cellStyle name="Normal 3 2 2" xfId="131"/>
    <cellStyle name="Normal 3 2 3" xfId="132"/>
    <cellStyle name="Normal 3 3" xfId="133"/>
    <cellStyle name="Normal 3 4" xfId="134"/>
    <cellStyle name="Normal 4" xfId="135"/>
    <cellStyle name="Normal 4 2" xfId="136"/>
    <cellStyle name="Normal 4 3" xfId="137"/>
    <cellStyle name="Normal 4 3 2" xfId="138"/>
    <cellStyle name="Normal 4 3 3" xfId="139"/>
    <cellStyle name="Normal 4 4" xfId="140"/>
    <cellStyle name="Normal 4 4 2" xfId="141"/>
    <cellStyle name="Normal 4 4 3" xfId="142"/>
    <cellStyle name="Normal 4 5" xfId="143"/>
    <cellStyle name="Normal 4 5 2" xfId="144"/>
    <cellStyle name="Normal 4 5 3" xfId="145"/>
    <cellStyle name="Normal 4 6" xfId="146"/>
    <cellStyle name="Normal 4 7" xfId="147"/>
    <cellStyle name="Normal 4 8" xfId="191"/>
    <cellStyle name="Normal 5" xfId="148"/>
    <cellStyle name="Normal 5 2" xfId="149"/>
    <cellStyle name="Normal 6" xfId="150"/>
    <cellStyle name="Normal 7" xfId="151"/>
    <cellStyle name="Normal 7 2" xfId="152"/>
    <cellStyle name="Normal 8" xfId="153"/>
    <cellStyle name="Normal 8 2" xfId="154"/>
    <cellStyle name="Normal 9" xfId="155"/>
    <cellStyle name="Normal 9 2" xfId="156"/>
    <cellStyle name="Normal 9 3" xfId="157"/>
    <cellStyle name="Normal_MTDUCT" xfId="6"/>
    <cellStyle name="Normal_PC-LPDPackage-6P-D14" xfId="3"/>
    <cellStyle name="Normal_PC-PackRTOptimize-D1-6p-D2" xfId="7"/>
    <cellStyle name="Normal_PC-WINDOWS-6P-D8" xfId="189"/>
    <cellStyle name="Normal_ProCostFinAssumptions_Sector" xfId="8"/>
    <cellStyle name="Note 2" xfId="158"/>
    <cellStyle name="Note 2 2" xfId="159"/>
    <cellStyle name="Output 2" xfId="160"/>
    <cellStyle name="Output 2 2" xfId="161"/>
    <cellStyle name="Percent" xfId="188" builtinId="5"/>
    <cellStyle name="Percent 2" xfId="162"/>
    <cellStyle name="Percent 2 2" xfId="163"/>
    <cellStyle name="Percent 2 2 2" xfId="164"/>
    <cellStyle name="Percent 2 2 2 2" xfId="165"/>
    <cellStyle name="Percent 2 2 2 3" xfId="166"/>
    <cellStyle name="Percent 2 2 3" xfId="167"/>
    <cellStyle name="Percent 2 2 4" xfId="168"/>
    <cellStyle name="Percent 2 3" xfId="169"/>
    <cellStyle name="Percent 2 3 2" xfId="170"/>
    <cellStyle name="Percent 2 3 3" xfId="171"/>
    <cellStyle name="Percent 3" xfId="172"/>
    <cellStyle name="Percent 3 2" xfId="173"/>
    <cellStyle name="Percent 3 2 2" xfId="174"/>
    <cellStyle name="Percent 3 2 3" xfId="175"/>
    <cellStyle name="Percent 3 3" xfId="176"/>
    <cellStyle name="Percent 3 4" xfId="177"/>
    <cellStyle name="Percent 4" xfId="178"/>
    <cellStyle name="Percent 4 2" xfId="179"/>
    <cellStyle name="Percent 5" xfId="180"/>
    <cellStyle name="Title 2" xfId="181"/>
    <cellStyle name="Title 2 2" xfId="182"/>
    <cellStyle name="Total 2" xfId="183"/>
    <cellStyle name="Total 2 2" xfId="184"/>
    <cellStyle name="Warning Text 2" xfId="185"/>
    <cellStyle name="표준_ENERGY CONSUMP" xfId="186"/>
    <cellStyle name="常规_海外市场服务网站资料操作BOM" xfId="18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22</xdr:col>
      <xdr:colOff>0</xdr:colOff>
      <xdr:row>25</xdr:row>
      <xdr:rowOff>0</xdr:rowOff>
    </xdr:from>
    <xdr:to>
      <xdr:col>27</xdr:col>
      <xdr:colOff>359434</xdr:colOff>
      <xdr:row>26</xdr:row>
      <xdr:rowOff>158331</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6346150" y="5610225"/>
          <a:ext cx="6417334" cy="36788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2</xdr:row>
      <xdr:rowOff>152399</xdr:rowOff>
    </xdr:from>
    <xdr:to>
      <xdr:col>19</xdr:col>
      <xdr:colOff>390525</xdr:colOff>
      <xdr:row>31</xdr:row>
      <xdr:rowOff>76199</xdr:rowOff>
    </xdr:to>
    <xdr:sp macro="" textlink="">
      <xdr:nvSpPr>
        <xdr:cNvPr id="2" name="TextBox 1"/>
        <xdr:cNvSpPr txBox="1"/>
      </xdr:nvSpPr>
      <xdr:spPr>
        <a:xfrm>
          <a:off x="6915150" y="476249"/>
          <a:ext cx="5876925" cy="461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dk1"/>
              </a:solidFill>
              <a:latin typeface="+mn-lt"/>
              <a:ea typeface="+mn-ea"/>
              <a:cs typeface="+mn-cs"/>
            </a:rPr>
            <a:t>Rob Curry, NEEA</a:t>
          </a:r>
          <a:endParaRPr lang="en-US" sz="1100">
            <a:solidFill>
              <a:schemeClr val="dk1"/>
            </a:solidFill>
            <a:latin typeface="+mn-lt"/>
            <a:ea typeface="+mn-ea"/>
            <a:cs typeface="+mn-cs"/>
          </a:endParaRPr>
        </a:p>
        <a:p>
          <a:r>
            <a:rPr lang="en-US" sz="1100">
              <a:solidFill>
                <a:schemeClr val="dk1"/>
              </a:solidFill>
              <a:latin typeface="+mn-lt"/>
              <a:ea typeface="+mn-ea"/>
              <a:cs typeface="+mn-cs"/>
            </a:rPr>
            <a:t>Dec 18, 2014</a:t>
          </a:r>
        </a:p>
        <a:p>
          <a:r>
            <a:rPr lang="en-US" sz="1100">
              <a:solidFill>
                <a:schemeClr val="dk1"/>
              </a:solidFill>
              <a:latin typeface="+mn-lt"/>
              <a:ea typeface="+mn-ea"/>
              <a:cs typeface="+mn-cs"/>
            </a:rPr>
            <a:t>Discussion about Secondary Glazing Systems</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pPr lvl="0"/>
          <a:r>
            <a:rPr lang="en-US" sz="1100">
              <a:solidFill>
                <a:schemeClr val="dk1"/>
              </a:solidFill>
              <a:latin typeface="+mn-lt"/>
              <a:ea typeface="+mn-ea"/>
              <a:cs typeface="+mn-cs"/>
            </a:rPr>
            <a:t>Four mfgs now. MPLS, WISCO others.</a:t>
          </a:r>
        </a:p>
        <a:p>
          <a:pPr lvl="0"/>
          <a:r>
            <a:rPr lang="en-US" sz="1100">
              <a:solidFill>
                <a:schemeClr val="dk1"/>
              </a:solidFill>
              <a:latin typeface="+mn-lt"/>
              <a:ea typeface="+mn-ea"/>
              <a:cs typeface="+mn-cs"/>
            </a:rPr>
            <a:t>They have some data and costs</a:t>
          </a:r>
        </a:p>
        <a:p>
          <a:pPr lvl="0"/>
          <a:r>
            <a:rPr lang="en-US" sz="1100">
              <a:solidFill>
                <a:schemeClr val="dk1"/>
              </a:solidFill>
              <a:latin typeface="+mn-lt"/>
              <a:ea typeface="+mn-ea"/>
              <a:cs typeface="+mn-cs"/>
            </a:rPr>
            <a:t>IDL looking at it too</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pPr lvl="0"/>
          <a:r>
            <a:rPr lang="en-US" sz="1100">
              <a:solidFill>
                <a:schemeClr val="dk1"/>
              </a:solidFill>
              <a:latin typeface="+mn-lt"/>
              <a:ea typeface="+mn-ea"/>
              <a:cs typeface="+mn-cs"/>
            </a:rPr>
            <a:t>Initial estimate for cost:  $</a:t>
          </a:r>
          <a:r>
            <a:rPr lang="en-US" sz="1100" u="sng">
              <a:solidFill>
                <a:schemeClr val="dk1"/>
              </a:solidFill>
              <a:latin typeface="+mn-lt"/>
              <a:ea typeface="+mn-ea"/>
              <a:cs typeface="+mn-cs"/>
            </a:rPr>
            <a:t>35/sf window installed.</a:t>
          </a:r>
          <a:r>
            <a:rPr lang="en-US" sz="1100">
              <a:solidFill>
                <a:schemeClr val="dk1"/>
              </a:solidFill>
              <a:latin typeface="+mn-lt"/>
              <a:ea typeface="+mn-ea"/>
              <a:cs typeface="+mn-cs"/>
            </a:rPr>
            <a:t> $25 material, $10 labor</a:t>
          </a:r>
        </a:p>
        <a:p>
          <a:pPr lvl="0"/>
          <a:r>
            <a:rPr lang="en-US" sz="1100">
              <a:solidFill>
                <a:schemeClr val="dk1"/>
              </a:solidFill>
              <a:latin typeface="+mn-lt"/>
              <a:ea typeface="+mn-ea"/>
              <a:cs typeface="+mn-cs"/>
            </a:rPr>
            <a:t>Mfg is Midwest. Will team up with local installer. (Rainier Tower)  </a:t>
          </a:r>
        </a:p>
        <a:p>
          <a:pPr lvl="0"/>
          <a:r>
            <a:rPr lang="en-US" sz="1100">
              <a:solidFill>
                <a:schemeClr val="dk1"/>
              </a:solidFill>
              <a:latin typeface="+mn-lt"/>
              <a:ea typeface="+mn-ea"/>
              <a:cs typeface="+mn-cs"/>
            </a:rPr>
            <a:t>Code issues:  Major or minor. Would have to come under minor. Code wants to treat as a window accessory.</a:t>
          </a:r>
        </a:p>
        <a:p>
          <a:pPr lvl="0"/>
          <a:r>
            <a:rPr lang="en-US" sz="1100">
              <a:solidFill>
                <a:schemeClr val="dk1"/>
              </a:solidFill>
              <a:latin typeface="+mn-lt"/>
              <a:ea typeface="+mn-ea"/>
              <a:cs typeface="+mn-cs"/>
            </a:rPr>
            <a:t>Option:  Require a structural engineer to look at building. Figure out dead load and have an engineer stamp it.</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pPr lvl="0"/>
          <a:r>
            <a:rPr lang="en-US" sz="1100">
              <a:solidFill>
                <a:schemeClr val="dk1"/>
              </a:solidFill>
              <a:latin typeface="+mn-lt"/>
              <a:ea typeface="+mn-ea"/>
              <a:cs typeface="+mn-cs"/>
            </a:rPr>
            <a:t>Replacement cost estimate for comparison:</a:t>
          </a:r>
        </a:p>
        <a:p>
          <a:pPr lvl="0"/>
          <a:r>
            <a:rPr lang="en-US" sz="1100">
              <a:solidFill>
                <a:schemeClr val="dk1"/>
              </a:solidFill>
              <a:latin typeface="+mn-lt"/>
              <a:ea typeface="+mn-ea"/>
              <a:cs typeface="+mn-cs"/>
            </a:rPr>
            <a:t>$70 -90 / sf curtain wall </a:t>
          </a:r>
        </a:p>
        <a:p>
          <a:pPr lvl="0"/>
          <a:r>
            <a:rPr lang="en-US" sz="1100">
              <a:solidFill>
                <a:schemeClr val="dk1"/>
              </a:solidFill>
              <a:latin typeface="+mn-lt"/>
              <a:ea typeface="+mn-ea"/>
              <a:cs typeface="+mn-cs"/>
            </a:rPr>
            <a:t>$50 – 70 / sf store front / punched opening</a:t>
          </a:r>
        </a:p>
        <a:p>
          <a:pPr lvl="0"/>
          <a:r>
            <a:rPr lang="en-US" sz="1100">
              <a:solidFill>
                <a:schemeClr val="dk1"/>
              </a:solidFill>
              <a:latin typeface="+mn-lt"/>
              <a:ea typeface="+mn-ea"/>
              <a:cs typeface="+mn-cs"/>
            </a:rPr>
            <a:t>Tennant disruption less of a factor with SGS</a:t>
          </a:r>
        </a:p>
        <a:p>
          <a:endParaRPr lang="en-US" sz="1100"/>
        </a:p>
      </xdr:txBody>
    </xdr:sp>
    <xdr:clientData/>
  </xdr:twoCellAnchor>
  <xdr:twoCellAnchor editAs="oneCell">
    <xdr:from>
      <xdr:col>10</xdr:col>
      <xdr:colOff>0</xdr:colOff>
      <xdr:row>35</xdr:row>
      <xdr:rowOff>0</xdr:rowOff>
    </xdr:from>
    <xdr:to>
      <xdr:col>17</xdr:col>
      <xdr:colOff>304800</xdr:colOff>
      <xdr:row>56</xdr:row>
      <xdr:rowOff>28575</xdr:rowOff>
    </xdr:to>
    <xdr:pic>
      <xdr:nvPicPr>
        <xdr:cNvPr id="921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915150" y="5667375"/>
          <a:ext cx="4572000" cy="3429000"/>
        </a:xfrm>
        <a:prstGeom prst="rect">
          <a:avLst/>
        </a:prstGeom>
        <a:noFill/>
      </xdr:spPr>
    </xdr:pic>
    <xdr:clientData/>
  </xdr:twoCellAnchor>
  <xdr:twoCellAnchor editAs="oneCell">
    <xdr:from>
      <xdr:col>18</xdr:col>
      <xdr:colOff>0</xdr:colOff>
      <xdr:row>35</xdr:row>
      <xdr:rowOff>0</xdr:rowOff>
    </xdr:from>
    <xdr:to>
      <xdr:col>25</xdr:col>
      <xdr:colOff>304800</xdr:colOff>
      <xdr:row>56</xdr:row>
      <xdr:rowOff>28575</xdr:rowOff>
    </xdr:to>
    <xdr:pic>
      <xdr:nvPicPr>
        <xdr:cNvPr id="921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11791950" y="5667375"/>
          <a:ext cx="4572000" cy="34290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590550</xdr:colOff>
      <xdr:row>1</xdr:row>
      <xdr:rowOff>152399</xdr:rowOff>
    </xdr:from>
    <xdr:to>
      <xdr:col>14</xdr:col>
      <xdr:colOff>133350</xdr:colOff>
      <xdr:row>36</xdr:row>
      <xdr:rowOff>123824</xdr:rowOff>
    </xdr:to>
    <xdr:sp macro="" textlink="">
      <xdr:nvSpPr>
        <xdr:cNvPr id="2" name="TextBox 1"/>
        <xdr:cNvSpPr txBox="1"/>
      </xdr:nvSpPr>
      <xdr:spPr>
        <a:xfrm>
          <a:off x="590550" y="342899"/>
          <a:ext cx="8077200" cy="6638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Charlie:</a:t>
          </a:r>
        </a:p>
        <a:p>
          <a:r>
            <a:rPr lang="en-US" sz="1100">
              <a:solidFill>
                <a:schemeClr val="dk1"/>
              </a:solidFill>
              <a:latin typeface="+mn-lt"/>
              <a:ea typeface="+mn-ea"/>
              <a:cs typeface="+mn-cs"/>
            </a:rPr>
            <a:t>See attached savings summary tables.  Modifications and additional runs include:</a:t>
          </a:r>
        </a:p>
        <a:p>
          <a:r>
            <a:rPr lang="en-US" sz="1100">
              <a:solidFill>
                <a:schemeClr val="dk1"/>
              </a:solidFill>
              <a:latin typeface="+mn-lt"/>
              <a:ea typeface="+mn-ea"/>
              <a:cs typeface="+mn-cs"/>
            </a:rPr>
            <a:t>1.  New spreadsheet that replicates and adds to "your" tables for each building/run type (on separate tabs).</a:t>
          </a:r>
        </a:p>
        <a:p>
          <a:r>
            <a:rPr lang="en-US" sz="1100">
              <a:solidFill>
                <a:schemeClr val="dk1"/>
              </a:solidFill>
              <a:latin typeface="+mn-lt"/>
              <a:ea typeface="+mn-ea"/>
              <a:cs typeface="+mn-cs"/>
            </a:rPr>
            <a:t>2.  Tables now include energy use associated with HVAC auxiliaries (fans and pumps)</a:t>
          </a:r>
        </a:p>
        <a:p>
          <a:r>
            <a:rPr lang="en-US" sz="1100">
              <a:solidFill>
                <a:schemeClr val="dk1"/>
              </a:solidFill>
              <a:latin typeface="+mn-lt"/>
              <a:ea typeface="+mn-ea"/>
              <a:cs typeface="+mn-cs"/>
            </a:rPr>
            <a:t>3.  Runs now include:  small office with gas heat, small office with air source heat pumps, mid-rise office with packaged VAV / electric reheat, mid-rise office with packaged VAV and gas boilers for reheat, and large office with built-up VAV and central plant (gas boilers)</a:t>
          </a:r>
        </a:p>
        <a:p>
          <a:r>
            <a:rPr lang="en-US" sz="1100">
              <a:solidFill>
                <a:schemeClr val="dk1"/>
              </a:solidFill>
              <a:latin typeface="+mn-lt"/>
              <a:ea typeface="+mn-ea"/>
              <a:cs typeface="+mn-cs"/>
            </a:rPr>
            <a:t>4.  All runs now include a 20% reduction in peak infiltration rate in the perimeter zones where secondary glazing units are installed (See John Jennings comments in recent email).</a:t>
          </a:r>
        </a:p>
        <a:p>
          <a:r>
            <a:rPr lang="en-US" sz="1100">
              <a:solidFill>
                <a:schemeClr val="dk1"/>
              </a:solidFill>
              <a:latin typeface="+mn-lt"/>
              <a:ea typeface="+mn-ea"/>
              <a:cs typeface="+mn-cs"/>
            </a:rPr>
            <a:t>Let me know if I can answer any questions or provide additional clarification.  I will be moving immediately into incorporating these results into the final version of the NEEA ROI analysis report, and expect the final draft version of that report to be out early next week.</a:t>
          </a:r>
        </a:p>
        <a:p>
          <a:r>
            <a:rPr lang="en-US" sz="1100">
              <a:solidFill>
                <a:schemeClr val="dk1"/>
              </a:solidFill>
              <a:latin typeface="+mn-lt"/>
              <a:ea typeface="+mn-ea"/>
              <a:cs typeface="+mn-cs"/>
            </a:rPr>
            <a:t>Mike</a:t>
          </a:r>
        </a:p>
        <a:p>
          <a:r>
            <a:rPr lang="en-US" sz="1100">
              <a:solidFill>
                <a:schemeClr val="dk1"/>
              </a:solidFill>
              <a:latin typeface="+mn-lt"/>
              <a:ea typeface="+mn-ea"/>
              <a:cs typeface="+mn-cs"/>
            </a:rPr>
            <a:t/>
          </a:r>
          <a:br>
            <a:rPr lang="en-US" sz="1100">
              <a:solidFill>
                <a:schemeClr val="dk1"/>
              </a:solidFill>
              <a:latin typeface="+mn-lt"/>
              <a:ea typeface="+mn-ea"/>
              <a:cs typeface="+mn-cs"/>
            </a:rPr>
          </a:br>
          <a:r>
            <a:rPr lang="en-US" sz="1100">
              <a:solidFill>
                <a:schemeClr val="dk1"/>
              </a:solidFill>
              <a:latin typeface="+mn-lt"/>
              <a:ea typeface="+mn-ea"/>
              <a:cs typeface="+mn-cs"/>
            </a:rPr>
            <a:t/>
          </a:r>
          <a:br>
            <a:rPr lang="en-US" sz="1100">
              <a:solidFill>
                <a:schemeClr val="dk1"/>
              </a:solidFill>
              <a:latin typeface="+mn-lt"/>
              <a:ea typeface="+mn-ea"/>
              <a:cs typeface="+mn-cs"/>
            </a:rPr>
          </a:br>
          <a:endParaRPr lang="en-US" sz="1100">
            <a:solidFill>
              <a:schemeClr val="dk1"/>
            </a:solidFill>
            <a:latin typeface="+mn-lt"/>
            <a:ea typeface="+mn-ea"/>
            <a:cs typeface="+mn-cs"/>
          </a:endParaRPr>
        </a:p>
        <a:p>
          <a:r>
            <a:rPr lang="en-US" sz="1100">
              <a:solidFill>
                <a:schemeClr val="dk1"/>
              </a:solidFill>
              <a:latin typeface="+mn-lt"/>
              <a:ea typeface="+mn-ea"/>
              <a:cs typeface="+mn-cs"/>
            </a:rPr>
            <a:t/>
          </a:r>
          <a:br>
            <a:rPr lang="en-US" sz="1100">
              <a:solidFill>
                <a:schemeClr val="dk1"/>
              </a:solidFill>
              <a:latin typeface="+mn-lt"/>
              <a:ea typeface="+mn-ea"/>
              <a:cs typeface="+mn-cs"/>
            </a:rPr>
          </a:br>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Mike Hatten, Principal</a:t>
          </a:r>
        </a:p>
        <a:p>
          <a:r>
            <a:rPr lang="en-US" sz="1100">
              <a:solidFill>
                <a:schemeClr val="dk1"/>
              </a:solidFill>
              <a:latin typeface="+mn-lt"/>
              <a:ea typeface="+mn-ea"/>
              <a:cs typeface="+mn-cs"/>
            </a:rPr>
            <a:t>541.349.0966 | Eugene Office </a:t>
          </a:r>
        </a:p>
        <a:p>
          <a:r>
            <a:rPr lang="en-US" sz="1100" b="1">
              <a:solidFill>
                <a:schemeClr val="dk1"/>
              </a:solidFill>
              <a:latin typeface="+mn-lt"/>
              <a:ea typeface="+mn-ea"/>
              <a:cs typeface="+mn-cs"/>
            </a:rPr>
            <a:t>SOLARC Engineering and Energy+Architectural Consulting</a:t>
          </a:r>
          <a:endParaRPr lang="en-US" sz="1100">
            <a:solidFill>
              <a:schemeClr val="dk1"/>
            </a:solidFill>
            <a:latin typeface="+mn-lt"/>
            <a:ea typeface="+mn-ea"/>
            <a:cs typeface="+mn-cs"/>
          </a:endParaRPr>
        </a:p>
        <a:p>
          <a:r>
            <a:rPr lang="en-US" sz="1100">
              <a:solidFill>
                <a:schemeClr val="dk1"/>
              </a:solidFill>
              <a:latin typeface="+mn-lt"/>
              <a:ea typeface="+mn-ea"/>
              <a:cs typeface="+mn-cs"/>
            </a:rPr>
            <a:t>1501 E. Madison Street, Suite 200,</a:t>
          </a:r>
          <a:r>
            <a:rPr lang="en-US" sz="1100" b="1">
              <a:solidFill>
                <a:schemeClr val="dk1"/>
              </a:solidFill>
              <a:latin typeface="+mn-lt"/>
              <a:ea typeface="+mn-ea"/>
              <a:cs typeface="+mn-cs"/>
            </a:rPr>
            <a:t> Seattle, WA</a:t>
          </a:r>
          <a:r>
            <a:rPr lang="en-US" sz="1100">
              <a:solidFill>
                <a:schemeClr val="dk1"/>
              </a:solidFill>
              <a:latin typeface="+mn-lt"/>
              <a:ea typeface="+mn-ea"/>
              <a:cs typeface="+mn-cs"/>
            </a:rPr>
            <a:t> 98122 | 206.812.8690</a:t>
          </a:r>
          <a:br>
            <a:rPr lang="en-US" sz="1100">
              <a:solidFill>
                <a:schemeClr val="dk1"/>
              </a:solidFill>
              <a:latin typeface="+mn-lt"/>
              <a:ea typeface="+mn-ea"/>
              <a:cs typeface="+mn-cs"/>
            </a:rPr>
          </a:br>
          <a:r>
            <a:rPr lang="en-US" sz="1100">
              <a:solidFill>
                <a:schemeClr val="dk1"/>
              </a:solidFill>
              <a:latin typeface="+mn-lt"/>
              <a:ea typeface="+mn-ea"/>
              <a:cs typeface="+mn-cs"/>
            </a:rPr>
            <a:t>319 SW Washington, Suite 311,</a:t>
          </a:r>
          <a:r>
            <a:rPr lang="en-US" sz="1100" b="1">
              <a:solidFill>
                <a:schemeClr val="dk1"/>
              </a:solidFill>
              <a:latin typeface="+mn-lt"/>
              <a:ea typeface="+mn-ea"/>
              <a:cs typeface="+mn-cs"/>
            </a:rPr>
            <a:t> Portland, OR</a:t>
          </a:r>
          <a:r>
            <a:rPr lang="en-US" sz="1100">
              <a:solidFill>
                <a:schemeClr val="dk1"/>
              </a:solidFill>
              <a:latin typeface="+mn-lt"/>
              <a:ea typeface="+mn-ea"/>
              <a:cs typeface="+mn-cs"/>
            </a:rPr>
            <a:t> 97204 | 503.223.5253</a:t>
          </a:r>
          <a:br>
            <a:rPr lang="en-US" sz="1100">
              <a:solidFill>
                <a:schemeClr val="dk1"/>
              </a:solidFill>
              <a:latin typeface="+mn-lt"/>
              <a:ea typeface="+mn-ea"/>
              <a:cs typeface="+mn-cs"/>
            </a:rPr>
          </a:br>
          <a:r>
            <a:rPr lang="en-US" sz="1100">
              <a:solidFill>
                <a:schemeClr val="dk1"/>
              </a:solidFill>
              <a:latin typeface="+mn-lt"/>
              <a:ea typeface="+mn-ea"/>
              <a:cs typeface="+mn-cs"/>
            </a:rPr>
            <a:t>211 East 300 South, Suite 208, </a:t>
          </a:r>
          <a:r>
            <a:rPr lang="en-US" sz="1100" b="1">
              <a:solidFill>
                <a:schemeClr val="dk1"/>
              </a:solidFill>
              <a:latin typeface="+mn-lt"/>
              <a:ea typeface="+mn-ea"/>
              <a:cs typeface="+mn-cs"/>
            </a:rPr>
            <a:t>Salt Lake City, UT</a:t>
          </a:r>
          <a:r>
            <a:rPr lang="en-US" sz="1100">
              <a:solidFill>
                <a:schemeClr val="dk1"/>
              </a:solidFill>
              <a:latin typeface="+mn-lt"/>
              <a:ea typeface="+mn-ea"/>
              <a:cs typeface="+mn-cs"/>
            </a:rPr>
            <a:t> 84111 | 801.990.7016</a:t>
          </a:r>
          <a:br>
            <a:rPr lang="en-US" sz="1100">
              <a:solidFill>
                <a:schemeClr val="dk1"/>
              </a:solidFill>
              <a:latin typeface="+mn-lt"/>
              <a:ea typeface="+mn-ea"/>
              <a:cs typeface="+mn-cs"/>
            </a:rPr>
          </a:br>
          <a:r>
            <a:rPr lang="en-US" sz="1100" b="1">
              <a:solidFill>
                <a:schemeClr val="dk1"/>
              </a:solidFill>
              <a:latin typeface="+mn-lt"/>
              <a:ea typeface="+mn-ea"/>
              <a:cs typeface="+mn-cs"/>
            </a:rPr>
            <a:t>Corporate Office:</a:t>
          </a:r>
          <a:r>
            <a:rPr lang="en-US" sz="1100">
              <a:solidFill>
                <a:schemeClr val="dk1"/>
              </a:solidFill>
              <a:latin typeface="+mn-lt"/>
              <a:ea typeface="+mn-ea"/>
              <a:cs typeface="+mn-cs"/>
            </a:rPr>
            <a:t> 223 W 12th Avenue, </a:t>
          </a:r>
          <a:r>
            <a:rPr lang="en-US" sz="1100" b="1">
              <a:solidFill>
                <a:schemeClr val="dk1"/>
              </a:solidFill>
              <a:latin typeface="+mn-lt"/>
              <a:ea typeface="+mn-ea"/>
              <a:cs typeface="+mn-cs"/>
            </a:rPr>
            <a:t>Eugene, OR </a:t>
          </a:r>
          <a:r>
            <a:rPr lang="en-US" sz="1100">
              <a:solidFill>
                <a:schemeClr val="dk1"/>
              </a:solidFill>
              <a:latin typeface="+mn-lt"/>
              <a:ea typeface="+mn-ea"/>
              <a:cs typeface="+mn-cs"/>
            </a:rPr>
            <a:t>97401 | 541.349.0966</a:t>
          </a:r>
          <a:br>
            <a:rPr lang="en-US" sz="1100">
              <a:solidFill>
                <a:schemeClr val="dk1"/>
              </a:solidFill>
              <a:latin typeface="+mn-lt"/>
              <a:ea typeface="+mn-ea"/>
              <a:cs typeface="+mn-cs"/>
            </a:rPr>
          </a:br>
          <a:r>
            <a:rPr lang="en-US" sz="1100" u="sng">
              <a:solidFill>
                <a:schemeClr val="dk1"/>
              </a:solidFill>
              <a:latin typeface="+mn-lt"/>
              <a:ea typeface="+mn-ea"/>
              <a:cs typeface="+mn-cs"/>
              <a:hlinkClick xmlns:r="http://schemas.openxmlformats.org/officeDocument/2006/relationships" r:id=""/>
            </a:rPr>
            <a:t>www.solarc-ae.net </a:t>
          </a:r>
          <a:r>
            <a:rPr lang="en-US" sz="1100">
              <a:solidFill>
                <a:schemeClr val="dk1"/>
              </a:solidFill>
              <a:latin typeface="+mn-lt"/>
              <a:ea typeface="+mn-ea"/>
              <a:cs typeface="+mn-cs"/>
            </a:rPr>
            <a:t> </a:t>
          </a:r>
        </a:p>
        <a:p>
          <a:r>
            <a:rPr lang="en-US" sz="1100">
              <a:solidFill>
                <a:schemeClr val="dk1"/>
              </a:solidFill>
              <a:latin typeface="+mn-lt"/>
              <a:ea typeface="+mn-ea"/>
              <a:cs typeface="+mn-cs"/>
            </a:rPr>
            <a:t/>
          </a:r>
          <a:br>
            <a:rPr lang="en-US" sz="1100">
              <a:solidFill>
                <a:schemeClr val="dk1"/>
              </a:solidFill>
              <a:latin typeface="+mn-lt"/>
              <a:ea typeface="+mn-ea"/>
              <a:cs typeface="+mn-cs"/>
            </a:rPr>
          </a:br>
          <a:r>
            <a:rPr lang="en-US" sz="1100">
              <a:solidFill>
                <a:schemeClr val="dk1"/>
              </a:solidFill>
              <a:latin typeface="+mn-lt"/>
              <a:ea typeface="+mn-ea"/>
              <a:cs typeface="+mn-cs"/>
            </a:rPr>
            <a:t>Please consider the environment before printing this email.</a:t>
          </a:r>
        </a:p>
        <a:p>
          <a:endParaRPr lang="en-US" sz="1100"/>
        </a:p>
      </xdr:txBody>
    </xdr:sp>
    <xdr:clientData/>
  </xdr:twoCellAnchor>
  <xdr:twoCellAnchor>
    <xdr:from>
      <xdr:col>15</xdr:col>
      <xdr:colOff>9525</xdr:colOff>
      <xdr:row>1</xdr:row>
      <xdr:rowOff>114300</xdr:rowOff>
    </xdr:from>
    <xdr:to>
      <xdr:col>28</xdr:col>
      <xdr:colOff>76200</xdr:colOff>
      <xdr:row>36</xdr:row>
      <xdr:rowOff>152400</xdr:rowOff>
    </xdr:to>
    <xdr:sp macro="" textlink="">
      <xdr:nvSpPr>
        <xdr:cNvPr id="3" name="TextBox 2"/>
        <xdr:cNvSpPr txBox="1"/>
      </xdr:nvSpPr>
      <xdr:spPr>
        <a:xfrm>
          <a:off x="9153525" y="304800"/>
          <a:ext cx="7991475" cy="670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Thank you Mike:</a:t>
          </a:r>
        </a:p>
        <a:p>
          <a:r>
            <a:rPr lang="en-US" sz="1100">
              <a:solidFill>
                <a:schemeClr val="dk1"/>
              </a:solidFill>
              <a:latin typeface="+mn-lt"/>
              <a:ea typeface="+mn-ea"/>
              <a:cs typeface="+mn-cs"/>
            </a:rPr>
            <a:t> </a:t>
          </a:r>
        </a:p>
        <a:p>
          <a:r>
            <a:rPr lang="en-US" sz="1100">
              <a:solidFill>
                <a:schemeClr val="dk1"/>
              </a:solidFill>
              <a:latin typeface="+mn-lt"/>
              <a:ea typeface="+mn-ea"/>
              <a:cs typeface="+mn-cs"/>
            </a:rPr>
            <a:t>These are very helpful.  Thanks for putting the infiltration in, adding the HP and clarifying the results</a:t>
          </a:r>
        </a:p>
        <a:p>
          <a:r>
            <a:rPr lang="en-US" sz="1100">
              <a:solidFill>
                <a:schemeClr val="dk1"/>
              </a:solidFill>
              <a:latin typeface="+mn-lt"/>
              <a:ea typeface="+mn-ea"/>
              <a:cs typeface="+mn-cs"/>
            </a:rPr>
            <a:t> </a:t>
          </a:r>
        </a:p>
        <a:p>
          <a:r>
            <a:rPr lang="en-US" sz="1100">
              <a:solidFill>
                <a:schemeClr val="dk1"/>
              </a:solidFill>
              <a:latin typeface="+mn-lt"/>
              <a:ea typeface="+mn-ea"/>
              <a:cs typeface="+mn-cs"/>
            </a:rPr>
            <a:t>A couple of Qs:</a:t>
          </a:r>
        </a:p>
        <a:p>
          <a:r>
            <a:rPr lang="en-US" sz="1100">
              <a:solidFill>
                <a:schemeClr val="dk1"/>
              </a:solidFill>
              <a:latin typeface="+mn-lt"/>
              <a:ea typeface="+mn-ea"/>
              <a:cs typeface="+mn-cs"/>
            </a:rPr>
            <a:t> </a:t>
          </a:r>
        </a:p>
        <a:p>
          <a:pPr lvl="0"/>
          <a:r>
            <a:rPr lang="en-US" sz="1100">
              <a:solidFill>
                <a:schemeClr val="dk1"/>
              </a:solidFill>
              <a:latin typeface="+mn-lt"/>
              <a:ea typeface="+mn-ea"/>
              <a:cs typeface="+mn-cs"/>
            </a:rPr>
            <a:t>I notice the iWindow has higher Cooling &amp; Aux savings than the Thermolite.  Is that an SHGC thing or something else?</a:t>
          </a:r>
        </a:p>
        <a:p>
          <a:pPr lvl="0"/>
          <a:r>
            <a:rPr lang="en-US" sz="1100">
              <a:solidFill>
                <a:schemeClr val="dk1"/>
              </a:solidFill>
              <a:latin typeface="+mn-lt"/>
              <a:ea typeface="+mn-ea"/>
              <a:cs typeface="+mn-cs"/>
            </a:rPr>
            <a:t>Are the large office savings with the temperature reset or constant 55F?  I assume constant 55.</a:t>
          </a:r>
        </a:p>
        <a:p>
          <a:pPr lvl="0"/>
          <a:r>
            <a:rPr lang="en-US" sz="1100">
              <a:solidFill>
                <a:schemeClr val="dk1"/>
              </a:solidFill>
              <a:latin typeface="+mn-lt"/>
              <a:ea typeface="+mn-ea"/>
              <a:cs typeface="+mn-cs"/>
            </a:rPr>
            <a:t>At the risk of asking too much what are the large office savings for the temp reset case?</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Charlie Grist </a:t>
          </a:r>
        </a:p>
        <a:p>
          <a:r>
            <a:rPr lang="en-US" sz="1100">
              <a:solidFill>
                <a:schemeClr val="dk1"/>
              </a:solidFill>
              <a:latin typeface="+mn-lt"/>
              <a:ea typeface="+mn-ea"/>
              <a:cs typeface="+mn-cs"/>
            </a:rPr>
            <a:t>Conservation Resources Manager </a:t>
          </a:r>
        </a:p>
        <a:p>
          <a:r>
            <a:rPr lang="en-US" sz="1100">
              <a:solidFill>
                <a:schemeClr val="dk1"/>
              </a:solidFill>
              <a:latin typeface="+mn-lt"/>
              <a:ea typeface="+mn-ea"/>
              <a:cs typeface="+mn-cs"/>
            </a:rPr>
            <a:t>503 222 5161, 503 250 4407 (cell)</a:t>
          </a:r>
          <a:br>
            <a:rPr lang="en-US" sz="1100">
              <a:solidFill>
                <a:schemeClr val="dk1"/>
              </a:solidFill>
              <a:latin typeface="+mn-lt"/>
              <a:ea typeface="+mn-ea"/>
              <a:cs typeface="+mn-cs"/>
            </a:rPr>
          </a:br>
          <a:r>
            <a:rPr lang="en-US" sz="1100" u="sng">
              <a:solidFill>
                <a:schemeClr val="dk1"/>
              </a:solidFill>
              <a:latin typeface="+mn-lt"/>
              <a:ea typeface="+mn-ea"/>
              <a:cs typeface="+mn-cs"/>
              <a:hlinkClick xmlns:r="http://schemas.openxmlformats.org/officeDocument/2006/relationships" r:id=""/>
            </a:rPr>
            <a:t>cgrist@nwcouncil.org</a:t>
          </a:r>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Quick answers:</a:t>
          </a:r>
        </a:p>
        <a:p>
          <a:endParaRPr lang="en-US" sz="1100">
            <a:solidFill>
              <a:schemeClr val="dk1"/>
            </a:solidFill>
            <a:latin typeface="+mn-lt"/>
            <a:ea typeface="+mn-ea"/>
            <a:cs typeface="+mn-cs"/>
          </a:endParaRPr>
        </a:p>
        <a:p>
          <a:r>
            <a:rPr lang="en-US" sz="1100">
              <a:solidFill>
                <a:schemeClr val="dk1"/>
              </a:solidFill>
              <a:latin typeface="+mn-lt"/>
              <a:ea typeface="+mn-ea"/>
              <a:cs typeface="+mn-cs"/>
            </a:rPr>
            <a:t>1.  The increased cooling savings (and in some climates the decreased heating savings) for the iWindow is due primarily to the lower SHGC for the iWindow compared to the Thermolite product.</a:t>
          </a:r>
        </a:p>
        <a:p>
          <a:endParaRPr lang="en-US" sz="1100">
            <a:solidFill>
              <a:schemeClr val="dk1"/>
            </a:solidFill>
            <a:latin typeface="+mn-lt"/>
            <a:ea typeface="+mn-ea"/>
            <a:cs typeface="+mn-cs"/>
          </a:endParaRPr>
        </a:p>
        <a:p>
          <a:r>
            <a:rPr lang="en-US" sz="1100">
              <a:solidFill>
                <a:schemeClr val="dk1"/>
              </a:solidFill>
              <a:latin typeface="+mn-lt"/>
              <a:ea typeface="+mn-ea"/>
              <a:cs typeface="+mn-cs"/>
            </a:rPr>
            <a:t>2.  The large office runs were done with temperature reset.  Our experience indicates this is typical.  The mid and small office runs with packaged HVAC have constant supply air temperature controls.  Again this is typical.</a:t>
          </a:r>
        </a:p>
        <a:p>
          <a:endParaRPr lang="en-US" sz="1100">
            <a:solidFill>
              <a:schemeClr val="dk1"/>
            </a:solidFill>
            <a:latin typeface="+mn-lt"/>
            <a:ea typeface="+mn-ea"/>
            <a:cs typeface="+mn-cs"/>
          </a:endParaRPr>
        </a:p>
        <a:p>
          <a:r>
            <a:rPr lang="en-US" sz="1100">
              <a:solidFill>
                <a:schemeClr val="dk1"/>
              </a:solidFill>
              <a:latin typeface="+mn-lt"/>
              <a:ea typeface="+mn-ea"/>
              <a:cs typeface="+mn-cs"/>
            </a:rPr>
            <a:t>3.  If I run the large office with a constant temperature control, the overall energy use goes too high (out of the norm for overall highrise office energy use).  Therefore, while I've tested that scenario with a few runs, I've not run through all of the cases with constant supply air temp.  Is that of interest?</a:t>
          </a:r>
        </a:p>
        <a:p>
          <a:endParaRPr lang="en-US" sz="1100">
            <a:solidFill>
              <a:schemeClr val="dk1"/>
            </a:solidFill>
            <a:latin typeface="+mn-lt"/>
            <a:ea typeface="+mn-ea"/>
            <a:cs typeface="+mn-cs"/>
          </a:endParaRPr>
        </a:p>
        <a:p>
          <a:r>
            <a:rPr lang="en-US" sz="1100">
              <a:solidFill>
                <a:schemeClr val="dk1"/>
              </a:solidFill>
              <a:latin typeface="+mn-lt"/>
              <a:ea typeface="+mn-ea"/>
              <a:cs typeface="+mn-cs"/>
            </a:rPr>
            <a:t>M.</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_Master_7P.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G/Main/CBSA/CBSA%202013/Data%20and%20Reports/CBSA%20Raw%20Data%20CONFIDENTIAL/CBSA%20Oct%2031%202014/GRISTv3_CBSA%20Public%20Site%20Summary%20Table%202014-10-3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G/Main/Plan%206/Commercial/Coml%20Assess%206P/Final%20Plan%20Files/PC-Windows-6P-D1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verview"/>
      <sheetName val="MLIST"/>
      <sheetName val="FILES"/>
      <sheetName val="APPLIC"/>
      <sheetName val="BASE"/>
      <sheetName val="STOCK"/>
      <sheetName val="TURN"/>
      <sheetName val="ACHIEV"/>
      <sheetName val="FEAS"/>
      <sheetName val="RAMP"/>
      <sheetName val="CODE"/>
      <sheetName val="CHAR"/>
      <sheetName val="Floor"/>
      <sheetName val="Vars"/>
      <sheetName val="Labels"/>
      <sheetName val="Lookup"/>
      <sheetName val="EUI"/>
      <sheetName val="Measure Name List"/>
      <sheetName val="CBSA Data"/>
      <sheetName val="CBSA Data New"/>
    </sheetNames>
    <definedNames>
      <definedName name="ACHIEV" refersTo="='ACHIEV'!$B$19:$Y$119"/>
      <definedName name="APPLIC" refersTo="='APPLIC'!$B$12:$X$112"/>
      <definedName name="BLDGTYPE" refersTo="='APPLIC'!$B$11:$U$11"/>
      <definedName name="POST2013" refersTo="='CHAR'!$B$17:$U$55"/>
    </definedNames>
    <sheetDataSet>
      <sheetData sheetId="0">
        <row r="82">
          <cell r="B82" t="str">
            <v>Contents</v>
          </cell>
        </row>
        <row r="83">
          <cell r="B83" t="str">
            <v>Overview of model structure</v>
          </cell>
        </row>
        <row r="84">
          <cell r="B84" t="str">
            <v xml:space="preserve">Update Log:  Log for updates to Draft 6th Plan Assessment </v>
          </cell>
        </row>
        <row r="85">
          <cell r="B85" t="str">
            <v>Master List of measure bundles</v>
          </cell>
        </row>
        <row r="86">
          <cell r="B86" t="str">
            <v>List and links to measure-level files. Plus housekeeping and administrative functions.</v>
          </cell>
        </row>
        <row r="87">
          <cell r="B87" t="str">
            <v>Applicability factor for the measure bundle.  Fraction of stock the measure applies to.</v>
          </cell>
        </row>
        <row r="88">
          <cell r="B88" t="str">
            <v>Baseline penetration of measure bundles.  Estimated fraction of stock where the measure is already in place.</v>
          </cell>
        </row>
        <row r="89">
          <cell r="B89" t="str">
            <v>Vintage cohort for measure bundles.</v>
          </cell>
        </row>
        <row r="90">
          <cell r="B90" t="str">
            <v>Turnover rate for stock to which measure applies.</v>
          </cell>
        </row>
        <row r="91">
          <cell r="B91" t="str">
            <v>Achievable rate of acquisition for measure bundles by year</v>
          </cell>
        </row>
        <row r="92">
          <cell r="B92" t="str">
            <v>Tables developed to estimate regional baseline penetration for various elements of energy codes by jurisdiction</v>
          </cell>
        </row>
        <row r="93">
          <cell r="B93" t="str">
            <v xml:space="preserve">Key characteristics for stock by vintage cohort and building subtype.  Used to develop regional application of measures. </v>
          </cell>
        </row>
        <row r="94">
          <cell r="B94" t="str">
            <v>Floor area forecast summary used to develop data in CHAR</v>
          </cell>
        </row>
        <row r="95">
          <cell r="B95" t="str">
            <v>List of variables and definitions used in the CHAR tab and elsewhere in the files.</v>
          </cell>
        </row>
        <row r="96">
          <cell r="B96" t="str">
            <v>Map of building types labels from different sources.</v>
          </cell>
        </row>
        <row r="97">
          <cell r="B97" t="str">
            <v>Lookup table for vintage cohort</v>
          </cell>
        </row>
        <row r="98">
          <cell r="B98" t="str">
            <v xml:space="preserve">Reference EUI from various sources including CBECS &amp; CBSA.  </v>
          </cell>
        </row>
      </sheetData>
      <sheetData sheetId="1">
        <row r="11">
          <cell r="B11" t="str">
            <v>Base Measure Name</v>
          </cell>
          <cell r="C11" t="str">
            <v>VCohort</v>
          </cell>
          <cell r="D11" t="str">
            <v>Measure Index Name</v>
          </cell>
          <cell r="E11" t="str">
            <v>Unit of Savings</v>
          </cell>
          <cell r="F11" t="str">
            <v>Measure Bundle Description</v>
          </cell>
          <cell r="G11" t="str">
            <v>Number of Measures in Bundle</v>
          </cell>
          <cell r="H11" t="str">
            <v>Descriptive Name</v>
          </cell>
          <cell r="I11" t="str">
            <v>Segment</v>
          </cell>
          <cell r="J11" t="str">
            <v>Savings Sources</v>
          </cell>
          <cell r="K11" t="str">
            <v>7P Technical Savings (aMW)</v>
          </cell>
          <cell r="L11" t="str">
            <v>Baseline</v>
          </cell>
          <cell r="M11" t="str">
            <v>Baseline Saturation</v>
          </cell>
          <cell r="N11" t="str">
            <v>Baseline Notes</v>
          </cell>
          <cell r="O11" t="str">
            <v>Cost Source</v>
          </cell>
          <cell r="P11" t="str">
            <v>Cost Notes</v>
          </cell>
          <cell r="Q11" t="str">
            <v>New from 6P</v>
          </cell>
          <cell r="R11" t="str">
            <v>6P Vintage</v>
          </cell>
          <cell r="S11" t="str">
            <v>Status</v>
          </cell>
          <cell r="T11" t="str">
            <v>Status notes</v>
          </cell>
          <cell r="U11" t="str">
            <v>Category</v>
          </cell>
        </row>
        <row r="12">
          <cell r="B12" t="str">
            <v>Compressed Air</v>
          </cell>
          <cell r="C12" t="str">
            <v>Retro</v>
          </cell>
          <cell r="D12" t="str">
            <v>Compressed Air-Retro</v>
          </cell>
          <cell r="E12" t="str">
            <v>kWh per HP BT</v>
          </cell>
          <cell r="F12" t="str">
            <v>Compressed Air Controls</v>
          </cell>
          <cell r="G12">
            <v>1</v>
          </cell>
          <cell r="H12" t="str">
            <v>Compressed Air Controls</v>
          </cell>
          <cell r="I12" t="str">
            <v>Some</v>
          </cell>
          <cell r="L12" t="str">
            <v>CBSA 2014</v>
          </cell>
          <cell r="Q12" t="str">
            <v>x</v>
          </cell>
          <cell r="R12" t="str">
            <v>N/A</v>
          </cell>
          <cell r="U12" t="str">
            <v>Compressed Air System Controls</v>
          </cell>
        </row>
        <row r="13">
          <cell r="B13" t="str">
            <v>Compressed Air</v>
          </cell>
          <cell r="C13" t="str">
            <v>NR</v>
          </cell>
          <cell r="D13" t="str">
            <v>Compressed Air-NR</v>
          </cell>
          <cell r="E13" t="str">
            <v>kWh per HP BT</v>
          </cell>
          <cell r="F13" t="str">
            <v>Compressed Air Improvements</v>
          </cell>
          <cell r="G13">
            <v>1</v>
          </cell>
          <cell r="H13" t="str">
            <v>Compressed Air Improvements</v>
          </cell>
          <cell r="I13" t="str">
            <v>Some</v>
          </cell>
          <cell r="L13" t="str">
            <v>CBSA 2014</v>
          </cell>
          <cell r="Q13" t="str">
            <v>x</v>
          </cell>
          <cell r="R13" t="str">
            <v>N/A</v>
          </cell>
          <cell r="U13" t="str">
            <v>Compressed Air System Improvements</v>
          </cell>
        </row>
        <row r="14">
          <cell r="B14" t="str">
            <v>Network PC Power Management</v>
          </cell>
          <cell r="C14" t="str">
            <v>Retro</v>
          </cell>
          <cell r="D14" t="str">
            <v>Network PC Power Management-Retro</v>
          </cell>
          <cell r="E14" t="str">
            <v>Count</v>
          </cell>
          <cell r="F14" t="str">
            <v>Control of a networked computer's advanced energy management systems</v>
          </cell>
          <cell r="G14">
            <v>1</v>
          </cell>
          <cell r="H14" t="str">
            <v>Network PC Power Management</v>
          </cell>
          <cell r="I14" t="str">
            <v>All</v>
          </cell>
          <cell r="L14" t="str">
            <v>CBSA 2014</v>
          </cell>
          <cell r="R14" t="str">
            <v>N/A</v>
          </cell>
          <cell r="U14" t="str">
            <v>Computer Technologies</v>
          </cell>
        </row>
        <row r="15">
          <cell r="B15" t="str">
            <v>Computer Servers and IT</v>
          </cell>
          <cell r="C15" t="str">
            <v>Retro</v>
          </cell>
          <cell r="D15" t="str">
            <v>Computer Servers and IT-Retro</v>
          </cell>
          <cell r="E15" t="str">
            <v>Count</v>
          </cell>
          <cell r="F15" t="str">
            <v>Consolidation &amp; virtualization &amp; upgrade of servers in embedded server rooms in buildings</v>
          </cell>
          <cell r="G15">
            <v>1</v>
          </cell>
          <cell r="H15" t="str">
            <v>Computer Servers and IT</v>
          </cell>
          <cell r="I15" t="str">
            <v>All</v>
          </cell>
          <cell r="L15" t="str">
            <v>CBSA 2014</v>
          </cell>
          <cell r="R15" t="str">
            <v>N/A</v>
          </cell>
          <cell r="U15" t="str">
            <v>Computer Technologies</v>
          </cell>
        </row>
        <row r="16">
          <cell r="B16" t="str">
            <v>Smart Plug Power Strips</v>
          </cell>
          <cell r="C16" t="str">
            <v>Retro</v>
          </cell>
          <cell r="D16" t="str">
            <v>Smart Plug Power Strips-Retro</v>
          </cell>
          <cell r="E16" t="str">
            <v>Count</v>
          </cell>
          <cell r="F16" t="str">
            <v>Smart Plug Power Strips</v>
          </cell>
          <cell r="G16">
            <v>1</v>
          </cell>
          <cell r="H16" t="str">
            <v>Smart Plug Power Strips</v>
          </cell>
          <cell r="I16" t="str">
            <v>All</v>
          </cell>
          <cell r="L16" t="str">
            <v>CBSA 2014</v>
          </cell>
          <cell r="Q16" t="str">
            <v>x</v>
          </cell>
          <cell r="R16" t="str">
            <v>N/A</v>
          </cell>
          <cell r="U16" t="str">
            <v xml:space="preserve">Plug Load </v>
          </cell>
        </row>
        <row r="17">
          <cell r="B17" t="str">
            <v>Data Centers</v>
          </cell>
          <cell r="C17" t="str">
            <v>NR</v>
          </cell>
          <cell r="D17" t="str">
            <v>Data Centers-NR</v>
          </cell>
          <cell r="E17" t="str">
            <v>Count</v>
          </cell>
          <cell r="F17" t="str">
            <v xml:space="preserve">Data Centers; Virtualization, efficient servers, network gear, power supplies, and other measures at NR </v>
          </cell>
          <cell r="G17">
            <v>22</v>
          </cell>
          <cell r="H17" t="str">
            <v>Data Centers</v>
          </cell>
          <cell r="I17" t="str">
            <v>All</v>
          </cell>
          <cell r="L17" t="str">
            <v>CBSA 2014</v>
          </cell>
          <cell r="Q17" t="str">
            <v>x</v>
          </cell>
          <cell r="R17" t="str">
            <v>N/A</v>
          </cell>
          <cell r="U17" t="str">
            <v>Computer Technologies</v>
          </cell>
        </row>
        <row r="18">
          <cell r="B18" t="str">
            <v>Commercial Computer Monitor</v>
          </cell>
          <cell r="C18" t="str">
            <v>NR</v>
          </cell>
          <cell r="D18" t="str">
            <v>Commercial Computer Monitor-NR</v>
          </cell>
          <cell r="E18" t="str">
            <v>Count</v>
          </cell>
          <cell r="F18" t="str">
            <v>Commercial Computer Monitor</v>
          </cell>
          <cell r="G18">
            <v>1</v>
          </cell>
          <cell r="H18" t="str">
            <v>ENERGY STAR Monitor</v>
          </cell>
          <cell r="I18" t="str">
            <v>All</v>
          </cell>
          <cell r="L18" t="str">
            <v>Std Monitor</v>
          </cell>
          <cell r="R18" t="str">
            <v>N/A</v>
          </cell>
          <cell r="U18" t="str">
            <v>Computer Technologies</v>
          </cell>
        </row>
        <row r="19">
          <cell r="B19" t="str">
            <v>Commercial Computer Desktop</v>
          </cell>
          <cell r="C19" t="str">
            <v>NR</v>
          </cell>
          <cell r="D19" t="str">
            <v>Commercial Computer Desktop-NR</v>
          </cell>
          <cell r="E19" t="str">
            <v>Count</v>
          </cell>
          <cell r="F19" t="str">
            <v>Commercial Computer Desktop</v>
          </cell>
          <cell r="G19">
            <v>1</v>
          </cell>
          <cell r="H19" t="str">
            <v>ENERGY STAR Desktop</v>
          </cell>
          <cell r="I19" t="str">
            <v>All</v>
          </cell>
          <cell r="L19" t="str">
            <v>Std Computer</v>
          </cell>
          <cell r="R19" t="str">
            <v>N/A</v>
          </cell>
          <cell r="U19" t="str">
            <v>Computer Technologies</v>
          </cell>
        </row>
        <row r="20">
          <cell r="B20" t="str">
            <v>Pre-Rinse Spray Valve</v>
          </cell>
          <cell r="C20" t="str">
            <v>Retro</v>
          </cell>
          <cell r="D20" t="str">
            <v>Pre-Rinse Spray Valve-Retro</v>
          </cell>
          <cell r="E20" t="str">
            <v>Count</v>
          </cell>
          <cell r="F20" t="str">
            <v>Low-flow pre-rinse spray valves for restaurant kitchens, cafeterias, and food-serving</v>
          </cell>
          <cell r="G20">
            <v>1</v>
          </cell>
          <cell r="H20" t="str">
            <v>Pre-Rinse Spray Valve</v>
          </cell>
          <cell r="I20" t="str">
            <v>Some</v>
          </cell>
          <cell r="L20" t="str">
            <v>CBSA 2014</v>
          </cell>
          <cell r="R20" t="str">
            <v>N/A</v>
          </cell>
          <cell r="U20" t="str">
            <v>Water Using Devices</v>
          </cell>
        </row>
        <row r="21">
          <cell r="B21" t="str">
            <v>Cooking Equipment</v>
          </cell>
          <cell r="C21" t="str">
            <v>NR</v>
          </cell>
          <cell r="D21" t="str">
            <v>Cooking Equipment-NR</v>
          </cell>
          <cell r="E21" t="str">
            <v>Count</v>
          </cell>
          <cell r="F21" t="str">
            <v>Efficient cooking equipment such as hot food holders, steamers and ovens</v>
          </cell>
          <cell r="G21">
            <v>4</v>
          </cell>
          <cell r="H21" t="str">
            <v>Cooking Equipment</v>
          </cell>
          <cell r="I21" t="str">
            <v>All</v>
          </cell>
          <cell r="L21" t="str">
            <v>CBSA 2014</v>
          </cell>
          <cell r="R21" t="str">
            <v>N/A</v>
          </cell>
          <cell r="U21" t="str">
            <v>Cooking</v>
          </cell>
        </row>
        <row r="22">
          <cell r="B22" t="str">
            <v>Premium HVAC Equipment</v>
          </cell>
          <cell r="C22" t="str">
            <v>New</v>
          </cell>
          <cell r="D22" t="str">
            <v>Premium HVAC Equipment-New</v>
          </cell>
          <cell r="E22" t="str">
            <v>kWh per KSF BT</v>
          </cell>
          <cell r="F22" t="str">
            <v>HVAC equipment more efficient than applicable code or standard practice</v>
          </cell>
          <cell r="G22">
            <v>4</v>
          </cell>
          <cell r="H22" t="str">
            <v>Premium HVAC Equipment</v>
          </cell>
          <cell r="I22" t="str">
            <v>All</v>
          </cell>
          <cell r="L22" t="str">
            <v>CBSA 2014</v>
          </cell>
          <cell r="R22" t="str">
            <v>PRE/POST 2006</v>
          </cell>
          <cell r="U22" t="str">
            <v>HVAC System Improvements</v>
          </cell>
        </row>
        <row r="23">
          <cell r="B23" t="str">
            <v>Premium HVAC Equipment</v>
          </cell>
          <cell r="C23" t="str">
            <v>NR</v>
          </cell>
          <cell r="D23" t="str">
            <v>Premium HVAC Equipment-NR</v>
          </cell>
          <cell r="E23" t="str">
            <v>kWh per KSF BT</v>
          </cell>
          <cell r="F23" t="str">
            <v>HVAC equipment more efficient than applicable code or standard practice</v>
          </cell>
          <cell r="G23">
            <v>4</v>
          </cell>
          <cell r="H23" t="str">
            <v>Premium HVAC Equipment</v>
          </cell>
          <cell r="I23" t="str">
            <v>All</v>
          </cell>
          <cell r="L23" t="str">
            <v>CBSA 2014</v>
          </cell>
          <cell r="R23" t="str">
            <v>PRE/POST 2006</v>
          </cell>
          <cell r="U23" t="str">
            <v>HVAC System Improvements</v>
          </cell>
        </row>
        <row r="24">
          <cell r="B24" t="str">
            <v>Glass</v>
          </cell>
          <cell r="C24" t="str">
            <v>New</v>
          </cell>
          <cell r="D24" t="str">
            <v>Glass-New</v>
          </cell>
          <cell r="E24" t="str">
            <v>kWh per KSF BT</v>
          </cell>
          <cell r="F24" t="str">
            <v>Windows and glazing more efficiecnt that code or standard practice</v>
          </cell>
          <cell r="G24">
            <v>39</v>
          </cell>
          <cell r="H24" t="str">
            <v>Windows</v>
          </cell>
          <cell r="I24" t="str">
            <v>All</v>
          </cell>
          <cell r="L24" t="str">
            <v>CBSA 2014</v>
          </cell>
          <cell r="R24" t="str">
            <v>PRE1987/PRE2002/POST2006</v>
          </cell>
          <cell r="U24" t="str">
            <v>Envelope</v>
          </cell>
        </row>
        <row r="25">
          <cell r="B25" t="str">
            <v>Glass</v>
          </cell>
          <cell r="C25" t="str">
            <v>NR</v>
          </cell>
          <cell r="D25" t="str">
            <v>Glass-NR</v>
          </cell>
          <cell r="E25" t="str">
            <v>kWh per KSF BT</v>
          </cell>
          <cell r="F25" t="str">
            <v>Windows and glazing more efficiecnt that code or standard practice</v>
          </cell>
          <cell r="G25">
            <v>39</v>
          </cell>
          <cell r="H25" t="str">
            <v>Windows</v>
          </cell>
          <cell r="I25" t="str">
            <v>All</v>
          </cell>
          <cell r="L25" t="str">
            <v>CBSA 2014</v>
          </cell>
          <cell r="R25" t="str">
            <v>PRE1987/PRE2002/POST2007</v>
          </cell>
          <cell r="U25" t="str">
            <v>Envelope</v>
          </cell>
        </row>
        <row r="26">
          <cell r="B26" t="str">
            <v>Glass</v>
          </cell>
          <cell r="C26" t="str">
            <v>Retro</v>
          </cell>
          <cell r="D26" t="str">
            <v>Glass-Retro</v>
          </cell>
          <cell r="E26" t="str">
            <v>kWh per KSF BT</v>
          </cell>
          <cell r="F26" t="str">
            <v>Windows and glazing more efficiecnt that code or standard practice</v>
          </cell>
          <cell r="G26">
            <v>3</v>
          </cell>
          <cell r="H26" t="str">
            <v>Windows</v>
          </cell>
          <cell r="I26" t="str">
            <v>All</v>
          </cell>
          <cell r="L26" t="str">
            <v>CBSA 2014</v>
          </cell>
          <cell r="R26" t="str">
            <v>PRE1987/PRE2002/POST2008</v>
          </cell>
          <cell r="U26" t="str">
            <v>Envelope</v>
          </cell>
        </row>
        <row r="27">
          <cell r="B27" t="str">
            <v>Advanced Rooftop Controller</v>
          </cell>
          <cell r="C27" t="str">
            <v>New</v>
          </cell>
          <cell r="D27" t="str">
            <v>Advanced Rooftop Controller-New</v>
          </cell>
          <cell r="E27" t="str">
            <v>kWh per KSF BT</v>
          </cell>
          <cell r="F27" t="str">
            <v>Suite of measures and control strategies for buildings served by package roof top HVAC units</v>
          </cell>
          <cell r="G27">
            <v>3</v>
          </cell>
          <cell r="H27" t="str">
            <v>Package Roof Top Optimization and Repair</v>
          </cell>
          <cell r="I27" t="str">
            <v>Most</v>
          </cell>
          <cell r="L27" t="str">
            <v>CBSA 2014</v>
          </cell>
          <cell r="R27" t="str">
            <v>PRE/POST 2006</v>
          </cell>
          <cell r="U27" t="str">
            <v>HVAC System Improvements</v>
          </cell>
        </row>
        <row r="28">
          <cell r="B28" t="str">
            <v>Advanced Rooftop Controller</v>
          </cell>
          <cell r="C28" t="str">
            <v>NR</v>
          </cell>
          <cell r="D28" t="str">
            <v>Advanced Rooftop Controller-NR</v>
          </cell>
          <cell r="E28" t="str">
            <v>kWh per KSF BT</v>
          </cell>
          <cell r="F28" t="str">
            <v>Suite of measures and control strategies for buildings served by package roof top HVAC units</v>
          </cell>
          <cell r="G28">
            <v>2</v>
          </cell>
          <cell r="H28" t="str">
            <v>Package Roof Top Optimization and Repair</v>
          </cell>
          <cell r="I28" t="str">
            <v>Most</v>
          </cell>
          <cell r="L28" t="str">
            <v>CBSA 2014</v>
          </cell>
          <cell r="R28" t="str">
            <v>PRE/POST 2006</v>
          </cell>
          <cell r="U28" t="str">
            <v>HVAC System Improvements</v>
          </cell>
        </row>
        <row r="29">
          <cell r="B29" t="str">
            <v>Advanced Rooftop Controller</v>
          </cell>
          <cell r="C29" t="str">
            <v>Retro</v>
          </cell>
          <cell r="D29" t="str">
            <v>Advanced Rooftop Controller-Retro</v>
          </cell>
          <cell r="E29" t="str">
            <v>kWh per KSF BT</v>
          </cell>
          <cell r="F29" t="str">
            <v>Suite of measures and control strategies for buildings served by package roof top HVAC units</v>
          </cell>
          <cell r="G29">
            <v>3</v>
          </cell>
          <cell r="H29" t="str">
            <v>Package Roof Top Optimization and Repair</v>
          </cell>
          <cell r="I29" t="str">
            <v>Most</v>
          </cell>
          <cell r="L29" t="str">
            <v>CBSA 2014</v>
          </cell>
          <cell r="R29" t="str">
            <v>PRE/POST 2006</v>
          </cell>
          <cell r="U29" t="str">
            <v>HVAC System Improvements</v>
          </cell>
        </row>
        <row r="30">
          <cell r="B30" t="str">
            <v>Variable Speed Chiller</v>
          </cell>
          <cell r="C30" t="str">
            <v>New</v>
          </cell>
          <cell r="D30" t="str">
            <v>Variable Speed Chiller-New</v>
          </cell>
          <cell r="E30" t="str">
            <v>kWh per KSF BT</v>
          </cell>
          <cell r="F30" t="str">
            <v>Variable speed chillers</v>
          </cell>
          <cell r="G30">
            <v>1</v>
          </cell>
          <cell r="H30" t="str">
            <v>Variable Speed Chiller</v>
          </cell>
          <cell r="I30" t="str">
            <v>Some</v>
          </cell>
          <cell r="L30" t="str">
            <v>CBSA 2014</v>
          </cell>
          <cell r="R30" t="str">
            <v>PRE/POST 2006</v>
          </cell>
          <cell r="U30" t="str">
            <v>Envelope</v>
          </cell>
        </row>
        <row r="31">
          <cell r="B31" t="str">
            <v>Variable Speed Chiller</v>
          </cell>
          <cell r="C31" t="str">
            <v>NR</v>
          </cell>
          <cell r="D31" t="str">
            <v>Variable Speed Chiller-NR</v>
          </cell>
          <cell r="E31" t="str">
            <v>kWh per KSF BT</v>
          </cell>
          <cell r="F31" t="str">
            <v>Variable speed chillers</v>
          </cell>
          <cell r="G31">
            <v>1</v>
          </cell>
          <cell r="H31" t="str">
            <v>Variable Speed Chiller</v>
          </cell>
          <cell r="I31" t="str">
            <v>Some</v>
          </cell>
          <cell r="L31" t="str">
            <v>CBSA 2014</v>
          </cell>
          <cell r="R31" t="str">
            <v>PRE/POST 2006</v>
          </cell>
          <cell r="U31" t="str">
            <v>Envelope</v>
          </cell>
        </row>
        <row r="32">
          <cell r="B32" t="str">
            <v>Commercial EM</v>
          </cell>
          <cell r="C32" t="str">
            <v>New</v>
          </cell>
          <cell r="D32" t="str">
            <v>Commercial EM-New</v>
          </cell>
          <cell r="E32" t="str">
            <v>kWh per KSF BT</v>
          </cell>
          <cell r="F32" t="str">
            <v>Commercial Energy Management</v>
          </cell>
          <cell r="G32">
            <v>1</v>
          </cell>
          <cell r="H32" t="str">
            <v>Commercial Energy Management For Complex systems</v>
          </cell>
          <cell r="I32" t="str">
            <v>All</v>
          </cell>
          <cell r="L32" t="str">
            <v>CBSA 2014</v>
          </cell>
          <cell r="R32" t="str">
            <v>PRE/POST 2006</v>
          </cell>
          <cell r="U32" t="str">
            <v>Whole Bldg/Meter Level System Improvements</v>
          </cell>
        </row>
        <row r="33">
          <cell r="B33" t="str">
            <v>Commercial EM</v>
          </cell>
          <cell r="C33" t="str">
            <v>NR</v>
          </cell>
          <cell r="D33" t="str">
            <v>Commercial EM-NR</v>
          </cell>
          <cell r="E33" t="str">
            <v>kWh per KSF BT</v>
          </cell>
          <cell r="F33" t="str">
            <v>Commercial Energy Management</v>
          </cell>
          <cell r="G33">
            <v>1</v>
          </cell>
          <cell r="H33" t="str">
            <v>Commercial Energy Management For Complex systems</v>
          </cell>
          <cell r="I33" t="str">
            <v>All</v>
          </cell>
          <cell r="L33" t="str">
            <v>CBSA 2014</v>
          </cell>
          <cell r="R33" t="str">
            <v>PRE/POST 2006</v>
          </cell>
          <cell r="U33" t="str">
            <v>Whole Bldg/Meter Level System Improvements</v>
          </cell>
        </row>
        <row r="34">
          <cell r="B34" t="str">
            <v>Commercial EM</v>
          </cell>
          <cell r="C34" t="str">
            <v>Retro</v>
          </cell>
          <cell r="D34" t="str">
            <v>Commercial EM-Retro</v>
          </cell>
          <cell r="E34" t="str">
            <v>kWh per KSF BT</v>
          </cell>
          <cell r="F34" t="str">
            <v>Commercial Energy Management</v>
          </cell>
          <cell r="G34">
            <v>20</v>
          </cell>
          <cell r="H34" t="str">
            <v>Commercial Energy Management For Complex systems</v>
          </cell>
          <cell r="I34" t="str">
            <v>All</v>
          </cell>
          <cell r="L34" t="str">
            <v>CBSA 2014</v>
          </cell>
          <cell r="R34" t="str">
            <v>PRE/POST 2006</v>
          </cell>
          <cell r="U34" t="str">
            <v>Whole Bldg/Meter Level System Improvements</v>
          </cell>
        </row>
        <row r="35">
          <cell r="B35" t="str">
            <v>Evaporative Assist Cooling</v>
          </cell>
          <cell r="C35" t="str">
            <v>New</v>
          </cell>
          <cell r="D35" t="str">
            <v>Evaporative Assist Cooling-New</v>
          </cell>
          <cell r="E35" t="str">
            <v>kWh per KSF BT</v>
          </cell>
          <cell r="F35" t="str">
            <v>Evaporative Assist Cooling</v>
          </cell>
          <cell r="G35">
            <v>1</v>
          </cell>
          <cell r="H35" t="str">
            <v>Evaporative Assist Cooling</v>
          </cell>
          <cell r="I35" t="str">
            <v>Some</v>
          </cell>
          <cell r="L35" t="str">
            <v>CBSA 2014</v>
          </cell>
          <cell r="R35" t="str">
            <v>PRE/POST 2006</v>
          </cell>
          <cell r="U35" t="str">
            <v>HVAC System Improvements</v>
          </cell>
        </row>
        <row r="36">
          <cell r="B36" t="str">
            <v>Evaporative Assist Cooling</v>
          </cell>
          <cell r="C36" t="str">
            <v>NR</v>
          </cell>
          <cell r="D36" t="str">
            <v>Evaporative Assist Cooling-NR</v>
          </cell>
          <cell r="E36" t="str">
            <v>kWh per KSF BT</v>
          </cell>
          <cell r="F36" t="str">
            <v>Evaporative Assist Cooling</v>
          </cell>
          <cell r="G36">
            <v>1</v>
          </cell>
          <cell r="H36" t="str">
            <v>Evaporative Assist Cooling</v>
          </cell>
          <cell r="I36" t="str">
            <v>Some</v>
          </cell>
          <cell r="L36" t="str">
            <v>CBSA 2014</v>
          </cell>
          <cell r="R36" t="str">
            <v>PRE/POST 2006</v>
          </cell>
          <cell r="U36" t="str">
            <v>HVAC System Improvements</v>
          </cell>
        </row>
        <row r="37">
          <cell r="B37" t="str">
            <v>Low Pressure Distribution Complex HVAC</v>
          </cell>
          <cell r="C37" t="str">
            <v>New</v>
          </cell>
          <cell r="D37" t="str">
            <v>Low Pressure Distribution Complex HVAC-New</v>
          </cell>
          <cell r="E37" t="str">
            <v>kWh per KSF BT</v>
          </cell>
          <cell r="F37" t="str">
            <v>Dedicated Outside Air or Underfloor Air distribution systems in buildings with complex HVAC systems</v>
          </cell>
          <cell r="G37">
            <v>2</v>
          </cell>
          <cell r="H37" t="str">
            <v>Low Pressure Distribution Complex HVAC</v>
          </cell>
          <cell r="I37" t="str">
            <v>Some</v>
          </cell>
          <cell r="L37" t="str">
            <v>CBSA 2014</v>
          </cell>
          <cell r="R37" t="str">
            <v>POST 2006</v>
          </cell>
          <cell r="U37" t="str">
            <v>HVAC System Improvements</v>
          </cell>
        </row>
        <row r="38">
          <cell r="B38" t="str">
            <v>Demand Control Ventilation</v>
          </cell>
          <cell r="C38" t="str">
            <v>New</v>
          </cell>
          <cell r="D38" t="str">
            <v>Demand Control Ventilation-New</v>
          </cell>
          <cell r="E38" t="str">
            <v>kWh per KSF BT</v>
          </cell>
          <cell r="F38" t="str">
            <v>Fan control strategies, DCV and Fleet Strategy DOAS with heat recovery in simple HVAC systems</v>
          </cell>
          <cell r="G38">
            <v>2</v>
          </cell>
          <cell r="H38" t="str">
            <v>Demand Control Ventilation</v>
          </cell>
          <cell r="I38" t="str">
            <v>All</v>
          </cell>
          <cell r="L38" t="str">
            <v>CBSA 2014</v>
          </cell>
          <cell r="R38" t="str">
            <v>PRE/POST 2006</v>
          </cell>
          <cell r="U38" t="str">
            <v>HVAC System Controls</v>
          </cell>
        </row>
        <row r="39">
          <cell r="B39" t="str">
            <v>Demand Control Ventilation</v>
          </cell>
          <cell r="C39" t="str">
            <v>NR</v>
          </cell>
          <cell r="D39" t="str">
            <v>Demand Control Ventilation-NR</v>
          </cell>
          <cell r="E39" t="str">
            <v>kWh per KSF BT</v>
          </cell>
          <cell r="F39" t="str">
            <v>Fan control strategies, DCV and Fleet Strategy DOAS with heat recovery in simple HVAC systems</v>
          </cell>
          <cell r="G39">
            <v>1</v>
          </cell>
          <cell r="H39" t="str">
            <v>Demand Control Ventilation</v>
          </cell>
          <cell r="I39" t="str">
            <v>All</v>
          </cell>
          <cell r="L39" t="str">
            <v>CBSA 2014</v>
          </cell>
          <cell r="R39" t="str">
            <v>PRE/POST 2006</v>
          </cell>
          <cell r="U39" t="str">
            <v>HVAC System Controls</v>
          </cell>
        </row>
        <row r="40">
          <cell r="B40" t="str">
            <v>Demand Control Ventilation</v>
          </cell>
          <cell r="C40" t="str">
            <v>Retro</v>
          </cell>
          <cell r="D40" t="str">
            <v>Demand Control Ventilation-Retro</v>
          </cell>
          <cell r="E40" t="str">
            <v>kWh per KSF BT</v>
          </cell>
          <cell r="F40" t="str">
            <v>Fan control strategies, DCV and Fleet Strategy DOAS with heat recovery in simple HVAC systems</v>
          </cell>
          <cell r="G40">
            <v>2</v>
          </cell>
          <cell r="H40" t="str">
            <v>Demand Control Ventilation</v>
          </cell>
          <cell r="I40" t="str">
            <v>All</v>
          </cell>
          <cell r="L40" t="str">
            <v>CBSA 2014</v>
          </cell>
          <cell r="R40" t="str">
            <v>PRE/POST 2006</v>
          </cell>
          <cell r="U40" t="str">
            <v>HVAC System Controls</v>
          </cell>
        </row>
        <row r="41">
          <cell r="B41" t="str">
            <v>Premium Fume Hood</v>
          </cell>
          <cell r="C41" t="str">
            <v>NR</v>
          </cell>
          <cell r="D41" t="str">
            <v>Premium Fume Hood-NR</v>
          </cell>
          <cell r="E41" t="str">
            <v>Count</v>
          </cell>
          <cell r="F41" t="str">
            <v>Effiicient fume hoods in labs</v>
          </cell>
          <cell r="G41">
            <v>1</v>
          </cell>
          <cell r="H41" t="str">
            <v>Premium Fume Hood</v>
          </cell>
          <cell r="I41" t="str">
            <v>Some</v>
          </cell>
          <cell r="L41" t="str">
            <v>CBSA 2014</v>
          </cell>
          <cell r="R41" t="str">
            <v>N/A</v>
          </cell>
          <cell r="U41" t="str">
            <v>Pumps and Fans</v>
          </cell>
        </row>
        <row r="42">
          <cell r="B42" t="str">
            <v>DCV Restaurant Hood</v>
          </cell>
          <cell r="C42" t="str">
            <v>Retro</v>
          </cell>
          <cell r="D42" t="str">
            <v>DCV Restaurant Hood-Retro</v>
          </cell>
          <cell r="E42" t="str">
            <v>Count</v>
          </cell>
          <cell r="F42" t="str">
            <v>Demand control ventilation systems for large restaurant hoods</v>
          </cell>
          <cell r="G42">
            <v>1</v>
          </cell>
          <cell r="H42" t="str">
            <v>DCV Restaurant Hood</v>
          </cell>
          <cell r="I42" t="str">
            <v>Restaurant</v>
          </cell>
          <cell r="L42" t="str">
            <v>CBSA 2014</v>
          </cell>
          <cell r="R42" t="str">
            <v>N/A</v>
          </cell>
          <cell r="U42" t="str">
            <v>Pumps and Fans</v>
          </cell>
        </row>
        <row r="43">
          <cell r="B43" t="str">
            <v>DCV Parking Garage</v>
          </cell>
          <cell r="C43" t="str">
            <v>Retro</v>
          </cell>
          <cell r="D43" t="str">
            <v>DCV Parking Garage-Retro</v>
          </cell>
          <cell r="E43" t="str">
            <v>kWh per kSF BT</v>
          </cell>
          <cell r="F43" t="str">
            <v>Demand control ventilation systems for parking garages</v>
          </cell>
          <cell r="G43">
            <v>1</v>
          </cell>
          <cell r="H43" t="str">
            <v>DCV Parking Garage</v>
          </cell>
          <cell r="I43" t="str">
            <v>All</v>
          </cell>
          <cell r="L43" t="str">
            <v>CBSA 2014</v>
          </cell>
          <cell r="Q43" t="str">
            <v>x</v>
          </cell>
          <cell r="R43" t="str">
            <v>N/A</v>
          </cell>
          <cell r="U43" t="str">
            <v>Pumps and Fans</v>
          </cell>
        </row>
        <row r="44">
          <cell r="B44" t="str">
            <v>Weatherization - School</v>
          </cell>
          <cell r="C44" t="str">
            <v>Retro</v>
          </cell>
          <cell r="D44" t="str">
            <v>Weatherization - School-Retro</v>
          </cell>
          <cell r="E44" t="str">
            <v>kWh per KSF BT</v>
          </cell>
          <cell r="F44" t="str">
            <v>School building weatherization</v>
          </cell>
          <cell r="G44">
            <v>1</v>
          </cell>
          <cell r="H44" t="str">
            <v>Weatherization - School</v>
          </cell>
          <cell r="I44" t="str">
            <v>K-12</v>
          </cell>
          <cell r="L44" t="str">
            <v>CBSA 2014</v>
          </cell>
          <cell r="Q44" t="str">
            <v>x</v>
          </cell>
          <cell r="R44" t="str">
            <v>N/A</v>
          </cell>
          <cell r="U44" t="str">
            <v>Envelope</v>
          </cell>
        </row>
        <row r="45">
          <cell r="B45" t="str">
            <v>Commercial Computer Laptop</v>
          </cell>
          <cell r="C45" t="str">
            <v>NR</v>
          </cell>
          <cell r="D45" t="str">
            <v>Commercial Computer Laptop-NR</v>
          </cell>
          <cell r="E45" t="str">
            <v>Count</v>
          </cell>
          <cell r="F45" t="str">
            <v>Commercial Computer Laptop</v>
          </cell>
          <cell r="G45">
            <v>1</v>
          </cell>
          <cell r="H45" t="str">
            <v>ENERGY STAR Laptop</v>
          </cell>
          <cell r="I45" t="str">
            <v>All</v>
          </cell>
          <cell r="L45" t="str">
            <v>Std Laptop</v>
          </cell>
          <cell r="R45" t="str">
            <v>N/A</v>
          </cell>
          <cell r="U45" t="str">
            <v>Computer Technologies</v>
          </cell>
        </row>
        <row r="46">
          <cell r="B46" t="str">
            <v>AC Heat Recovery for Water Heating</v>
          </cell>
          <cell r="C46" t="str">
            <v>NR</v>
          </cell>
          <cell r="D46" t="str">
            <v>AC Heat Recovery for Water Heating-NR</v>
          </cell>
          <cell r="E46" t="str">
            <v>Count</v>
          </cell>
          <cell r="F46" t="str">
            <v>AC Heat Recovery for Water Heating</v>
          </cell>
          <cell r="G46">
            <v>1</v>
          </cell>
          <cell r="H46" t="str">
            <v>AC Heat Recovery for Water Heating</v>
          </cell>
          <cell r="I46" t="str">
            <v>All</v>
          </cell>
          <cell r="L46" t="str">
            <v>CBSA 2014</v>
          </cell>
          <cell r="Q46" t="str">
            <v>x</v>
          </cell>
          <cell r="R46" t="str">
            <v>N/A</v>
          </cell>
          <cell r="U46" t="str">
            <v>Heat Recovery</v>
          </cell>
        </row>
        <row r="47">
          <cell r="B47" t="str">
            <v>Room Occupancy Sensors in Lodging</v>
          </cell>
          <cell r="C47" t="str">
            <v>Retro</v>
          </cell>
          <cell r="D47" t="str">
            <v>Room Occupancy Sensors in Lodging-Retro</v>
          </cell>
          <cell r="E47" t="str">
            <v>Count</v>
          </cell>
          <cell r="F47" t="str">
            <v>Room Occupancy Sensors in Lodging</v>
          </cell>
          <cell r="G47">
            <v>1</v>
          </cell>
          <cell r="H47" t="str">
            <v>Room Occupancy Sensors in Lodging</v>
          </cell>
          <cell r="I47" t="str">
            <v>Lodging</v>
          </cell>
          <cell r="L47" t="str">
            <v>CBSA 2014</v>
          </cell>
          <cell r="Q47" t="str">
            <v>x</v>
          </cell>
          <cell r="R47" t="str">
            <v>N/A</v>
          </cell>
          <cell r="U47" t="str">
            <v>Whole Bldg/Meter Level System Improvements</v>
          </cell>
        </row>
        <row r="48">
          <cell r="B48" t="str">
            <v>Chiller - chilled water retrofit</v>
          </cell>
          <cell r="C48" t="str">
            <v>Retro</v>
          </cell>
          <cell r="D48" t="str">
            <v>Chiller - chilled water retrofit-Retro</v>
          </cell>
          <cell r="E48" t="str">
            <v>kWh per KSF BT</v>
          </cell>
          <cell r="F48" t="str">
            <v>Chiller system improvements</v>
          </cell>
          <cell r="G48">
            <v>1</v>
          </cell>
          <cell r="H48" t="str">
            <v>Chiller - chilled water retrofit</v>
          </cell>
          <cell r="I48" t="str">
            <v>Some</v>
          </cell>
          <cell r="L48" t="str">
            <v>CBSA 2014</v>
          </cell>
          <cell r="Q48" t="str">
            <v>x</v>
          </cell>
          <cell r="R48" t="str">
            <v>N/A</v>
          </cell>
          <cell r="U48" t="str">
            <v>HVAC System Improvements</v>
          </cell>
        </row>
        <row r="49">
          <cell r="B49" t="str">
            <v>Chiller - equip retrofits</v>
          </cell>
          <cell r="C49" t="str">
            <v>Retro</v>
          </cell>
          <cell r="D49" t="str">
            <v>Chiller - equip retrofits-Retro</v>
          </cell>
          <cell r="E49" t="str">
            <v>kWh per KSF BT</v>
          </cell>
          <cell r="F49" t="str">
            <v>Chiller equipment improvements</v>
          </cell>
          <cell r="G49">
            <v>1</v>
          </cell>
          <cell r="H49" t="str">
            <v>Chiller - equip retrofits</v>
          </cell>
          <cell r="I49" t="str">
            <v>Some</v>
          </cell>
          <cell r="L49" t="str">
            <v>CBSA 2014</v>
          </cell>
          <cell r="Q49" t="str">
            <v>x</v>
          </cell>
          <cell r="R49" t="str">
            <v>N/A</v>
          </cell>
          <cell r="U49" t="str">
            <v>HVAC System Improvements</v>
          </cell>
        </row>
        <row r="50">
          <cell r="B50" t="str">
            <v>Pool Blankets</v>
          </cell>
          <cell r="C50" t="str">
            <v>Retro</v>
          </cell>
          <cell r="D50" t="str">
            <v>Pool Blankets-Retro</v>
          </cell>
          <cell r="E50" t="str">
            <v>Count</v>
          </cell>
          <cell r="F50" t="str">
            <v>Pool Blankets</v>
          </cell>
          <cell r="G50">
            <v>1</v>
          </cell>
          <cell r="H50" t="str">
            <v>Pool Blankets</v>
          </cell>
          <cell r="I50" t="str">
            <v>Some</v>
          </cell>
          <cell r="L50" t="str">
            <v>CBSA 2014</v>
          </cell>
          <cell r="Q50" t="str">
            <v>x</v>
          </cell>
          <cell r="R50" t="str">
            <v>N/A</v>
          </cell>
          <cell r="U50" t="str">
            <v>Pool System Improvements</v>
          </cell>
        </row>
        <row r="51">
          <cell r="B51" t="str">
            <v>Web-Enabled Thermostats</v>
          </cell>
          <cell r="C51" t="str">
            <v>Retro</v>
          </cell>
          <cell r="D51" t="str">
            <v>Web-Enabled Thermostats-Retro</v>
          </cell>
          <cell r="E51" t="str">
            <v>kWh per KSF BT</v>
          </cell>
          <cell r="F51" t="str">
            <v>Web-Enabled Thermostats</v>
          </cell>
          <cell r="G51">
            <v>1</v>
          </cell>
          <cell r="H51" t="str">
            <v>Web-Enabled Thermostats</v>
          </cell>
          <cell r="I51" t="str">
            <v>Some</v>
          </cell>
          <cell r="L51" t="str">
            <v>CBSA 2014</v>
          </cell>
          <cell r="Q51" t="str">
            <v>x</v>
          </cell>
          <cell r="R51" t="str">
            <v>N/A</v>
          </cell>
          <cell r="U51" t="str">
            <v>HVAC System Controls</v>
          </cell>
        </row>
        <row r="52">
          <cell r="B52" t="str">
            <v>Garage CO2 ventilation</v>
          </cell>
          <cell r="C52" t="str">
            <v>Retro</v>
          </cell>
          <cell r="D52" t="str">
            <v>Garage CO2 ventilation-Retro</v>
          </cell>
          <cell r="E52" t="str">
            <v>Count</v>
          </cell>
          <cell r="F52" t="str">
            <v>Garage CO2 ventilation</v>
          </cell>
          <cell r="G52">
            <v>1</v>
          </cell>
          <cell r="H52" t="str">
            <v>Garage CO2 ventilation</v>
          </cell>
          <cell r="I52" t="str">
            <v>Some</v>
          </cell>
          <cell r="L52" t="str">
            <v>CBSA 2014</v>
          </cell>
          <cell r="Q52" t="str">
            <v>x</v>
          </cell>
          <cell r="R52" t="str">
            <v>N/A</v>
          </cell>
          <cell r="U52" t="str">
            <v>HVAC System Controls</v>
          </cell>
        </row>
        <row r="53">
          <cell r="B53" t="str">
            <v>Circ Pump ECM and drive</v>
          </cell>
          <cell r="C53" t="str">
            <v>Retro</v>
          </cell>
          <cell r="D53" t="str">
            <v>Circ Pump ECM and drive-Retro</v>
          </cell>
          <cell r="E53" t="str">
            <v>Count</v>
          </cell>
          <cell r="F53" t="str">
            <v>Circulation Pump ECM and drive</v>
          </cell>
          <cell r="G53">
            <v>1</v>
          </cell>
          <cell r="H53" t="str">
            <v>Circ Pump ECM and drive</v>
          </cell>
          <cell r="I53" t="str">
            <v>Some</v>
          </cell>
          <cell r="L53" t="str">
            <v>CBSA 2014</v>
          </cell>
          <cell r="Q53" t="str">
            <v>x</v>
          </cell>
          <cell r="R53" t="str">
            <v>N/A</v>
          </cell>
          <cell r="U53" t="str">
            <v>Pumps and Fans</v>
          </cell>
        </row>
        <row r="54">
          <cell r="B54" t="str">
            <v>VRF</v>
          </cell>
          <cell r="C54" t="str">
            <v>New</v>
          </cell>
          <cell r="D54" t="str">
            <v>VRF-New</v>
          </cell>
          <cell r="E54" t="str">
            <v>kWh per KSF BT</v>
          </cell>
          <cell r="F54" t="str">
            <v>Variable Refrigerant Flow</v>
          </cell>
          <cell r="G54">
            <v>1</v>
          </cell>
          <cell r="H54" t="str">
            <v>Variable Refrigerant Flow</v>
          </cell>
          <cell r="I54" t="str">
            <v>Some</v>
          </cell>
          <cell r="L54" t="str">
            <v>CBSA 2014</v>
          </cell>
          <cell r="Q54" t="str">
            <v>x</v>
          </cell>
          <cell r="U54" t="str">
            <v>HVAC System Improvements</v>
          </cell>
        </row>
        <row r="55">
          <cell r="B55" t="str">
            <v>VRF</v>
          </cell>
          <cell r="C55" t="str">
            <v>Retro</v>
          </cell>
          <cell r="D55" t="str">
            <v>VRF-Retro</v>
          </cell>
          <cell r="E55" t="str">
            <v>kWh per KSF BT</v>
          </cell>
          <cell r="F55" t="str">
            <v>Variable Refrigerant Flow</v>
          </cell>
          <cell r="G55">
            <v>1</v>
          </cell>
          <cell r="H55" t="str">
            <v>Variable Refrigerant Flow</v>
          </cell>
          <cell r="I55" t="str">
            <v>Some</v>
          </cell>
          <cell r="L55" t="str">
            <v>CBSA 2014</v>
          </cell>
          <cell r="Q55" t="str">
            <v>x</v>
          </cell>
          <cell r="R55" t="str">
            <v>N/A</v>
          </cell>
          <cell r="U55" t="str">
            <v>Envelope</v>
          </cell>
        </row>
        <row r="56">
          <cell r="B56" t="str">
            <v>Evaporator Roof Top HVAC</v>
          </cell>
          <cell r="C56" t="str">
            <v>Retro</v>
          </cell>
          <cell r="D56" t="str">
            <v>Evaporator Roof Top HVAC-Retro</v>
          </cell>
          <cell r="E56" t="str">
            <v>kWh per KSF BT</v>
          </cell>
          <cell r="F56" t="str">
            <v>Evaporator Roof Top HVAC</v>
          </cell>
          <cell r="G56">
            <v>1</v>
          </cell>
          <cell r="H56" t="str">
            <v>Evaporator Roof Top HVAC</v>
          </cell>
          <cell r="I56" t="str">
            <v>Some</v>
          </cell>
          <cell r="L56" t="str">
            <v>CBSA 2014</v>
          </cell>
          <cell r="Q56" t="str">
            <v>x</v>
          </cell>
          <cell r="R56" t="str">
            <v>N/A</v>
          </cell>
          <cell r="U56" t="str">
            <v>HVAC System Improvements</v>
          </cell>
        </row>
        <row r="57">
          <cell r="B57" t="str">
            <v>Secondary Glazing Systems</v>
          </cell>
          <cell r="C57" t="str">
            <v>Retro</v>
          </cell>
          <cell r="D57" t="str">
            <v>Secondary Glazing Systems-Retro</v>
          </cell>
          <cell r="E57" t="str">
            <v>kWh per KSF BT</v>
          </cell>
          <cell r="F57" t="str">
            <v>Secondary Glazing Systems</v>
          </cell>
          <cell r="G57">
            <v>1</v>
          </cell>
          <cell r="H57" t="str">
            <v>Secondary Glazing Systems</v>
          </cell>
          <cell r="I57" t="str">
            <v>All</v>
          </cell>
          <cell r="L57" t="str">
            <v>CBSA 2014</v>
          </cell>
          <cell r="Q57" t="str">
            <v>x</v>
          </cell>
          <cell r="R57" t="str">
            <v>N/A</v>
          </cell>
          <cell r="U57" t="str">
            <v>Envelope</v>
          </cell>
        </row>
        <row r="58">
          <cell r="B58" t="str">
            <v>LPD Package</v>
          </cell>
          <cell r="C58" t="str">
            <v>New</v>
          </cell>
          <cell r="D58" t="str">
            <v>LPD Package-New</v>
          </cell>
          <cell r="E58" t="str">
            <v>kWh per KSF BT</v>
          </cell>
          <cell r="F58" t="str">
            <v>Lamp, ballast and fixture improvements to lighting power density</v>
          </cell>
          <cell r="G58">
            <v>8</v>
          </cell>
          <cell r="H58" t="str">
            <v>Lighting Power Density</v>
          </cell>
          <cell r="I58" t="str">
            <v>All</v>
          </cell>
          <cell r="L58" t="str">
            <v>CBSA 2014</v>
          </cell>
          <cell r="R58" t="str">
            <v>PRE/POST 2006</v>
          </cell>
          <cell r="U58" t="str">
            <v>Lamps/Ballasts/Fixtures</v>
          </cell>
        </row>
        <row r="59">
          <cell r="B59" t="str">
            <v>LPD Package</v>
          </cell>
          <cell r="C59" t="str">
            <v>NR</v>
          </cell>
          <cell r="D59" t="str">
            <v>LPD Package-NR</v>
          </cell>
          <cell r="E59" t="str">
            <v>kWh per KSF BT</v>
          </cell>
          <cell r="F59" t="str">
            <v>Lamp, ballast and fixture improvements to lighting power density</v>
          </cell>
          <cell r="G59">
            <v>12</v>
          </cell>
          <cell r="H59" t="str">
            <v>Lighting Power Density</v>
          </cell>
          <cell r="I59" t="str">
            <v>All</v>
          </cell>
          <cell r="L59" t="str">
            <v>CBSA 2014</v>
          </cell>
          <cell r="R59" t="str">
            <v>PRE/POST 2006</v>
          </cell>
          <cell r="U59" t="str">
            <v>Lamps/Ballasts/Fixtures</v>
          </cell>
        </row>
        <row r="60">
          <cell r="B60" t="str">
            <v>LPD Package</v>
          </cell>
          <cell r="C60" t="str">
            <v>Retro</v>
          </cell>
          <cell r="D60" t="str">
            <v>LPD Package-Retro</v>
          </cell>
          <cell r="E60" t="str">
            <v>kWh per KSF BT</v>
          </cell>
          <cell r="F60" t="str">
            <v>Lamp, ballast and fixture improvements to lighting power density</v>
          </cell>
          <cell r="G60">
            <v>22</v>
          </cell>
          <cell r="H60" t="str">
            <v>Lighting Power Density</v>
          </cell>
          <cell r="I60" t="str">
            <v>All</v>
          </cell>
          <cell r="L60" t="str">
            <v>CBSA 2014</v>
          </cell>
          <cell r="R60" t="str">
            <v>PRE/POST 2006</v>
          </cell>
          <cell r="U60" t="str">
            <v>Lamps/Ballasts/Fixtures</v>
          </cell>
        </row>
        <row r="61">
          <cell r="B61" t="str">
            <v>Top Daylighting</v>
          </cell>
          <cell r="C61" t="str">
            <v>New</v>
          </cell>
          <cell r="D61" t="str">
            <v>Top Daylighting-New</v>
          </cell>
          <cell r="E61" t="str">
            <v>kWh per KSF BT</v>
          </cell>
          <cell r="F61" t="str">
            <v>Skylights with lighting controls</v>
          </cell>
          <cell r="G61">
            <v>6</v>
          </cell>
          <cell r="H61" t="str">
            <v>Daylighting with Skylights</v>
          </cell>
          <cell r="I61" t="str">
            <v>All</v>
          </cell>
          <cell r="L61" t="str">
            <v>CBSA 2014</v>
          </cell>
          <cell r="R61" t="str">
            <v>POST 2006</v>
          </cell>
          <cell r="U61" t="str">
            <v>Whole Bldg/Meter Level System Improvements</v>
          </cell>
        </row>
        <row r="62">
          <cell r="B62" t="str">
            <v>Perimeter Daylighting Controls Advanced</v>
          </cell>
          <cell r="C62" t="str">
            <v>New</v>
          </cell>
          <cell r="D62" t="str">
            <v>Perimeter Daylighting Controls Advanced-New</v>
          </cell>
          <cell r="E62" t="str">
            <v>kWh per KSF BT</v>
          </cell>
          <cell r="F62" t="str">
            <v>Perimeter daylighting controls</v>
          </cell>
          <cell r="G62">
            <v>6</v>
          </cell>
          <cell r="H62" t="str">
            <v>Daylighting with Windows</v>
          </cell>
          <cell r="I62" t="str">
            <v>All</v>
          </cell>
          <cell r="L62" t="str">
            <v>CBSA 2014</v>
          </cell>
          <cell r="R62" t="str">
            <v>PRE/POST 2006</v>
          </cell>
          <cell r="U62" t="str">
            <v>Whole Bldg/Meter Level System Improvements</v>
          </cell>
        </row>
        <row r="63">
          <cell r="B63" t="str">
            <v>Perimeter Daylighting Controls Advanced</v>
          </cell>
          <cell r="C63" t="str">
            <v>NR</v>
          </cell>
          <cell r="D63" t="str">
            <v>Perimeter Daylighting Controls Advanced-NR</v>
          </cell>
          <cell r="E63" t="str">
            <v>kWh per KSF BT</v>
          </cell>
          <cell r="F63" t="str">
            <v>Perimeter daylighting controls</v>
          </cell>
          <cell r="G63">
            <v>6</v>
          </cell>
          <cell r="H63" t="str">
            <v>Daylighting with Windows</v>
          </cell>
          <cell r="I63" t="str">
            <v>All</v>
          </cell>
          <cell r="L63" t="str">
            <v>CBSA 2014</v>
          </cell>
          <cell r="R63" t="str">
            <v>PRE/POST 2006</v>
          </cell>
          <cell r="U63" t="str">
            <v>Whole Bldg/Meter Level System Improvements</v>
          </cell>
        </row>
        <row r="64">
          <cell r="B64" t="str">
            <v>Lighting Controls Interior</v>
          </cell>
          <cell r="C64" t="str">
            <v>New</v>
          </cell>
          <cell r="D64" t="str">
            <v>Lighting Controls Interior-New</v>
          </cell>
          <cell r="E64" t="str">
            <v>kWh per KSF BT</v>
          </cell>
          <cell r="F64" t="str">
            <v>Occupancy controls for lighting areas not required by code such as warehouse aisle, classrooms</v>
          </cell>
          <cell r="G64">
            <v>6</v>
          </cell>
          <cell r="H64" t="str">
            <v>Lighting Controls Interior</v>
          </cell>
          <cell r="I64" t="str">
            <v>All</v>
          </cell>
          <cell r="L64" t="str">
            <v>CBSA 2014</v>
          </cell>
          <cell r="R64" t="str">
            <v>PRE/POST 2006</v>
          </cell>
          <cell r="U64" t="str">
            <v>Lighting Controls</v>
          </cell>
        </row>
        <row r="65">
          <cell r="B65" t="str">
            <v>Lighting Controls Interior</v>
          </cell>
          <cell r="C65" t="str">
            <v>NR</v>
          </cell>
          <cell r="D65" t="str">
            <v>Lighting Controls Interior-NR</v>
          </cell>
          <cell r="E65" t="str">
            <v>kWh per KSF BT</v>
          </cell>
          <cell r="F65" t="str">
            <v>Occupancy controls for lighting areas not required by code such as warehouse aisle, classrooms</v>
          </cell>
          <cell r="G65">
            <v>6</v>
          </cell>
          <cell r="H65" t="str">
            <v>Lighting Controls Interior</v>
          </cell>
          <cell r="I65" t="str">
            <v>All</v>
          </cell>
          <cell r="L65" t="str">
            <v>CBSA 2014</v>
          </cell>
          <cell r="R65" t="str">
            <v>PRE/POST 2006</v>
          </cell>
          <cell r="U65" t="str">
            <v>Lighting Controls</v>
          </cell>
        </row>
        <row r="66">
          <cell r="B66" t="str">
            <v>Exterior Building Lighting</v>
          </cell>
          <cell r="C66" t="str">
            <v>New</v>
          </cell>
          <cell r="D66" t="str">
            <v>Exterior Building Lighting-New</v>
          </cell>
          <cell r="E66" t="str">
            <v>kWh per KSF BT</v>
          </cell>
          <cell r="F66" t="str">
            <v>Effiicient façade, walkway, area and decorative exterior lighting, such as LED</v>
          </cell>
          <cell r="G66">
            <v>4</v>
          </cell>
          <cell r="H66" t="str">
            <v>Exterior Building Lighting</v>
          </cell>
          <cell r="I66" t="str">
            <v>All</v>
          </cell>
          <cell r="L66" t="str">
            <v>CBSA 2014</v>
          </cell>
          <cell r="U66" t="str">
            <v>Lamps/Ballasts/Fixtures</v>
          </cell>
        </row>
        <row r="67">
          <cell r="B67" t="str">
            <v>Exterior Building Lighting</v>
          </cell>
          <cell r="C67" t="str">
            <v>NR</v>
          </cell>
          <cell r="D67" t="str">
            <v>Exterior Building Lighting-NR</v>
          </cell>
          <cell r="E67" t="str">
            <v>kWh per KSF BT</v>
          </cell>
          <cell r="F67" t="str">
            <v>Effiicient façade, walkway, area and decorative exterior lighting, such as LED</v>
          </cell>
          <cell r="G67">
            <v>4</v>
          </cell>
          <cell r="H67" t="str">
            <v>Exterior Building Lighting</v>
          </cell>
          <cell r="I67" t="str">
            <v>All</v>
          </cell>
          <cell r="L67" t="str">
            <v>CBSA 2014</v>
          </cell>
          <cell r="R67" t="str">
            <v>N/A</v>
          </cell>
          <cell r="U67" t="str">
            <v>Lamps/Ballasts/Fixtures</v>
          </cell>
        </row>
        <row r="68">
          <cell r="B68" t="str">
            <v>Street and Roadway Lighting</v>
          </cell>
          <cell r="C68" t="str">
            <v>New</v>
          </cell>
          <cell r="D68" t="str">
            <v>Street and Roadway Lighting-New</v>
          </cell>
          <cell r="E68" t="str">
            <v>Count</v>
          </cell>
          <cell r="F68" t="str">
            <v>Efficient street and roadway lighting, LED and induction</v>
          </cell>
          <cell r="G68">
            <v>6</v>
          </cell>
          <cell r="H68" t="str">
            <v>Street and Roadway Lighting</v>
          </cell>
          <cell r="I68" t="str">
            <v>Non-Building</v>
          </cell>
          <cell r="L68" t="str">
            <v>Navigant 2014</v>
          </cell>
          <cell r="U68" t="str">
            <v>Lamps/Ballasts/Fixtures</v>
          </cell>
        </row>
        <row r="69">
          <cell r="B69" t="str">
            <v>Street and Roadway Lighting</v>
          </cell>
          <cell r="C69" t="str">
            <v>NR</v>
          </cell>
          <cell r="D69" t="str">
            <v>Street and Roadway Lighting-NR</v>
          </cell>
          <cell r="E69" t="str">
            <v>Count</v>
          </cell>
          <cell r="F69" t="str">
            <v>Efficient street and roadway lighting, LED and induction</v>
          </cell>
          <cell r="G69">
            <v>6</v>
          </cell>
          <cell r="H69" t="str">
            <v>Street and Roadway Lighting</v>
          </cell>
          <cell r="I69" t="str">
            <v>Non-Building</v>
          </cell>
          <cell r="L69" t="str">
            <v>Survey 2014</v>
          </cell>
          <cell r="R69" t="str">
            <v>N/A</v>
          </cell>
          <cell r="U69" t="str">
            <v>Lamps/Ballasts/Fixtures</v>
          </cell>
        </row>
        <row r="70">
          <cell r="B70" t="str">
            <v>Parking Lighting</v>
          </cell>
          <cell r="C70" t="str">
            <v>New</v>
          </cell>
          <cell r="D70" t="str">
            <v>Parking Lighting-New</v>
          </cell>
          <cell r="E70" t="str">
            <v>kWh per KSF BT</v>
          </cell>
          <cell r="F70" t="str">
            <v>Efficient parking lot and garage lighting and controls</v>
          </cell>
          <cell r="G70">
            <v>2</v>
          </cell>
          <cell r="H70" t="str">
            <v>Parking Lighting</v>
          </cell>
          <cell r="I70" t="str">
            <v>All</v>
          </cell>
          <cell r="L70" t="str">
            <v>CBSA 2014</v>
          </cell>
          <cell r="U70" t="str">
            <v>Lamps/Ballasts/Fixtures</v>
          </cell>
        </row>
        <row r="71">
          <cell r="B71" t="str">
            <v>Parking Lighting</v>
          </cell>
          <cell r="C71" t="str">
            <v>NR</v>
          </cell>
          <cell r="D71" t="str">
            <v>Parking Lighting-NR</v>
          </cell>
          <cell r="E71" t="str">
            <v>kWh per KSF BT</v>
          </cell>
          <cell r="F71" t="str">
            <v>Efficient parking lot and garage lighting and controls</v>
          </cell>
          <cell r="G71">
            <v>2</v>
          </cell>
          <cell r="H71" t="str">
            <v>Parking Lighting</v>
          </cell>
          <cell r="I71" t="str">
            <v>All</v>
          </cell>
          <cell r="L71" t="str">
            <v>CBSA 2014</v>
          </cell>
          <cell r="R71" t="str">
            <v>N/A</v>
          </cell>
          <cell r="U71" t="str">
            <v>Lamps/Ballasts/Fixtures</v>
          </cell>
        </row>
        <row r="72">
          <cell r="B72" t="str">
            <v>Luminaire Level Lighting Controls</v>
          </cell>
          <cell r="C72" t="str">
            <v>Retro</v>
          </cell>
          <cell r="D72" t="str">
            <v>Luminaire Level Lighting Controls-Retro</v>
          </cell>
          <cell r="E72" t="str">
            <v>kWh per KSF BT</v>
          </cell>
          <cell r="F72" t="str">
            <v>Luminaire Level Lighting Controls</v>
          </cell>
          <cell r="G72">
            <v>1</v>
          </cell>
          <cell r="H72" t="str">
            <v>Luminaire Level Lighting Controls</v>
          </cell>
          <cell r="I72" t="str">
            <v>All</v>
          </cell>
          <cell r="L72" t="str">
            <v>CBSA 2014</v>
          </cell>
          <cell r="Q72" t="str">
            <v>x</v>
          </cell>
          <cell r="R72" t="str">
            <v>N/A</v>
          </cell>
          <cell r="U72" t="str">
            <v>Lighting Controls</v>
          </cell>
        </row>
        <row r="73">
          <cell r="B73" t="str">
            <v>ECM-VAV</v>
          </cell>
          <cell r="C73" t="str">
            <v>New</v>
          </cell>
          <cell r="D73" t="str">
            <v>ECM-VAV-New</v>
          </cell>
          <cell r="E73" t="str">
            <v>kWh per KSF BT</v>
          </cell>
          <cell r="F73" t="str">
            <v>Electically Commutated Motors on Variable Air Volume Boxes</v>
          </cell>
          <cell r="G73">
            <v>1</v>
          </cell>
          <cell r="H73" t="str">
            <v>ECM Motors on Variable Air Volume Boxes</v>
          </cell>
          <cell r="I73" t="str">
            <v>All</v>
          </cell>
          <cell r="L73" t="str">
            <v>CBSA 2014</v>
          </cell>
          <cell r="R73" t="str">
            <v>PRE/POST 2006</v>
          </cell>
          <cell r="U73" t="str">
            <v>Motors</v>
          </cell>
        </row>
        <row r="74">
          <cell r="B74" t="str">
            <v>ECM-VAV</v>
          </cell>
          <cell r="C74" t="str">
            <v>NR</v>
          </cell>
          <cell r="D74" t="str">
            <v>ECM-VAV-NR</v>
          </cell>
          <cell r="E74" t="str">
            <v>kWh per KSF BT</v>
          </cell>
          <cell r="F74" t="str">
            <v>Electically Commutated Motors on Variable Air Volume Boxes</v>
          </cell>
          <cell r="G74">
            <v>1</v>
          </cell>
          <cell r="H74" t="str">
            <v>ECM Motors on Variable Air Volume Boxes</v>
          </cell>
          <cell r="I74" t="str">
            <v>All</v>
          </cell>
          <cell r="L74" t="str">
            <v>CBSA 2014</v>
          </cell>
          <cell r="R74" t="str">
            <v>PRE/POST 2006</v>
          </cell>
          <cell r="U74" t="str">
            <v>Motors</v>
          </cell>
        </row>
        <row r="75">
          <cell r="B75" t="str">
            <v>Pool pumps</v>
          </cell>
          <cell r="C75" t="str">
            <v>Retro</v>
          </cell>
          <cell r="D75" t="str">
            <v>Pool pumps-Retro</v>
          </cell>
          <cell r="E75" t="str">
            <v>Count</v>
          </cell>
          <cell r="F75" t="str">
            <v>Pool pumps</v>
          </cell>
          <cell r="G75">
            <v>1</v>
          </cell>
          <cell r="H75" t="str">
            <v>Pool pumps</v>
          </cell>
          <cell r="I75" t="str">
            <v>Some</v>
          </cell>
          <cell r="L75" t="str">
            <v>CBSA 2014</v>
          </cell>
          <cell r="Q75" t="str">
            <v>x</v>
          </cell>
          <cell r="R75" t="str">
            <v>N/A</v>
          </cell>
          <cell r="U75" t="str">
            <v>Pool System Improvements</v>
          </cell>
        </row>
        <row r="76">
          <cell r="B76" t="str">
            <v>MotorsRewind</v>
          </cell>
          <cell r="C76" t="str">
            <v>New</v>
          </cell>
          <cell r="D76" t="str">
            <v>MotorsRewind-New</v>
          </cell>
          <cell r="E76" t="str">
            <v>Count</v>
          </cell>
          <cell r="F76" t="str">
            <v>Switched Reluctance/Permanent Magnet Motors</v>
          </cell>
          <cell r="G76">
            <v>1</v>
          </cell>
          <cell r="H76" t="str">
            <v>Switched Reluctance/Permanent Magnet Motors</v>
          </cell>
          <cell r="I76" t="str">
            <v>All</v>
          </cell>
          <cell r="L76" t="str">
            <v>CBSA 2014</v>
          </cell>
          <cell r="Q76" t="str">
            <v>x</v>
          </cell>
          <cell r="R76" t="str">
            <v>N/A</v>
          </cell>
          <cell r="U76" t="str">
            <v>Motors</v>
          </cell>
        </row>
        <row r="77">
          <cell r="B77" t="str">
            <v>MotorsRewind</v>
          </cell>
          <cell r="C77" t="str">
            <v>NR</v>
          </cell>
          <cell r="D77" t="str">
            <v>MotorsRewind-NR</v>
          </cell>
          <cell r="E77" t="str">
            <v>Count</v>
          </cell>
          <cell r="F77" t="str">
            <v>Motors - Rewind</v>
          </cell>
          <cell r="G77">
            <v>1</v>
          </cell>
          <cell r="H77" t="str">
            <v>Motors - Rewind</v>
          </cell>
          <cell r="I77" t="str">
            <v>All</v>
          </cell>
          <cell r="L77" t="str">
            <v>CBSA 2014</v>
          </cell>
          <cell r="Q77" t="str">
            <v>x</v>
          </cell>
          <cell r="R77" t="str">
            <v>N/A</v>
          </cell>
          <cell r="U77" t="str">
            <v>Motors</v>
          </cell>
        </row>
        <row r="78">
          <cell r="B78" t="str">
            <v>Municipal Sewage Treatment</v>
          </cell>
          <cell r="C78" t="str">
            <v>Retro</v>
          </cell>
          <cell r="D78" t="str">
            <v>Municipal Sewage Treatment-Retro</v>
          </cell>
          <cell r="E78" t="str">
            <v>MGD Flow</v>
          </cell>
          <cell r="F78" t="str">
            <v>Suite of measures for sewage treatment</v>
          </cell>
          <cell r="G78">
            <v>10</v>
          </cell>
          <cell r="H78" t="str">
            <v>Municipal Sewage Treatment</v>
          </cell>
          <cell r="I78" t="str">
            <v>Non-Building</v>
          </cell>
          <cell r="J78" t="str">
            <v>BACGEN</v>
          </cell>
          <cell r="L78" t="str">
            <v>2013 EPA Flow rates</v>
          </cell>
          <cell r="M78" t="str">
            <v>Achievements</v>
          </cell>
          <cell r="O78" t="str">
            <v>6P+ETO data</v>
          </cell>
          <cell r="R78" t="str">
            <v>N/A</v>
          </cell>
          <cell r="S78" t="str">
            <v>V1</v>
          </cell>
          <cell r="T78" t="str">
            <v>More data coming from NEEA</v>
          </cell>
          <cell r="U78" t="str">
            <v>Process Loads System Improvements</v>
          </cell>
        </row>
        <row r="79">
          <cell r="B79" t="str">
            <v>Municipal Water Supply</v>
          </cell>
          <cell r="C79" t="str">
            <v>Retro</v>
          </cell>
          <cell r="D79" t="str">
            <v>Municipal Water Supply-Retro</v>
          </cell>
          <cell r="E79" t="str">
            <v>MGD Flow</v>
          </cell>
          <cell r="F79" t="str">
            <v>Suite of measures for water supply systems</v>
          </cell>
          <cell r="G79">
            <v>5</v>
          </cell>
          <cell r="H79" t="str">
            <v>Municipal Water Supply</v>
          </cell>
          <cell r="I79" t="str">
            <v>Non-Building</v>
          </cell>
          <cell r="J79" t="str">
            <v>BACGEN</v>
          </cell>
          <cell r="L79" t="str">
            <v>2013 EPA Flow rates</v>
          </cell>
          <cell r="M79" t="str">
            <v>Achievements</v>
          </cell>
          <cell r="O79" t="str">
            <v>6P+ETO data</v>
          </cell>
          <cell r="R79" t="str">
            <v>N/A</v>
          </cell>
          <cell r="S79" t="str">
            <v>V1</v>
          </cell>
          <cell r="T79" t="str">
            <v>More data coming from NEEA</v>
          </cell>
          <cell r="U79" t="str">
            <v>Process Loads System Improvements</v>
          </cell>
        </row>
        <row r="80">
          <cell r="B80" t="str">
            <v>Engine Generator Block Heaters</v>
          </cell>
          <cell r="C80" t="str">
            <v>Retro</v>
          </cell>
          <cell r="D80" t="str">
            <v>Engine Generator Block Heaters-Retro</v>
          </cell>
          <cell r="E80" t="str">
            <v>Count</v>
          </cell>
          <cell r="F80" t="str">
            <v>Engine Generator Block Heaters (for standby generators)</v>
          </cell>
          <cell r="G80">
            <v>1</v>
          </cell>
          <cell r="H80" t="str">
            <v>Engine Generator Block Heaters</v>
          </cell>
          <cell r="I80" t="str">
            <v>All</v>
          </cell>
          <cell r="L80" t="str">
            <v>No Control</v>
          </cell>
          <cell r="Q80" t="str">
            <v>x</v>
          </cell>
          <cell r="R80" t="str">
            <v>N/A</v>
          </cell>
          <cell r="U80" t="str">
            <v>Process Loads System Controls</v>
          </cell>
        </row>
        <row r="81">
          <cell r="B81" t="str">
            <v>Grocery Refrigeration Bundle</v>
          </cell>
          <cell r="C81" t="str">
            <v>Retro</v>
          </cell>
          <cell r="D81" t="str">
            <v>Grocery Refrigeration Bundle-Retro</v>
          </cell>
          <cell r="E81" t="str">
            <v>kWh per KSF BT</v>
          </cell>
          <cell r="F81" t="str">
            <v>Grocery store refrigeration measures</v>
          </cell>
          <cell r="G81">
            <v>12</v>
          </cell>
          <cell r="H81" t="str">
            <v>Grocery Refrigeration Bundle</v>
          </cell>
          <cell r="I81" t="str">
            <v>Grocery</v>
          </cell>
          <cell r="L81" t="str">
            <v>CBSA 2014</v>
          </cell>
          <cell r="R81" t="str">
            <v>N/A</v>
          </cell>
          <cell r="U81" t="str">
            <v>Refrigeration System Improvements</v>
          </cell>
        </row>
        <row r="82">
          <cell r="B82" t="str">
            <v>Packaged Refrigeration Equipment</v>
          </cell>
          <cell r="C82" t="str">
            <v>New</v>
          </cell>
          <cell r="D82" t="str">
            <v>Packaged Refrigeration Equipment-New</v>
          </cell>
          <cell r="E82" t="str">
            <v>Count</v>
          </cell>
          <cell r="F82" t="str">
            <v>Efficient refrigerators and freezers, beverage merchandizers, ice makers and vending machines</v>
          </cell>
          <cell r="G82">
            <v>20</v>
          </cell>
          <cell r="H82" t="str">
            <v>Packaged Refrigeration Equipment</v>
          </cell>
          <cell r="I82" t="str">
            <v>Grocery</v>
          </cell>
          <cell r="L82" t="str">
            <v>CBSA 2014</v>
          </cell>
          <cell r="R82" t="str">
            <v>N/A</v>
          </cell>
          <cell r="U82" t="str">
            <v>Packaged Refrigeration</v>
          </cell>
        </row>
        <row r="83">
          <cell r="B83" t="str">
            <v>Appliances - Freezers</v>
          </cell>
          <cell r="C83" t="str">
            <v>NR</v>
          </cell>
          <cell r="D83" t="str">
            <v>Appliances - Freezers-NR</v>
          </cell>
          <cell r="E83" t="str">
            <v>Count</v>
          </cell>
          <cell r="F83" t="str">
            <v>Residential freezers in commercial buildings</v>
          </cell>
          <cell r="G83">
            <v>1</v>
          </cell>
          <cell r="H83" t="str">
            <v>Appliances - Freezers</v>
          </cell>
          <cell r="I83" t="str">
            <v>All</v>
          </cell>
          <cell r="L83" t="str">
            <v>Fed Std 2014</v>
          </cell>
          <cell r="Q83" t="str">
            <v>x</v>
          </cell>
          <cell r="R83" t="str">
            <v>N/A</v>
          </cell>
          <cell r="U83" t="str">
            <v>Refrigeration System Improvements</v>
          </cell>
        </row>
        <row r="84">
          <cell r="B84" t="str">
            <v>Appliances - Refrigerators</v>
          </cell>
          <cell r="C84" t="str">
            <v>NR</v>
          </cell>
          <cell r="D84" t="str">
            <v>Appliances - Refrigerators-NR</v>
          </cell>
          <cell r="E84" t="str">
            <v>Count</v>
          </cell>
          <cell r="F84" t="str">
            <v>Residential refrigerators in commercial buildings</v>
          </cell>
          <cell r="G84">
            <v>1</v>
          </cell>
          <cell r="H84" t="str">
            <v>Appliances - Refrigerators</v>
          </cell>
          <cell r="I84" t="str">
            <v>All</v>
          </cell>
          <cell r="L84" t="str">
            <v>Fed Std 2014</v>
          </cell>
          <cell r="Q84" t="str">
            <v>x</v>
          </cell>
          <cell r="R84" t="str">
            <v>N/A</v>
          </cell>
          <cell r="U84" t="str">
            <v>Refrigeration System Improvements</v>
          </cell>
        </row>
        <row r="85">
          <cell r="B85" t="str">
            <v>Water Cooler Controls</v>
          </cell>
          <cell r="C85" t="str">
            <v>Retro</v>
          </cell>
          <cell r="D85" t="str">
            <v>Water Cooler Controls-Retro</v>
          </cell>
          <cell r="E85" t="str">
            <v>Count</v>
          </cell>
          <cell r="F85" t="str">
            <v>Water Cooler Controls</v>
          </cell>
          <cell r="G85">
            <v>1</v>
          </cell>
          <cell r="H85" t="str">
            <v>Water Cooler Controls</v>
          </cell>
          <cell r="I85" t="str">
            <v>Some</v>
          </cell>
          <cell r="L85" t="str">
            <v>Uncontrolled</v>
          </cell>
          <cell r="Q85" t="str">
            <v>x</v>
          </cell>
          <cell r="R85" t="str">
            <v>N/A</v>
          </cell>
          <cell r="U85" t="str">
            <v>Refrigeration System Controls</v>
          </cell>
        </row>
        <row r="86">
          <cell r="B86" t="str">
            <v>WHTanks</v>
          </cell>
          <cell r="C86" t="str">
            <v>New</v>
          </cell>
          <cell r="D86" t="str">
            <v>WHTanks-New</v>
          </cell>
          <cell r="E86" t="str">
            <v>Count</v>
          </cell>
          <cell r="F86" t="str">
            <v>Clotheswashers more efficient than federal standard</v>
          </cell>
          <cell r="H86" t="str">
            <v>DHW - Efficient Tanks</v>
          </cell>
          <cell r="I86" t="str">
            <v>Some</v>
          </cell>
          <cell r="L86" t="str">
            <v>CBSA 2014</v>
          </cell>
          <cell r="R86" t="str">
            <v>N/A</v>
          </cell>
          <cell r="U86" t="str">
            <v>Water Using Devices</v>
          </cell>
        </row>
        <row r="87">
          <cell r="B87" t="str">
            <v>WHTanks</v>
          </cell>
          <cell r="C87" t="str">
            <v>NR</v>
          </cell>
          <cell r="D87" t="str">
            <v>WHTanks-NR</v>
          </cell>
          <cell r="E87" t="str">
            <v>Count</v>
          </cell>
          <cell r="F87" t="str">
            <v>Efficient Residential water heaters in commercial buildings</v>
          </cell>
          <cell r="G87">
            <v>1</v>
          </cell>
          <cell r="H87" t="str">
            <v>DHW - Efficient Tanks</v>
          </cell>
          <cell r="I87" t="str">
            <v>All</v>
          </cell>
          <cell r="L87" t="str">
            <v>CBSA 2014</v>
          </cell>
          <cell r="Q87" t="str">
            <v>x</v>
          </cell>
          <cell r="R87" t="str">
            <v>N/A</v>
          </cell>
          <cell r="U87" t="str">
            <v>Water Heaters</v>
          </cell>
        </row>
        <row r="88">
          <cell r="B88" t="str">
            <v>Appliances - Clothes Washers</v>
          </cell>
          <cell r="C88" t="str">
            <v>NR</v>
          </cell>
          <cell r="D88" t="str">
            <v>Appliances - Clothes Washers-NR</v>
          </cell>
          <cell r="E88" t="str">
            <v>Count</v>
          </cell>
          <cell r="F88" t="str">
            <v>Efficient residential clothes washers in commercial buildings</v>
          </cell>
          <cell r="G88">
            <v>1</v>
          </cell>
          <cell r="H88" t="str">
            <v>Appliances - Clothes Washers</v>
          </cell>
          <cell r="I88" t="str">
            <v>Some</v>
          </cell>
          <cell r="L88" t="str">
            <v>CBSA 2014</v>
          </cell>
          <cell r="Q88" t="str">
            <v>x</v>
          </cell>
          <cell r="R88" t="str">
            <v>N/A</v>
          </cell>
          <cell r="U88" t="str">
            <v>Water Using Devices</v>
          </cell>
        </row>
        <row r="89">
          <cell r="B89" t="str">
            <v>Showerheads</v>
          </cell>
          <cell r="C89" t="str">
            <v>Retro</v>
          </cell>
          <cell r="D89" t="str">
            <v>Showerheads-Retro</v>
          </cell>
          <cell r="E89" t="str">
            <v>Count</v>
          </cell>
          <cell r="F89" t="str">
            <v>Efficient showerheads</v>
          </cell>
          <cell r="G89">
            <v>1</v>
          </cell>
          <cell r="H89" t="str">
            <v>DHW - Showerheads</v>
          </cell>
          <cell r="I89" t="str">
            <v>Some</v>
          </cell>
          <cell r="L89" t="str">
            <v>2.5 GPM</v>
          </cell>
          <cell r="Q89" t="str">
            <v>x</v>
          </cell>
          <cell r="R89" t="str">
            <v>N/A</v>
          </cell>
          <cell r="U89" t="str">
            <v>Water Using Devices</v>
          </cell>
        </row>
        <row r="90">
          <cell r="B90" t="str">
            <v>Water Heating - GFHX</v>
          </cell>
          <cell r="C90" t="str">
            <v>New</v>
          </cell>
          <cell r="D90" t="str">
            <v>Water Heating - GFHX-New</v>
          </cell>
          <cell r="E90" t="str">
            <v>Count</v>
          </cell>
          <cell r="F90" t="str">
            <v>Drain water heat recovery in new mulitfaimly applications</v>
          </cell>
          <cell r="G90">
            <v>1</v>
          </cell>
          <cell r="H90" t="str">
            <v>Water Heating - GFHX</v>
          </cell>
          <cell r="I90" t="str">
            <v>All</v>
          </cell>
          <cell r="L90" t="str">
            <v>No Heat Recovery</v>
          </cell>
          <cell r="Q90" t="str">
            <v>x</v>
          </cell>
          <cell r="R90" t="str">
            <v>N/A</v>
          </cell>
          <cell r="U90" t="str">
            <v>Water Using Devices</v>
          </cell>
        </row>
        <row r="91">
          <cell r="B91" t="str">
            <v>Demand Control Circulating system DHW</v>
          </cell>
          <cell r="C91" t="str">
            <v>Retro</v>
          </cell>
          <cell r="D91" t="str">
            <v>Demand Control Circulating system DHW-Retro</v>
          </cell>
          <cell r="E91" t="str">
            <v>kWh per KSF BT</v>
          </cell>
          <cell r="F91" t="str">
            <v>Demand Control Circulating system DHW</v>
          </cell>
          <cell r="G91">
            <v>1</v>
          </cell>
          <cell r="H91" t="str">
            <v>Demand Control Circulating system DHW</v>
          </cell>
          <cell r="I91" t="str">
            <v>Some</v>
          </cell>
          <cell r="L91" t="str">
            <v>CBSA 2014</v>
          </cell>
          <cell r="Q91" t="str">
            <v>x</v>
          </cell>
          <cell r="R91" t="str">
            <v>N/A</v>
          </cell>
          <cell r="U91" t="str">
            <v>Water Using Devices</v>
          </cell>
        </row>
        <row r="92">
          <cell r="B92" t="str">
            <v>Central HPWH MF</v>
          </cell>
          <cell r="C92" t="str">
            <v>Retro</v>
          </cell>
          <cell r="D92" t="str">
            <v>Central HPWH MF-Retro</v>
          </cell>
          <cell r="E92" t="str">
            <v>Count</v>
          </cell>
          <cell r="F92" t="str">
            <v>Central HPWH MF</v>
          </cell>
          <cell r="G92">
            <v>1</v>
          </cell>
          <cell r="H92" t="str">
            <v>Central HPWH MF</v>
          </cell>
          <cell r="I92" t="str">
            <v>Multifamily</v>
          </cell>
          <cell r="L92" t="str">
            <v>CBSA 2014</v>
          </cell>
          <cell r="Q92" t="str">
            <v>x</v>
          </cell>
          <cell r="R92" t="str">
            <v>N/A</v>
          </cell>
          <cell r="U92" t="str">
            <v>Water Heaters</v>
          </cell>
        </row>
        <row r="93">
          <cell r="B93" t="str">
            <v>Ultra Low Energy Building</v>
          </cell>
          <cell r="C93" t="str">
            <v>New</v>
          </cell>
          <cell r="D93" t="str">
            <v>Ultra Low Energy Building-New</v>
          </cell>
          <cell r="E93" t="str">
            <v>kWh per KSF BT</v>
          </cell>
          <cell r="F93" t="str">
            <v>Multiple measures applied in integrated design practice</v>
          </cell>
          <cell r="G93">
            <v>13</v>
          </cell>
          <cell r="H93" t="str">
            <v>Ultra Low Energy Building</v>
          </cell>
          <cell r="I93" t="str">
            <v>Some</v>
          </cell>
          <cell r="L93" t="str">
            <v>Code</v>
          </cell>
          <cell r="R93" t="str">
            <v>POST2006</v>
          </cell>
          <cell r="U93" t="str">
            <v>Whole Bldg/Meter Level System Improvements</v>
          </cell>
        </row>
        <row r="94">
          <cell r="B94" t="str">
            <v>HPLowPowerGSFL</v>
          </cell>
          <cell r="C94" t="str">
            <v>NR</v>
          </cell>
          <cell r="D94" t="str">
            <v>HPLowPowerGSFL-NR</v>
          </cell>
          <cell r="E94" t="str">
            <v>lamp</v>
          </cell>
          <cell r="F94" t="str">
            <v>Shift mix of 32W, 28W and 25W lamps towards low watt lamps</v>
          </cell>
          <cell r="G94">
            <v>2</v>
          </cell>
          <cell r="H94" t="str">
            <v>High Performance Low Power Fluorescent Lamps</v>
          </cell>
          <cell r="I94" t="str">
            <v>All</v>
          </cell>
          <cell r="L94" t="str">
            <v>Federal GSFL 2014</v>
          </cell>
          <cell r="Q94" t="str">
            <v>x</v>
          </cell>
          <cell r="R94" t="str">
            <v>N/A</v>
          </cell>
          <cell r="U94" t="str">
            <v>Computer Technologies</v>
          </cell>
        </row>
        <row r="100">
          <cell r="B100" t="str">
            <v>Category_Name</v>
          </cell>
          <cell r="C100" t="str">
            <v>TAP_Name</v>
          </cell>
        </row>
        <row r="101">
          <cell r="B101" t="str">
            <v>Compressed Air System Controls</v>
          </cell>
          <cell r="C101" t="str">
            <v>Compressed Air Control Improvements (non-VFD)</v>
          </cell>
        </row>
        <row r="102">
          <cell r="B102" t="str">
            <v>Compressed Air System Improvements</v>
          </cell>
          <cell r="C102" t="str">
            <v>Compressed Air Control Improvements (VFD)</v>
          </cell>
        </row>
        <row r="103">
          <cell r="B103" t="str">
            <v>Computer Technologies</v>
          </cell>
          <cell r="C103" t="str">
            <v>Compressed Air System Compressor Improvements (non-VFD)</v>
          </cell>
        </row>
        <row r="104">
          <cell r="B104" t="str">
            <v>Cooking</v>
          </cell>
          <cell r="C104" t="str">
            <v>Compressed Air System Compressor Improvements (VFD)</v>
          </cell>
        </row>
        <row r="105">
          <cell r="B105" t="str">
            <v>Delamping</v>
          </cell>
          <cell r="C105" t="str">
            <v>Compressed Air System Demand Side Improvements</v>
          </cell>
        </row>
        <row r="106">
          <cell r="B106" t="str">
            <v>Elevators</v>
          </cell>
          <cell r="C106" t="str">
            <v>Compressed Air System Dryer Improvements</v>
          </cell>
        </row>
        <row r="107">
          <cell r="B107" t="str">
            <v>Envelope</v>
          </cell>
          <cell r="C107" t="str">
            <v>Compressed Air System Regulation Improvements</v>
          </cell>
        </row>
        <row r="108">
          <cell r="B108" t="str">
            <v>Escalators</v>
          </cell>
          <cell r="C108" t="str">
            <v>Compressed Air System Storage Improvements</v>
          </cell>
        </row>
        <row r="109">
          <cell r="B109" t="str">
            <v>Heat Recovery</v>
          </cell>
          <cell r="C109" t="str">
            <v>Compressed Air System Supply Side Improvements</v>
          </cell>
        </row>
        <row r="110">
          <cell r="B110" t="str">
            <v>HVAC System Controls</v>
          </cell>
          <cell r="C110" t="str">
            <v>Compressors</v>
          </cell>
        </row>
        <row r="111">
          <cell r="B111" t="str">
            <v>HVAC System Improvements</v>
          </cell>
          <cell r="C111" t="str">
            <v>Heat Recovery Improvements</v>
          </cell>
        </row>
        <row r="112">
          <cell r="B112" t="str">
            <v>Lamps/Ballasts/Fixtures</v>
          </cell>
          <cell r="C112" t="str">
            <v>Network Computer Power Management</v>
          </cell>
        </row>
        <row r="113">
          <cell r="B113" t="str">
            <v>Lighting Controls</v>
          </cell>
          <cell r="C113" t="str">
            <v>Power Supplies</v>
          </cell>
        </row>
        <row r="114">
          <cell r="B114" t="str">
            <v>Motors</v>
          </cell>
          <cell r="C114" t="str">
            <v>Server Virtualization/Load Reduction</v>
          </cell>
        </row>
        <row r="115">
          <cell r="B115" t="str">
            <v>Motors/Drives Controls</v>
          </cell>
          <cell r="C115" t="str">
            <v>Servers</v>
          </cell>
        </row>
        <row r="116">
          <cell r="B116" t="str">
            <v>Packaged Refrigeration</v>
          </cell>
          <cell r="C116" t="str">
            <v>Power Strips</v>
          </cell>
        </row>
        <row r="117">
          <cell r="B117" t="str">
            <v xml:space="preserve">Plug Load </v>
          </cell>
          <cell r="C117" t="str">
            <v>Cooking Equipment</v>
          </cell>
        </row>
        <row r="118">
          <cell r="B118" t="str">
            <v>Pool System Improvements</v>
          </cell>
          <cell r="C118" t="str">
            <v>Electric Combination Ovens</v>
          </cell>
        </row>
        <row r="119">
          <cell r="B119" t="str">
            <v>Process Loads System Controls</v>
          </cell>
          <cell r="C119" t="str">
            <v>Electric Commercial Steam Cookers</v>
          </cell>
        </row>
      </sheetData>
      <sheetData sheetId="2">
        <row r="4">
          <cell r="H4">
            <v>2035</v>
          </cell>
        </row>
        <row r="11">
          <cell r="B11" t="str">
            <v>Measure Index Name</v>
          </cell>
          <cell r="C11" t="str">
            <v>File Link</v>
          </cell>
          <cell r="D11" t="str">
            <v>Supply Curve Worksheet</v>
          </cell>
          <cell r="E11" t="str">
            <v>Lost Opp</v>
          </cell>
          <cell r="F11" t="str">
            <v>Descriptive Name</v>
          </cell>
          <cell r="G11" t="str">
            <v>Most Recent Substantive Update</v>
          </cell>
          <cell r="H11" t="str">
            <v>Cumulative Technically  Achievable Savings in 2035 in MWa</v>
          </cell>
          <cell r="J11" t="str">
            <v>Comparable Estimate for 6th Plan</v>
          </cell>
          <cell r="K11" t="str">
            <v>Comparable Estimate for 6th Plan (Pasted Values)</v>
          </cell>
          <cell r="L11" t="str">
            <v>Run on Final Plan Elec &amp; Gas Price with No Carbon</v>
          </cell>
          <cell r="M11" t="str">
            <v>Develop Monthy</v>
          </cell>
          <cell r="N11" t="str">
            <v>Status</v>
          </cell>
        </row>
        <row r="12">
          <cell r="B12" t="str">
            <v>Compressed Air-Retro</v>
          </cell>
          <cell r="C12" t="str">
            <v>COM-CompressedAir-7P_V2.xlsm</v>
          </cell>
          <cell r="F12" t="str">
            <v>Compressed Air Controls</v>
          </cell>
          <cell r="H12">
            <v>3.1547931811094734</v>
          </cell>
          <cell r="J12">
            <v>3.1547931811094734</v>
          </cell>
          <cell r="K12" t="str">
            <v/>
          </cell>
        </row>
        <row r="13">
          <cell r="B13" t="str">
            <v>Compressed Air-NR</v>
          </cell>
          <cell r="C13" t="str">
            <v>COM-CompressedAir-7P_V2.xlsm</v>
          </cell>
          <cell r="F13" t="str">
            <v>Compressed Air Improvements</v>
          </cell>
          <cell r="H13">
            <v>1.0659073644042618</v>
          </cell>
          <cell r="J13">
            <v>1.0659073644042618</v>
          </cell>
          <cell r="K13" t="str">
            <v/>
          </cell>
        </row>
        <row r="14">
          <cell r="B14" t="str">
            <v>Network PC Power Management-Retro</v>
          </cell>
          <cell r="C14" t="str">
            <v>dropped for 7p</v>
          </cell>
          <cell r="F14" t="str">
            <v>Network PC Power Management</v>
          </cell>
          <cell r="J14">
            <v>0</v>
          </cell>
          <cell r="K14">
            <v>72.717466539008427</v>
          </cell>
        </row>
        <row r="15">
          <cell r="B15" t="str">
            <v>Computer Servers and IT-Retro</v>
          </cell>
          <cell r="C15" t="str">
            <v>See data centers</v>
          </cell>
          <cell r="F15" t="str">
            <v>Computer Servers and IT</v>
          </cell>
          <cell r="H15">
            <v>0</v>
          </cell>
          <cell r="J15">
            <v>0</v>
          </cell>
          <cell r="K15">
            <v>129.97956115621164</v>
          </cell>
        </row>
        <row r="16">
          <cell r="B16" t="str">
            <v>Smart Plug Power Strips-Retro</v>
          </cell>
          <cell r="C16" t="str">
            <v>COM-Powerstrips-7P_v3.xlsm</v>
          </cell>
          <cell r="F16" t="str">
            <v>Smart Plug Power Strips</v>
          </cell>
          <cell r="H16">
            <v>46.672185845920254</v>
          </cell>
          <cell r="J16">
            <v>46.672185845920254</v>
          </cell>
          <cell r="K16" t="str">
            <v/>
          </cell>
        </row>
        <row r="17">
          <cell r="B17" t="str">
            <v>Data Centers-NR</v>
          </cell>
          <cell r="C17" t="str">
            <v>Com-DataCenters-7P_V4.xlsx</v>
          </cell>
          <cell r="F17" t="str">
            <v>Data Centers</v>
          </cell>
          <cell r="G17">
            <v>42057</v>
          </cell>
          <cell r="H17">
            <v>261.31837015129264</v>
          </cell>
          <cell r="J17">
            <v>261.31837015129264</v>
          </cell>
          <cell r="K17" t="str">
            <v/>
          </cell>
        </row>
        <row r="18">
          <cell r="B18" t="str">
            <v>Commercial Computer Monitor-NR</v>
          </cell>
          <cell r="C18" t="str">
            <v>COM-Computers-7P_V1.xlsx</v>
          </cell>
          <cell r="F18" t="str">
            <v>ENERGY STAR Monitor</v>
          </cell>
          <cell r="J18">
            <v>0</v>
          </cell>
          <cell r="K18" t="str">
            <v/>
          </cell>
        </row>
        <row r="19">
          <cell r="B19" t="str">
            <v>Commercial Computer Desktop-NR</v>
          </cell>
          <cell r="C19" t="str">
            <v>COM-Computers-7P_V1.xlsx</v>
          </cell>
          <cell r="F19" t="str">
            <v>ENERGY STAR Desktop</v>
          </cell>
          <cell r="J19">
            <v>0</v>
          </cell>
          <cell r="K19" t="str">
            <v/>
          </cell>
        </row>
        <row r="20">
          <cell r="B20" t="str">
            <v>Pre-Rinse Spray Valve-Retro</v>
          </cell>
          <cell r="C20" t="str">
            <v>COM-PreRinseSpray-7P_V2.xlsm</v>
          </cell>
          <cell r="F20" t="str">
            <v>Pre-Rinse Spray Valve</v>
          </cell>
          <cell r="H20">
            <v>1.0945831651267666</v>
          </cell>
          <cell r="J20">
            <v>6.7265382983650612</v>
          </cell>
          <cell r="K20">
            <v>1.8020364840570837</v>
          </cell>
        </row>
        <row r="21">
          <cell r="B21" t="str">
            <v>Cooking Equipment-NR</v>
          </cell>
          <cell r="C21" t="str">
            <v>COM-Cooking-7P_V4.xlsm</v>
          </cell>
          <cell r="F21" t="str">
            <v>Cooking Equipment</v>
          </cell>
          <cell r="H21">
            <v>66.300435443908256</v>
          </cell>
          <cell r="J21">
            <v>26.873862754883131</v>
          </cell>
          <cell r="K21">
            <v>31.83672767383753</v>
          </cell>
        </row>
        <row r="22">
          <cell r="B22" t="str">
            <v>Premium HVAC Equipment-New</v>
          </cell>
          <cell r="C22" t="str">
            <v>dropped for 7p Stds</v>
          </cell>
          <cell r="F22" t="str">
            <v>Premium HVAC Equipment</v>
          </cell>
          <cell r="H22">
            <v>0</v>
          </cell>
          <cell r="J22">
            <v>0</v>
          </cell>
          <cell r="K22">
            <v>7.3598915362035227</v>
          </cell>
        </row>
        <row r="23">
          <cell r="B23" t="str">
            <v>Premium HVAC Equipment-NR</v>
          </cell>
          <cell r="C23" t="str">
            <v>dropped for 7p Stds</v>
          </cell>
          <cell r="F23" t="str">
            <v>Premium HVAC Equipment</v>
          </cell>
          <cell r="H23">
            <v>0</v>
          </cell>
          <cell r="J23">
            <v>0</v>
          </cell>
          <cell r="K23">
            <v>28.437885955279242</v>
          </cell>
        </row>
        <row r="24">
          <cell r="B24" t="str">
            <v>Glass-New</v>
          </cell>
          <cell r="C24" t="str">
            <v>dropped for 7p - codes</v>
          </cell>
          <cell r="F24" t="str">
            <v>Windows</v>
          </cell>
          <cell r="J24">
            <v>0</v>
          </cell>
          <cell r="K24">
            <v>3.1359227208655991</v>
          </cell>
        </row>
        <row r="25">
          <cell r="B25" t="str">
            <v>Glass-NR</v>
          </cell>
          <cell r="C25" t="str">
            <v>dropped for 7p - codes</v>
          </cell>
          <cell r="F25" t="str">
            <v>Windows</v>
          </cell>
          <cell r="J25">
            <v>0</v>
          </cell>
          <cell r="K25">
            <v>7.2056124298919988</v>
          </cell>
        </row>
        <row r="26">
          <cell r="B26" t="str">
            <v>Glass-Retro</v>
          </cell>
          <cell r="C26" t="str">
            <v>see secondary glazing</v>
          </cell>
          <cell r="F26" t="str">
            <v>Windows</v>
          </cell>
          <cell r="J26">
            <v>0</v>
          </cell>
          <cell r="K26">
            <v>20.889312946804694</v>
          </cell>
        </row>
        <row r="27">
          <cell r="B27" t="str">
            <v>Advanced Rooftop Controller-New</v>
          </cell>
          <cell r="C27" t="str">
            <v>Com-RooftopController-7P_V2.xlsm</v>
          </cell>
          <cell r="F27" t="str">
            <v>Package Roof Top Optimization and Repair</v>
          </cell>
          <cell r="J27">
            <v>0</v>
          </cell>
          <cell r="K27" t="str">
            <v/>
          </cell>
        </row>
        <row r="28">
          <cell r="B28" t="str">
            <v>Advanced Rooftop Controller-NR</v>
          </cell>
          <cell r="C28" t="str">
            <v>Com-RooftopController-7P_V2.xlsm</v>
          </cell>
          <cell r="F28" t="str">
            <v>Package Roof Top Optimization and Repair</v>
          </cell>
          <cell r="J28">
            <v>0</v>
          </cell>
          <cell r="K28" t="str">
            <v/>
          </cell>
        </row>
        <row r="29">
          <cell r="B29" t="str">
            <v>Advanced Rooftop Controller-Retro</v>
          </cell>
          <cell r="C29" t="str">
            <v>Com-RooftopController-7P_V2.xlsm</v>
          </cell>
          <cell r="F29" t="str">
            <v>Package Roof Top Optimization and Repair</v>
          </cell>
          <cell r="H29">
            <v>132.83232621502316</v>
          </cell>
          <cell r="J29">
            <v>132.83232621502316</v>
          </cell>
          <cell r="K29" t="str">
            <v/>
          </cell>
        </row>
        <row r="30">
          <cell r="B30" t="str">
            <v>Variable Speed Chiller-New</v>
          </cell>
          <cell r="F30" t="str">
            <v>Variable Speed Chiller</v>
          </cell>
          <cell r="J30">
            <v>0</v>
          </cell>
          <cell r="K30">
            <v>1.1125921894779771</v>
          </cell>
        </row>
        <row r="31">
          <cell r="B31" t="str">
            <v>Variable Speed Chiller-NR</v>
          </cell>
          <cell r="F31" t="str">
            <v>Variable Speed Chiller</v>
          </cell>
          <cell r="J31">
            <v>0</v>
          </cell>
          <cell r="K31">
            <v>12.287439737441444</v>
          </cell>
        </row>
        <row r="32">
          <cell r="B32" t="str">
            <v>Commercial EM-New</v>
          </cell>
          <cell r="C32" t="str">
            <v>COM-EM-Retro-7P_V2.xlsm</v>
          </cell>
          <cell r="F32" t="str">
            <v>Commercial Energy Management For Complex systems</v>
          </cell>
          <cell r="H32">
            <v>19.467787300106064</v>
          </cell>
          <cell r="J32">
            <v>0</v>
          </cell>
          <cell r="K32">
            <v>9.3003260024451517</v>
          </cell>
        </row>
        <row r="33">
          <cell r="B33" t="str">
            <v>Commercial EM-NR</v>
          </cell>
          <cell r="C33" t="str">
            <v>COM-EM-Retro-7P_V2.xlsm</v>
          </cell>
          <cell r="F33" t="str">
            <v>Commercial Energy Management For Complex systems</v>
          </cell>
          <cell r="J33">
            <v>0</v>
          </cell>
          <cell r="K33">
            <v>0</v>
          </cell>
        </row>
        <row r="34">
          <cell r="B34" t="str">
            <v>Commercial EM-Retro</v>
          </cell>
          <cell r="C34" t="str">
            <v>COM-EM-Retro-7P_V2.xlsm</v>
          </cell>
          <cell r="F34" t="str">
            <v>Commercial Energy Management For Complex systems</v>
          </cell>
          <cell r="H34">
            <v>62.006776314729542</v>
          </cell>
          <cell r="J34">
            <v>0</v>
          </cell>
          <cell r="K34">
            <v>120.33075078506094</v>
          </cell>
        </row>
        <row r="35">
          <cell r="B35" t="str">
            <v>Evaporative Assist Cooling-New</v>
          </cell>
          <cell r="C35" t="str">
            <v>dropped for 7p - no data</v>
          </cell>
          <cell r="F35" t="str">
            <v>Evaporative Assist Cooling</v>
          </cell>
          <cell r="J35">
            <v>0</v>
          </cell>
          <cell r="K35">
            <v>0</v>
          </cell>
        </row>
        <row r="36">
          <cell r="B36" t="str">
            <v>Evaporative Assist Cooling-NR</v>
          </cell>
          <cell r="C36" t="str">
            <v>dropped for 7p - no data</v>
          </cell>
          <cell r="F36" t="str">
            <v>Evaporative Assist Cooling</v>
          </cell>
          <cell r="J36">
            <v>0</v>
          </cell>
          <cell r="K36">
            <v>0</v>
          </cell>
        </row>
        <row r="37">
          <cell r="B37" t="str">
            <v>Low Pressure Distribution Complex HVAC-New</v>
          </cell>
          <cell r="F37" t="str">
            <v>Low Pressure Distribution Complex HVAC</v>
          </cell>
          <cell r="J37">
            <v>0</v>
          </cell>
          <cell r="K37">
            <v>5.9129303419382238</v>
          </cell>
        </row>
        <row r="38">
          <cell r="B38" t="str">
            <v>Demand Control Ventilation-New</v>
          </cell>
          <cell r="F38" t="str">
            <v>Demand Control Ventilation</v>
          </cell>
          <cell r="J38">
            <v>0</v>
          </cell>
          <cell r="K38">
            <v>3.7806867212698152</v>
          </cell>
        </row>
        <row r="39">
          <cell r="B39" t="str">
            <v>Demand Control Ventilation-NR</v>
          </cell>
          <cell r="F39" t="str">
            <v>Demand Control Ventilation</v>
          </cell>
          <cell r="J39">
            <v>0</v>
          </cell>
          <cell r="K39">
            <v>3.1208141189685712</v>
          </cell>
        </row>
        <row r="40">
          <cell r="B40" t="str">
            <v>Demand Control Ventilation-Retro</v>
          </cell>
          <cell r="F40" t="str">
            <v>Demand Control Ventilation</v>
          </cell>
          <cell r="J40">
            <v>0</v>
          </cell>
          <cell r="K40">
            <v>18.586994736156402</v>
          </cell>
        </row>
        <row r="41">
          <cell r="B41" t="str">
            <v>Premium Fume Hood-NR</v>
          </cell>
          <cell r="C41" t="str">
            <v>COM-FumeHood-7P_V1.xlsm</v>
          </cell>
          <cell r="F41" t="str">
            <v>Premium Fume Hood</v>
          </cell>
          <cell r="H41">
            <v>3.8878892674922914</v>
          </cell>
          <cell r="J41">
            <v>3.8878892674922914</v>
          </cell>
          <cell r="K41">
            <v>19.625784442962761</v>
          </cell>
        </row>
        <row r="42">
          <cell r="B42" t="str">
            <v>DCV Restaurant Hood-Retro</v>
          </cell>
          <cell r="F42" t="str">
            <v>DCV Restaurant Hood</v>
          </cell>
          <cell r="J42">
            <v>0</v>
          </cell>
          <cell r="K42">
            <v>5.2084283011879595</v>
          </cell>
        </row>
        <row r="43">
          <cell r="B43" t="str">
            <v>DCV Parking Garage-Retro</v>
          </cell>
          <cell r="C43" t="str">
            <v>COM-DCV-Garage-7P_V2.xlsm</v>
          </cell>
          <cell r="F43" t="str">
            <v>DCV Parking Garage</v>
          </cell>
          <cell r="H43">
            <v>11.709983992804359</v>
          </cell>
          <cell r="J43">
            <v>11.709983992804359</v>
          </cell>
          <cell r="K43">
            <v>0</v>
          </cell>
        </row>
        <row r="44">
          <cell r="B44" t="str">
            <v>Weatherization - School-Retro</v>
          </cell>
          <cell r="F44" t="str">
            <v>Weatherization - School</v>
          </cell>
          <cell r="J44">
            <v>0</v>
          </cell>
          <cell r="K44" t="str">
            <v/>
          </cell>
        </row>
        <row r="45">
          <cell r="B45" t="str">
            <v>Commercial Computer Laptop-NR</v>
          </cell>
          <cell r="C45" t="str">
            <v>COM-Computers-7P_V1.xlsx</v>
          </cell>
          <cell r="F45" t="str">
            <v>ENERGY STAR Laptop</v>
          </cell>
          <cell r="J45">
            <v>0</v>
          </cell>
          <cell r="K45" t="str">
            <v/>
          </cell>
        </row>
        <row r="46">
          <cell r="B46" t="str">
            <v>AC Heat Recovery for Water Heating-NR</v>
          </cell>
          <cell r="C46" t="str">
            <v>dropped for 7p</v>
          </cell>
          <cell r="F46" t="str">
            <v>AC Heat Recovery for Water Heating</v>
          </cell>
          <cell r="J46">
            <v>0</v>
          </cell>
          <cell r="K46" t="str">
            <v/>
          </cell>
        </row>
        <row r="47">
          <cell r="B47" t="str">
            <v>Room Occupancy Sensors in Lodging-Retro</v>
          </cell>
          <cell r="C47" t="str">
            <v>dropped for 7p</v>
          </cell>
          <cell r="F47" t="str">
            <v>Room Occupancy Sensors in Lodging</v>
          </cell>
          <cell r="J47">
            <v>0</v>
          </cell>
          <cell r="K47" t="str">
            <v/>
          </cell>
        </row>
        <row r="48">
          <cell r="B48" t="str">
            <v>Chiller - chilled water retrofit-Retro</v>
          </cell>
          <cell r="F48" t="str">
            <v>Chiller - chilled water retrofit</v>
          </cell>
          <cell r="J48">
            <v>0</v>
          </cell>
          <cell r="K48" t="str">
            <v/>
          </cell>
        </row>
        <row r="49">
          <cell r="B49" t="str">
            <v>Chiller - equip retrofits-Retro</v>
          </cell>
          <cell r="F49" t="str">
            <v>Chiller - equip retrofits</v>
          </cell>
          <cell r="J49">
            <v>0</v>
          </cell>
          <cell r="K49" t="str">
            <v/>
          </cell>
        </row>
        <row r="50">
          <cell r="B50" t="str">
            <v>Pool Blankets-Retro</v>
          </cell>
          <cell r="F50" t="str">
            <v>Pool Blankets</v>
          </cell>
          <cell r="J50">
            <v>0</v>
          </cell>
          <cell r="K50" t="str">
            <v/>
          </cell>
        </row>
        <row r="51">
          <cell r="B51" t="str">
            <v>Web-Enabled Thermostats-Retro</v>
          </cell>
          <cell r="F51" t="str">
            <v>Web-Enabled Thermostats</v>
          </cell>
          <cell r="J51">
            <v>0</v>
          </cell>
          <cell r="K51" t="str">
            <v/>
          </cell>
        </row>
        <row r="52">
          <cell r="B52" t="str">
            <v>Garage CO2 ventilation-Retro</v>
          </cell>
          <cell r="C52" t="str">
            <v>see com-dcv-garage</v>
          </cell>
          <cell r="F52" t="str">
            <v>Garage CO2 ventilation</v>
          </cell>
          <cell r="J52">
            <v>0</v>
          </cell>
          <cell r="K52" t="str">
            <v/>
          </cell>
        </row>
        <row r="53">
          <cell r="B53" t="str">
            <v>Circ Pump ECM and drive-Retro</v>
          </cell>
          <cell r="F53" t="str">
            <v>Circ Pump ECM and drive</v>
          </cell>
          <cell r="J53">
            <v>0</v>
          </cell>
          <cell r="K53" t="str">
            <v/>
          </cell>
        </row>
        <row r="54">
          <cell r="B54" t="str">
            <v>VRF-New</v>
          </cell>
          <cell r="C54" t="str">
            <v>COM-VRF-7P_V4.xlsm</v>
          </cell>
          <cell r="F54" t="str">
            <v>Variable Refrigerant Flow</v>
          </cell>
          <cell r="H54">
            <v>61.095101442358533</v>
          </cell>
          <cell r="J54">
            <v>61.095101442358533</v>
          </cell>
          <cell r="K54" t="str">
            <v/>
          </cell>
        </row>
        <row r="55">
          <cell r="B55" t="str">
            <v>VRF-Retro</v>
          </cell>
          <cell r="C55" t="str">
            <v>COM-VRF-7P_V4.xlsm</v>
          </cell>
          <cell r="F55" t="str">
            <v>Variable Refrigerant Flow</v>
          </cell>
          <cell r="H55">
            <v>27.433896126339636</v>
          </cell>
          <cell r="J55">
            <v>27.433896126339636</v>
          </cell>
          <cell r="K55" t="str">
            <v/>
          </cell>
        </row>
        <row r="56">
          <cell r="B56" t="str">
            <v>Evaporator Roof Top HVAC-Retro</v>
          </cell>
          <cell r="C56" t="str">
            <v>dropped for 7p</v>
          </cell>
          <cell r="F56" t="str">
            <v>Evaporator Roof Top HVAC</v>
          </cell>
          <cell r="J56">
            <v>0</v>
          </cell>
          <cell r="K56" t="str">
            <v/>
          </cell>
        </row>
        <row r="57">
          <cell r="B57" t="str">
            <v>Secondary Glazing Systems-Retro</v>
          </cell>
          <cell r="F57" t="str">
            <v>Secondary Glazing Systems</v>
          </cell>
          <cell r="J57">
            <v>0</v>
          </cell>
          <cell r="K57" t="str">
            <v/>
          </cell>
        </row>
        <row r="58">
          <cell r="B58" t="str">
            <v>LPD Package-New</v>
          </cell>
          <cell r="C58" t="str">
            <v>Com-LightingInterior-7P_v35.xlsx</v>
          </cell>
          <cell r="F58" t="str">
            <v>Lighting Power Density</v>
          </cell>
          <cell r="G58">
            <v>42056</v>
          </cell>
          <cell r="H58">
            <v>74.253045301426567</v>
          </cell>
          <cell r="J58">
            <v>74.253045301426567</v>
          </cell>
          <cell r="K58">
            <v>43.425816906114818</v>
          </cell>
        </row>
        <row r="59">
          <cell r="B59" t="str">
            <v>LPD Package-NR</v>
          </cell>
          <cell r="C59" t="str">
            <v>Com-LightingInterior-7P_v35.xlsx</v>
          </cell>
          <cell r="F59" t="str">
            <v>Lighting Power Density</v>
          </cell>
          <cell r="G59">
            <v>42056</v>
          </cell>
          <cell r="H59">
            <v>253.90583540999577</v>
          </cell>
          <cell r="J59">
            <v>253.90583540999577</v>
          </cell>
          <cell r="K59">
            <v>288.64083212829757</v>
          </cell>
        </row>
        <row r="60">
          <cell r="B60" t="str">
            <v>LPD Package-Retro</v>
          </cell>
          <cell r="C60" t="str">
            <v>Com-LightingInterior-7P_v35.xlsx</v>
          </cell>
          <cell r="F60" t="str">
            <v>Lighting Power Density</v>
          </cell>
          <cell r="G60">
            <v>42056</v>
          </cell>
          <cell r="H60">
            <v>112.097923819629</v>
          </cell>
          <cell r="J60">
            <v>112.097923819629</v>
          </cell>
          <cell r="K60">
            <v>32.215584324387343</v>
          </cell>
        </row>
        <row r="61">
          <cell r="B61" t="str">
            <v>Top Daylighting-New</v>
          </cell>
          <cell r="C61" t="str">
            <v>dropped for 7p - codes</v>
          </cell>
          <cell r="F61" t="str">
            <v>Daylighting with Skylights</v>
          </cell>
          <cell r="J61">
            <v>0</v>
          </cell>
          <cell r="K61">
            <v>17.425003592262602</v>
          </cell>
        </row>
        <row r="62">
          <cell r="B62" t="str">
            <v>Perimeter Daylighting Controls Advanced-New</v>
          </cell>
          <cell r="C62" t="str">
            <v>dropped for 7p - codes</v>
          </cell>
          <cell r="F62" t="str">
            <v>Daylighting with Windows</v>
          </cell>
          <cell r="J62">
            <v>0</v>
          </cell>
          <cell r="K62">
            <v>3.1006916194307825</v>
          </cell>
        </row>
        <row r="63">
          <cell r="B63" t="str">
            <v>Perimeter Daylighting Controls Advanced-NR</v>
          </cell>
          <cell r="F63" t="str">
            <v>Daylighting with Windows</v>
          </cell>
          <cell r="J63">
            <v>0</v>
          </cell>
          <cell r="K63">
            <v>11.866846651298719</v>
          </cell>
        </row>
        <row r="64">
          <cell r="B64" t="str">
            <v>Lighting Controls Interior-New</v>
          </cell>
          <cell r="C64" t="str">
            <v>Com-InteriorLightingControls-7P_V4.xlsx</v>
          </cell>
          <cell r="F64" t="str">
            <v>Lighting Controls Interior</v>
          </cell>
          <cell r="G64">
            <v>42056</v>
          </cell>
          <cell r="H64">
            <v>11.300803980987574</v>
          </cell>
          <cell r="J64">
            <v>11.300803980987574</v>
          </cell>
          <cell r="K64">
            <v>5.4534720066331879</v>
          </cell>
        </row>
        <row r="65">
          <cell r="B65" t="str">
            <v>Lighting Controls Interior-NR</v>
          </cell>
          <cell r="C65" t="str">
            <v>Com-InteriorLightingControls-7P_V4.xlsx</v>
          </cell>
          <cell r="F65" t="str">
            <v>Lighting Controls Interior</v>
          </cell>
          <cell r="G65">
            <v>42056</v>
          </cell>
          <cell r="H65">
            <v>27.511888315632739</v>
          </cell>
          <cell r="J65">
            <v>27.511888315632739</v>
          </cell>
          <cell r="K65">
            <v>53.550862716639848</v>
          </cell>
        </row>
        <row r="66">
          <cell r="B66" t="str">
            <v>Exterior Building Lighting-New</v>
          </cell>
          <cell r="C66" t="str">
            <v>Com-ExteriorLighting-7P_V1.10(cg4).xlsx</v>
          </cell>
          <cell r="F66" t="str">
            <v>Exterior Building Lighting</v>
          </cell>
          <cell r="H66">
            <v>21.277365061421204</v>
          </cell>
          <cell r="J66">
            <v>21.277365061421204</v>
          </cell>
          <cell r="K66">
            <v>23.218243762601482</v>
          </cell>
        </row>
        <row r="67">
          <cell r="B67" t="str">
            <v>Exterior Building Lighting-NR</v>
          </cell>
          <cell r="C67" t="str">
            <v>Com-ExteriorLighting-7P_V1.10(cg4).xlsx</v>
          </cell>
          <cell r="F67" t="str">
            <v>Exterior Building Lighting</v>
          </cell>
          <cell r="H67">
            <v>126.15931523421077</v>
          </cell>
          <cell r="J67">
            <v>126.15931523421077</v>
          </cell>
          <cell r="K67">
            <v>65.152385048123932</v>
          </cell>
        </row>
        <row r="68">
          <cell r="B68" t="str">
            <v>Street and Roadway Lighting-New</v>
          </cell>
          <cell r="C68" t="str">
            <v>Com-Streetlight-7P_V6p.xlsx</v>
          </cell>
          <cell r="F68" t="str">
            <v>Street and Roadway Lighting</v>
          </cell>
          <cell r="H68">
            <v>5.9176997638324238</v>
          </cell>
          <cell r="J68">
            <v>5.9176997638324238</v>
          </cell>
          <cell r="K68">
            <v>8.0478163439427366</v>
          </cell>
        </row>
        <row r="69">
          <cell r="B69" t="str">
            <v>Street and Roadway Lighting-NR</v>
          </cell>
          <cell r="C69" t="str">
            <v>Com-Streetlight-7P_V6p.xlsx</v>
          </cell>
          <cell r="F69" t="str">
            <v>Street and Roadway Lighting</v>
          </cell>
          <cell r="H69">
            <v>49.220314518458594</v>
          </cell>
          <cell r="J69">
            <v>49.220314518458594</v>
          </cell>
          <cell r="K69">
            <v>35.768242090251178</v>
          </cell>
        </row>
        <row r="70">
          <cell r="B70" t="str">
            <v>Parking Lighting-New</v>
          </cell>
          <cell r="F70" t="str">
            <v>Parking Lighting</v>
          </cell>
          <cell r="J70">
            <v>0</v>
          </cell>
          <cell r="K70">
            <v>8.3762581743454216</v>
          </cell>
        </row>
        <row r="71">
          <cell r="B71" t="str">
            <v>Parking Lighting-NR</v>
          </cell>
          <cell r="C71" t="str">
            <v>Com-ParkingGarageLighting-7P_v6.xlsx</v>
          </cell>
          <cell r="F71" t="str">
            <v>Parking Lighting</v>
          </cell>
          <cell r="H71">
            <v>8.5168591321761209</v>
          </cell>
          <cell r="J71">
            <v>8.5168591321761209</v>
          </cell>
          <cell r="K71">
            <v>45.816647060114327</v>
          </cell>
        </row>
        <row r="72">
          <cell r="B72" t="str">
            <v>Luminaire Level Lighting Controls-Retro</v>
          </cell>
          <cell r="F72" t="str">
            <v>Luminaire Level Lighting Controls</v>
          </cell>
          <cell r="J72">
            <v>0</v>
          </cell>
          <cell r="K72" t="str">
            <v/>
          </cell>
        </row>
        <row r="73">
          <cell r="B73" t="str">
            <v>ECM-VAV-New</v>
          </cell>
          <cell r="C73" t="str">
            <v>COM-ECM-VAV-7P_V2.xlsm</v>
          </cell>
          <cell r="F73" t="str">
            <v>ECM Motors on Variable Air Volume Boxes</v>
          </cell>
          <cell r="H73">
            <v>6.7265382983650612</v>
          </cell>
          <cell r="J73">
            <v>6.7265382983650612</v>
          </cell>
          <cell r="K73">
            <v>2.5095329434297415</v>
          </cell>
        </row>
        <row r="74">
          <cell r="B74" t="str">
            <v>ECM-VAV-NR</v>
          </cell>
          <cell r="C74" t="str">
            <v>COM-ECM-VAV-7P_V2.xlsm</v>
          </cell>
          <cell r="F74" t="str">
            <v>ECM Motors on Variable Air Volume Boxes</v>
          </cell>
          <cell r="H74">
            <v>28.943889826760167</v>
          </cell>
          <cell r="J74">
            <v>28.943889826760167</v>
          </cell>
          <cell r="K74">
            <v>8.5068284449929461</v>
          </cell>
        </row>
        <row r="75">
          <cell r="B75" t="str">
            <v>Pool pumps-Retro</v>
          </cell>
          <cell r="C75" t="str">
            <v>dropped for 7p</v>
          </cell>
          <cell r="F75" t="str">
            <v>Pool pumps</v>
          </cell>
          <cell r="J75">
            <v>0</v>
          </cell>
          <cell r="K75" t="str">
            <v/>
          </cell>
        </row>
        <row r="76">
          <cell r="B76" t="str">
            <v>MotorsRewind-New</v>
          </cell>
          <cell r="F76" t="str">
            <v>Switched Reluctance/Permanent Magnet Motors</v>
          </cell>
          <cell r="J76">
            <v>0</v>
          </cell>
          <cell r="K76" t="str">
            <v/>
          </cell>
        </row>
        <row r="77">
          <cell r="B77" t="str">
            <v>MotorsRewind-NR</v>
          </cell>
          <cell r="F77" t="str">
            <v>Motors - Rewind</v>
          </cell>
          <cell r="J77">
            <v>0</v>
          </cell>
          <cell r="K77" t="str">
            <v/>
          </cell>
        </row>
        <row r="78">
          <cell r="B78" t="str">
            <v>Municipal Sewage Treatment-Retro</v>
          </cell>
          <cell r="C78" t="str">
            <v>COM-Wastewater-7P_V3</v>
          </cell>
          <cell r="D78" t="str">
            <v>SC_Retro</v>
          </cell>
          <cell r="E78" t="str">
            <v>Retro</v>
          </cell>
          <cell r="F78" t="str">
            <v>Municipal Sewage Treatment</v>
          </cell>
          <cell r="H78">
            <v>26.873862754883131</v>
          </cell>
          <cell r="J78">
            <v>26.873862754883131</v>
          </cell>
          <cell r="K78">
            <v>35.639494471243012</v>
          </cell>
        </row>
        <row r="79">
          <cell r="B79" t="str">
            <v>Municipal Water Supply-Retro</v>
          </cell>
          <cell r="C79" t="str">
            <v>COM-WaterSupply-7P_V3</v>
          </cell>
          <cell r="D79" t="str">
            <v>SC_Retro</v>
          </cell>
          <cell r="E79" t="str">
            <v>Retro</v>
          </cell>
          <cell r="F79" t="str">
            <v>Municipal Water Supply</v>
          </cell>
          <cell r="H79">
            <v>9.4782144879551904</v>
          </cell>
          <cell r="J79">
            <v>9.4782144879551904</v>
          </cell>
          <cell r="K79">
            <v>13.786942026010605</v>
          </cell>
        </row>
        <row r="80">
          <cell r="B80" t="str">
            <v>Engine Generator Block Heaters-Retro</v>
          </cell>
          <cell r="C80" t="str">
            <v>dropped for 7p</v>
          </cell>
          <cell r="F80" t="str">
            <v>Engine Generator Block Heaters</v>
          </cell>
          <cell r="J80">
            <v>0</v>
          </cell>
          <cell r="K80" t="str">
            <v/>
          </cell>
        </row>
        <row r="81">
          <cell r="B81" t="str">
            <v>Grocery Refrigeration Bundle-Retro</v>
          </cell>
          <cell r="F81" t="str">
            <v>Grocery Refrigeration Bundle</v>
          </cell>
          <cell r="J81">
            <v>0</v>
          </cell>
          <cell r="K81">
            <v>85.641041401934004</v>
          </cell>
        </row>
        <row r="82">
          <cell r="B82" t="str">
            <v>Packaged Refrigeration Equipment-New</v>
          </cell>
          <cell r="C82" t="str">
            <v>dropped for 7p - stds</v>
          </cell>
          <cell r="F82" t="str">
            <v>Packaged Refrigeration Equipment</v>
          </cell>
          <cell r="J82">
            <v>0</v>
          </cell>
          <cell r="K82">
            <v>49.431909921506794</v>
          </cell>
        </row>
        <row r="83">
          <cell r="B83" t="str">
            <v>Appliances - Freezers-NR</v>
          </cell>
          <cell r="F83" t="str">
            <v>Appliances - Freezers</v>
          </cell>
          <cell r="J83">
            <v>0</v>
          </cell>
          <cell r="K83" t="str">
            <v/>
          </cell>
        </row>
        <row r="84">
          <cell r="B84" t="str">
            <v>Appliances - Refrigerators-NR</v>
          </cell>
          <cell r="F84" t="str">
            <v>Appliances - Refrigerators</v>
          </cell>
          <cell r="J84">
            <v>0</v>
          </cell>
          <cell r="K84" t="str">
            <v/>
          </cell>
        </row>
        <row r="85">
          <cell r="B85" t="str">
            <v>Water Cooler Controls-Retro</v>
          </cell>
          <cell r="F85" t="str">
            <v>Water Cooler Controls</v>
          </cell>
          <cell r="J85">
            <v>0</v>
          </cell>
          <cell r="K85" t="str">
            <v/>
          </cell>
        </row>
        <row r="86">
          <cell r="B86" t="str">
            <v>WHTanks-New</v>
          </cell>
          <cell r="C86" t="str">
            <v>COM-WHTanks-7p_v4.xlsm</v>
          </cell>
          <cell r="F86" t="str">
            <v>DHW - Efficient Tanks</v>
          </cell>
          <cell r="H86">
            <v>0.59377265227866394</v>
          </cell>
          <cell r="J86">
            <v>0.59377265227866394</v>
          </cell>
          <cell r="K86">
            <v>0</v>
          </cell>
        </row>
        <row r="87">
          <cell r="B87" t="str">
            <v>WHTanks-NR</v>
          </cell>
          <cell r="C87" t="str">
            <v>COM-WHTanks-7p_v4.xlsm</v>
          </cell>
          <cell r="F87" t="str">
            <v>DHW - Efficient Tanks</v>
          </cell>
          <cell r="H87">
            <v>2.5478411379046402</v>
          </cell>
          <cell r="J87">
            <v>2.5478411379046402</v>
          </cell>
          <cell r="K87" t="str">
            <v/>
          </cell>
        </row>
        <row r="88">
          <cell r="B88" t="str">
            <v>Appliances - Clothes Washers-NR</v>
          </cell>
          <cell r="F88" t="str">
            <v>Appliances - Clothes Washers</v>
          </cell>
          <cell r="J88">
            <v>0</v>
          </cell>
          <cell r="K88" t="str">
            <v/>
          </cell>
        </row>
        <row r="89">
          <cell r="B89" t="str">
            <v>Showerheads-Retro</v>
          </cell>
          <cell r="C89" t="str">
            <v>COM-Showerhead-7P_v2.xlsm</v>
          </cell>
          <cell r="F89" t="str">
            <v>DHW - Showerheads</v>
          </cell>
          <cell r="H89">
            <v>3.9960988299770572</v>
          </cell>
          <cell r="J89">
            <v>3.9960988299770572</v>
          </cell>
          <cell r="K89" t="str">
            <v/>
          </cell>
        </row>
        <row r="90">
          <cell r="B90" t="str">
            <v>Water Heating - GFHX-New</v>
          </cell>
          <cell r="C90" t="str">
            <v>dropped for 7p</v>
          </cell>
          <cell r="F90" t="str">
            <v>Water Heating - GFHX</v>
          </cell>
          <cell r="J90">
            <v>0</v>
          </cell>
          <cell r="K90" t="str">
            <v/>
          </cell>
        </row>
        <row r="91">
          <cell r="B91" t="str">
            <v>Demand Control Circulating system DHW-Retro</v>
          </cell>
          <cell r="C91" t="str">
            <v>dropped for 7p</v>
          </cell>
          <cell r="F91" t="str">
            <v>Demand Control Circulating system DHW</v>
          </cell>
          <cell r="J91">
            <v>0</v>
          </cell>
          <cell r="K91" t="str">
            <v/>
          </cell>
        </row>
        <row r="92">
          <cell r="B92" t="str">
            <v>Central HPWH MF-Retro</v>
          </cell>
          <cell r="F92" t="str">
            <v>Central HPWH MF</v>
          </cell>
          <cell r="J92">
            <v>0</v>
          </cell>
          <cell r="K92" t="str">
            <v/>
          </cell>
        </row>
        <row r="93">
          <cell r="B93" t="str">
            <v>Ultra Low Energy Building-New</v>
          </cell>
          <cell r="F93" t="str">
            <v>Ultra Low Energy Building</v>
          </cell>
          <cell r="J93">
            <v>7</v>
          </cell>
          <cell r="K93">
            <v>57.012696990717721</v>
          </cell>
        </row>
        <row r="94">
          <cell r="B94" t="str">
            <v>HPLowPowerGSFL-NR</v>
          </cell>
          <cell r="C94" t="str">
            <v>Com-HPLowPowerGSFL-7P_V4.xlsx</v>
          </cell>
          <cell r="F94" t="str">
            <v>High Perf Low Power Fluorescent Lamp PPA</v>
          </cell>
          <cell r="G94">
            <v>42057</v>
          </cell>
          <cell r="H94">
            <v>39.270358300120535</v>
          </cell>
        </row>
        <row r="96">
          <cell r="B96" t="str">
            <v>From 6P not in 7P</v>
          </cell>
        </row>
        <row r="97">
          <cell r="B97" t="str">
            <v>Signage-New</v>
          </cell>
          <cell r="C97" t="str">
            <v>dropped for 7p</v>
          </cell>
          <cell r="J97">
            <v>0</v>
          </cell>
          <cell r="K97">
            <v>1.1088142099641565</v>
          </cell>
        </row>
        <row r="98">
          <cell r="B98" t="str">
            <v>Signage-NR</v>
          </cell>
          <cell r="C98" t="str">
            <v>dropped for 7p</v>
          </cell>
          <cell r="J98">
            <v>0</v>
          </cell>
          <cell r="K98">
            <v>5.6760557940938234</v>
          </cell>
        </row>
        <row r="99">
          <cell r="B99" t="str">
            <v>Exit Signs-NR</v>
          </cell>
          <cell r="C99" t="str">
            <v>dropped for 7p</v>
          </cell>
          <cell r="J99">
            <v>28.943889826760167</v>
          </cell>
          <cell r="K99">
            <v>4.88794421832577</v>
          </cell>
        </row>
        <row r="100">
          <cell r="B100" t="str">
            <v>Roof Insulation-NR</v>
          </cell>
          <cell r="C100" t="str">
            <v>dropped for 7p</v>
          </cell>
          <cell r="J100">
            <v>0</v>
          </cell>
          <cell r="K100">
            <v>24.79389803241914</v>
          </cell>
        </row>
        <row r="101">
          <cell r="B101" t="str">
            <v>Package Roof Top Optimization and Repair-New</v>
          </cell>
          <cell r="C101" t="str">
            <v>These will be added back into list when completed</v>
          </cell>
          <cell r="J101">
            <v>19.467787300106064</v>
          </cell>
          <cell r="K101">
            <v>4.3297471414332787</v>
          </cell>
        </row>
        <row r="102">
          <cell r="B102" t="str">
            <v>Package Roof Top Optimization and Repair-NR</v>
          </cell>
          <cell r="C102" t="str">
            <v>These will be added back into list when completed</v>
          </cell>
          <cell r="J102">
            <v>0</v>
          </cell>
          <cell r="K102">
            <v>8.0798753943758364</v>
          </cell>
        </row>
        <row r="103">
          <cell r="B103" t="str">
            <v>Package Roof Top Optimization and Repair-Retro</v>
          </cell>
          <cell r="C103" t="str">
            <v>These will be added back into list when completed</v>
          </cell>
          <cell r="J103">
            <v>62.006776314729542</v>
          </cell>
          <cell r="K103">
            <v>13.993833635474468</v>
          </cell>
        </row>
        <row r="107">
          <cell r="B107" t="str">
            <v>Considered by not included in 7P</v>
          </cell>
        </row>
        <row r="108">
          <cell r="B108" t="str">
            <v>Energy Recovery Ventilator-NR</v>
          </cell>
          <cell r="C108" t="str">
            <v>dropped for 7p - too expensive</v>
          </cell>
        </row>
        <row r="109">
          <cell r="B109" t="str">
            <v>AC Heat Recovery for Water Heating-NR</v>
          </cell>
          <cell r="C109" t="str">
            <v>dropped for 7p</v>
          </cell>
        </row>
        <row r="110">
          <cell r="B110" t="str">
            <v>Room Occupancy Sensors in Lodging-Retro</v>
          </cell>
          <cell r="C110" t="str">
            <v>dropped for 7p</v>
          </cell>
          <cell r="D110" t="str">
            <v>dropped for 7p</v>
          </cell>
          <cell r="E110" t="str">
            <v>dropped for 7p</v>
          </cell>
          <cell r="F110" t="str">
            <v>dropped for 7p</v>
          </cell>
        </row>
        <row r="111">
          <cell r="B111" t="str">
            <v>Commercial Clothes Washers-New</v>
          </cell>
          <cell r="C111" t="str">
            <v>dropped for 7p</v>
          </cell>
          <cell r="D111" t="str">
            <v>dropped for 7p</v>
          </cell>
          <cell r="E111" t="str">
            <v>dropped for 7p</v>
          </cell>
          <cell r="F111" t="str">
            <v>dropped for 7p</v>
          </cell>
        </row>
        <row r="112">
          <cell r="B112" t="str">
            <v>Switched Reluctance/Permanent Magnet Motors-Retro</v>
          </cell>
          <cell r="C112" t="str">
            <v>see ecm-vav - could be expanded to other applications</v>
          </cell>
          <cell r="F112" t="str">
            <v>Switched Reluctance/Permanent Magnet Motors</v>
          </cell>
          <cell r="J112">
            <v>155</v>
          </cell>
          <cell r="L112" t="str">
            <v>power supplies</v>
          </cell>
        </row>
        <row r="113">
          <cell r="L113" t="str">
            <v>Computers (in ICE)</v>
          </cell>
        </row>
        <row r="114">
          <cell r="L114" t="str">
            <v>Monitors (in ICE)</v>
          </cell>
        </row>
      </sheetData>
      <sheetData sheetId="3">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cell r="C12">
            <v>0.01</v>
          </cell>
          <cell r="D12">
            <v>0.01</v>
          </cell>
          <cell r="E12">
            <v>0.01</v>
          </cell>
          <cell r="F12">
            <v>0.01</v>
          </cell>
          <cell r="G12">
            <v>0.01</v>
          </cell>
          <cell r="H12">
            <v>0.01</v>
          </cell>
          <cell r="I12">
            <v>0.01</v>
          </cell>
          <cell r="J12">
            <v>0.01</v>
          </cell>
          <cell r="K12">
            <v>0.01</v>
          </cell>
          <cell r="L12">
            <v>0.01</v>
          </cell>
          <cell r="M12">
            <v>0.01</v>
          </cell>
          <cell r="N12">
            <v>0.01</v>
          </cell>
          <cell r="O12">
            <v>0.01</v>
          </cell>
          <cell r="P12">
            <v>0.01</v>
          </cell>
          <cell r="Q12">
            <v>0.01</v>
          </cell>
          <cell r="R12">
            <v>0.01</v>
          </cell>
          <cell r="S12">
            <v>0.01</v>
          </cell>
          <cell r="T12">
            <v>0.01</v>
          </cell>
          <cell r="X12">
            <v>0.01</v>
          </cell>
        </row>
        <row r="13">
          <cell r="B13" t="str">
            <v>Compressed Air-NR</v>
          </cell>
          <cell r="C13">
            <v>9.9000000000000008E-3</v>
          </cell>
          <cell r="D13">
            <v>9.9000000000000008E-3</v>
          </cell>
          <cell r="E13">
            <v>9.9000000000000008E-3</v>
          </cell>
          <cell r="F13">
            <v>9.9000000000000008E-3</v>
          </cell>
          <cell r="G13">
            <v>9.9000000000000008E-3</v>
          </cell>
          <cell r="H13">
            <v>9.9000000000000008E-3</v>
          </cell>
          <cell r="I13">
            <v>9.9000000000000008E-3</v>
          </cell>
          <cell r="J13">
            <v>9.9000000000000008E-3</v>
          </cell>
          <cell r="K13">
            <v>9.9000000000000008E-3</v>
          </cell>
          <cell r="L13">
            <v>9.9000000000000008E-3</v>
          </cell>
          <cell r="M13">
            <v>9.9000000000000008E-3</v>
          </cell>
          <cell r="N13">
            <v>9.9000000000000008E-3</v>
          </cell>
          <cell r="O13">
            <v>9.9000000000000008E-3</v>
          </cell>
          <cell r="P13">
            <v>9.9000000000000008E-3</v>
          </cell>
          <cell r="Q13">
            <v>9.9000000000000008E-3</v>
          </cell>
          <cell r="R13">
            <v>9.9000000000000008E-3</v>
          </cell>
          <cell r="S13">
            <v>9.9000000000000008E-3</v>
          </cell>
          <cell r="T13">
            <v>9.9000000000000008E-3</v>
          </cell>
          <cell r="X13">
            <v>0.01</v>
          </cell>
        </row>
        <row r="14">
          <cell r="B14" t="str">
            <v>Network PC Power Management-Retro</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X14">
            <v>0</v>
          </cell>
        </row>
        <row r="15">
          <cell r="B15" t="str">
            <v>Computer Servers and IT-Retro</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X15">
            <v>0</v>
          </cell>
        </row>
        <row r="16">
          <cell r="B16" t="str">
            <v>Smart Plug Power Strips-Retro</v>
          </cell>
          <cell r="C16">
            <v>0.01</v>
          </cell>
          <cell r="D16">
            <v>0.01</v>
          </cell>
          <cell r="E16">
            <v>0.01</v>
          </cell>
          <cell r="F16">
            <v>0.01</v>
          </cell>
          <cell r="G16">
            <v>0.01</v>
          </cell>
          <cell r="H16">
            <v>0.01</v>
          </cell>
          <cell r="I16">
            <v>0.01</v>
          </cell>
          <cell r="J16">
            <v>0.01</v>
          </cell>
          <cell r="K16">
            <v>0.01</v>
          </cell>
          <cell r="L16">
            <v>0.01</v>
          </cell>
          <cell r="M16">
            <v>0.01</v>
          </cell>
          <cell r="N16">
            <v>0.01</v>
          </cell>
          <cell r="O16">
            <v>0.01</v>
          </cell>
          <cell r="P16">
            <v>0.01</v>
          </cell>
          <cell r="Q16">
            <v>0.01</v>
          </cell>
          <cell r="R16">
            <v>0.01</v>
          </cell>
          <cell r="S16">
            <v>0.01</v>
          </cell>
          <cell r="T16">
            <v>0.01</v>
          </cell>
          <cell r="U16">
            <v>0.6</v>
          </cell>
          <cell r="X16">
            <v>0.01</v>
          </cell>
        </row>
        <row r="17">
          <cell r="B17" t="str">
            <v>Data Centers-NR</v>
          </cell>
          <cell r="C17">
            <v>0.01</v>
          </cell>
          <cell r="D17">
            <v>0.01</v>
          </cell>
          <cell r="E17">
            <v>0.01</v>
          </cell>
          <cell r="F17">
            <v>0.01</v>
          </cell>
          <cell r="G17">
            <v>0.01</v>
          </cell>
          <cell r="H17">
            <v>0.01</v>
          </cell>
          <cell r="I17">
            <v>0.01</v>
          </cell>
          <cell r="J17">
            <v>0.01</v>
          </cell>
          <cell r="K17">
            <v>0.01</v>
          </cell>
          <cell r="L17">
            <v>0.01</v>
          </cell>
          <cell r="M17">
            <v>0.01</v>
          </cell>
          <cell r="N17">
            <v>0.01</v>
          </cell>
          <cell r="O17">
            <v>0.01</v>
          </cell>
          <cell r="P17">
            <v>0.01</v>
          </cell>
          <cell r="Q17">
            <v>0.01</v>
          </cell>
          <cell r="R17">
            <v>0.01</v>
          </cell>
          <cell r="S17">
            <v>0.01</v>
          </cell>
          <cell r="T17">
            <v>0.01</v>
          </cell>
          <cell r="U17">
            <v>0.8</v>
          </cell>
          <cell r="X17">
            <v>0.01</v>
          </cell>
        </row>
        <row r="18">
          <cell r="B18" t="str">
            <v>Commercial Computer Monitor-NR</v>
          </cell>
          <cell r="C18">
            <v>0.01</v>
          </cell>
          <cell r="D18">
            <v>0.01</v>
          </cell>
          <cell r="E18">
            <v>0.01</v>
          </cell>
          <cell r="F18">
            <v>0.01</v>
          </cell>
          <cell r="G18">
            <v>0.01</v>
          </cell>
          <cell r="H18">
            <v>0.01</v>
          </cell>
          <cell r="I18">
            <v>0.01</v>
          </cell>
          <cell r="J18">
            <v>0.01</v>
          </cell>
          <cell r="K18">
            <v>0.01</v>
          </cell>
          <cell r="L18">
            <v>0.01</v>
          </cell>
          <cell r="M18">
            <v>0.01</v>
          </cell>
          <cell r="N18">
            <v>0.01</v>
          </cell>
          <cell r="O18">
            <v>0.01</v>
          </cell>
          <cell r="P18">
            <v>0.01</v>
          </cell>
          <cell r="Q18">
            <v>0.01</v>
          </cell>
          <cell r="R18">
            <v>0.01</v>
          </cell>
          <cell r="S18">
            <v>0.01</v>
          </cell>
          <cell r="T18">
            <v>0.01</v>
          </cell>
          <cell r="U18">
            <v>0.44999999999999996</v>
          </cell>
          <cell r="X18">
            <v>0.01</v>
          </cell>
        </row>
        <row r="19">
          <cell r="B19" t="str">
            <v>Commercial Computer Desktop-NR</v>
          </cell>
          <cell r="C19">
            <v>0.01</v>
          </cell>
          <cell r="D19">
            <v>0.01</v>
          </cell>
          <cell r="E19">
            <v>0.01</v>
          </cell>
          <cell r="F19">
            <v>0.01</v>
          </cell>
          <cell r="G19">
            <v>0.01</v>
          </cell>
          <cell r="H19">
            <v>0.01</v>
          </cell>
          <cell r="I19">
            <v>0.01</v>
          </cell>
          <cell r="J19">
            <v>0.01</v>
          </cell>
          <cell r="K19">
            <v>0.01</v>
          </cell>
          <cell r="L19">
            <v>0.01</v>
          </cell>
          <cell r="M19">
            <v>0.01</v>
          </cell>
          <cell r="N19">
            <v>0.01</v>
          </cell>
          <cell r="O19">
            <v>0.01</v>
          </cell>
          <cell r="P19">
            <v>0.01</v>
          </cell>
          <cell r="Q19">
            <v>0.01</v>
          </cell>
          <cell r="R19">
            <v>0.01</v>
          </cell>
          <cell r="S19">
            <v>0.01</v>
          </cell>
          <cell r="T19">
            <v>0.01</v>
          </cell>
          <cell r="U19">
            <v>0.25</v>
          </cell>
          <cell r="X19">
            <v>0.01</v>
          </cell>
          <cell r="Y19">
            <v>0.01</v>
          </cell>
        </row>
        <row r="20">
          <cell r="B20" t="str">
            <v>Pre-Rinse Spray Valve-Retro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0.74</v>
          </cell>
          <cell r="X20">
            <v>0</v>
          </cell>
          <cell r="Y20">
            <v>0</v>
          </cell>
        </row>
        <row r="21">
          <cell r="B21" t="str">
            <v>Cooking Equipment-NR</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0.54900000000000004</v>
          </cell>
          <cell r="X21">
            <v>0</v>
          </cell>
          <cell r="Y21">
            <v>0</v>
          </cell>
        </row>
        <row r="22">
          <cell r="B22" t="str">
            <v>Premium HVAC Equipment-New</v>
          </cell>
          <cell r="C22">
            <v>0.9</v>
          </cell>
          <cell r="D22">
            <v>0.9</v>
          </cell>
          <cell r="E22">
            <v>0.9</v>
          </cell>
          <cell r="F22">
            <v>0.9</v>
          </cell>
          <cell r="G22">
            <v>0.9</v>
          </cell>
          <cell r="H22">
            <v>0.9</v>
          </cell>
          <cell r="I22">
            <v>0.9</v>
          </cell>
          <cell r="J22">
            <v>0.9</v>
          </cell>
          <cell r="K22">
            <v>0.9</v>
          </cell>
          <cell r="L22">
            <v>0.9</v>
          </cell>
          <cell r="M22">
            <v>0.9</v>
          </cell>
          <cell r="N22">
            <v>0.9</v>
          </cell>
          <cell r="O22">
            <v>0.9</v>
          </cell>
          <cell r="P22">
            <v>0.9</v>
          </cell>
          <cell r="Q22">
            <v>0.9</v>
          </cell>
          <cell r="R22">
            <v>0.9</v>
          </cell>
          <cell r="S22">
            <v>0.9</v>
          </cell>
          <cell r="T22">
            <v>0.9</v>
          </cell>
          <cell r="X22">
            <v>1</v>
          </cell>
          <cell r="Y22">
            <v>1</v>
          </cell>
        </row>
        <row r="23">
          <cell r="B23" t="str">
            <v>Premium HVAC Equipment-NR</v>
          </cell>
          <cell r="C23">
            <v>0.9</v>
          </cell>
          <cell r="D23">
            <v>0.9</v>
          </cell>
          <cell r="E23">
            <v>0.9</v>
          </cell>
          <cell r="F23">
            <v>0.9</v>
          </cell>
          <cell r="G23">
            <v>0.9</v>
          </cell>
          <cell r="H23">
            <v>0.9</v>
          </cell>
          <cell r="I23">
            <v>0.9</v>
          </cell>
          <cell r="J23">
            <v>0.9</v>
          </cell>
          <cell r="K23">
            <v>0.9</v>
          </cell>
          <cell r="L23">
            <v>0.9</v>
          </cell>
          <cell r="M23">
            <v>0.9</v>
          </cell>
          <cell r="N23">
            <v>0.9</v>
          </cell>
          <cell r="O23">
            <v>0.9</v>
          </cell>
          <cell r="P23">
            <v>0.9</v>
          </cell>
          <cell r="Q23">
            <v>0.9</v>
          </cell>
          <cell r="R23">
            <v>0.9</v>
          </cell>
          <cell r="S23">
            <v>0.9</v>
          </cell>
          <cell r="T23">
            <v>0.9</v>
          </cell>
          <cell r="X23">
            <v>1</v>
          </cell>
          <cell r="Y23">
            <v>1</v>
          </cell>
        </row>
        <row r="24">
          <cell r="B24" t="str">
            <v>Glass-New</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X24">
            <v>0</v>
          </cell>
          <cell r="Y24">
            <v>0</v>
          </cell>
        </row>
        <row r="25">
          <cell r="B25" t="str">
            <v>Glass-NR</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X25">
            <v>0</v>
          </cell>
          <cell r="Y25">
            <v>0</v>
          </cell>
        </row>
        <row r="26">
          <cell r="B26" t="str">
            <v>Glass-Retro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X26">
            <v>0</v>
          </cell>
          <cell r="Y26">
            <v>0</v>
          </cell>
        </row>
        <row r="27">
          <cell r="B27" t="str">
            <v>Advanced Rooftop Controller-New</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X27">
            <v>0</v>
          </cell>
          <cell r="Y27">
            <v>0</v>
          </cell>
        </row>
        <row r="28">
          <cell r="B28" t="str">
            <v>Advanced Rooftop Controller-NR</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X28">
            <v>0</v>
          </cell>
          <cell r="Y28">
            <v>0</v>
          </cell>
        </row>
        <row r="29">
          <cell r="B29" t="str">
            <v>Advanced Rooftop Controller-Retro</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X29">
            <v>0</v>
          </cell>
          <cell r="Y29">
            <v>0</v>
          </cell>
        </row>
        <row r="30">
          <cell r="B30" t="str">
            <v>Variable Speed Chiller-New</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X30">
            <v>0</v>
          </cell>
          <cell r="Y30">
            <v>0</v>
          </cell>
        </row>
        <row r="31">
          <cell r="B31" t="str">
            <v>Variable Speed Chiller-NR</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X31">
            <v>0</v>
          </cell>
          <cell r="Y31">
            <v>0</v>
          </cell>
        </row>
        <row r="32">
          <cell r="B32" t="str">
            <v>Commercial EM-New</v>
          </cell>
          <cell r="C32">
            <v>1</v>
          </cell>
          <cell r="D32">
            <v>1</v>
          </cell>
          <cell r="E32">
            <v>1</v>
          </cell>
          <cell r="F32">
            <v>1</v>
          </cell>
          <cell r="G32">
            <v>1</v>
          </cell>
          <cell r="H32">
            <v>1</v>
          </cell>
          <cell r="I32">
            <v>1</v>
          </cell>
          <cell r="J32">
            <v>1</v>
          </cell>
          <cell r="K32">
            <v>1</v>
          </cell>
          <cell r="L32">
            <v>1</v>
          </cell>
          <cell r="M32">
            <v>1</v>
          </cell>
          <cell r="N32">
            <v>1</v>
          </cell>
          <cell r="O32">
            <v>1</v>
          </cell>
          <cell r="P32">
            <v>1</v>
          </cell>
          <cell r="Q32">
            <v>1</v>
          </cell>
          <cell r="R32">
            <v>1</v>
          </cell>
          <cell r="S32">
            <v>1</v>
          </cell>
          <cell r="T32">
            <v>1</v>
          </cell>
          <cell r="X32">
            <v>1</v>
          </cell>
          <cell r="Y32">
            <v>1</v>
          </cell>
        </row>
        <row r="33">
          <cell r="B33" t="str">
            <v>Commercial EM-NR</v>
          </cell>
          <cell r="C33">
            <v>1</v>
          </cell>
          <cell r="D33">
            <v>1</v>
          </cell>
          <cell r="E33">
            <v>1</v>
          </cell>
          <cell r="F33">
            <v>1</v>
          </cell>
          <cell r="G33">
            <v>1</v>
          </cell>
          <cell r="H33">
            <v>1</v>
          </cell>
          <cell r="I33">
            <v>1</v>
          </cell>
          <cell r="J33">
            <v>1</v>
          </cell>
          <cell r="K33">
            <v>1</v>
          </cell>
          <cell r="L33">
            <v>1</v>
          </cell>
          <cell r="M33">
            <v>1</v>
          </cell>
          <cell r="N33">
            <v>1</v>
          </cell>
          <cell r="O33">
            <v>1</v>
          </cell>
          <cell r="P33">
            <v>1</v>
          </cell>
          <cell r="Q33">
            <v>1</v>
          </cell>
          <cell r="R33">
            <v>1</v>
          </cell>
          <cell r="S33">
            <v>1</v>
          </cell>
          <cell r="T33">
            <v>1</v>
          </cell>
          <cell r="X33">
            <v>1</v>
          </cell>
          <cell r="Y33">
            <v>1</v>
          </cell>
        </row>
        <row r="34">
          <cell r="B34" t="str">
            <v>Commercial EM-Retro</v>
          </cell>
          <cell r="C34">
            <v>0.49</v>
          </cell>
          <cell r="D34">
            <v>0.49</v>
          </cell>
          <cell r="E34">
            <v>0.49</v>
          </cell>
          <cell r="F34">
            <v>0.49</v>
          </cell>
          <cell r="G34">
            <v>0.49</v>
          </cell>
          <cell r="H34">
            <v>0.49</v>
          </cell>
          <cell r="I34">
            <v>0.49</v>
          </cell>
          <cell r="J34">
            <v>0.49</v>
          </cell>
          <cell r="K34">
            <v>0.49</v>
          </cell>
          <cell r="L34">
            <v>0.49</v>
          </cell>
          <cell r="M34">
            <v>0.49</v>
          </cell>
          <cell r="N34">
            <v>0.49</v>
          </cell>
          <cell r="O34">
            <v>0.49</v>
          </cell>
          <cell r="P34">
            <v>0.49</v>
          </cell>
          <cell r="Q34">
            <v>0.49</v>
          </cell>
          <cell r="R34">
            <v>0.49</v>
          </cell>
          <cell r="S34">
            <v>0.49</v>
          </cell>
          <cell r="T34">
            <v>0.49</v>
          </cell>
          <cell r="X34">
            <v>1</v>
          </cell>
          <cell r="Y34">
            <v>1</v>
          </cell>
        </row>
        <row r="35">
          <cell r="B35" t="str">
            <v>Evaporative Assist Cooling-New</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X35">
            <v>0</v>
          </cell>
          <cell r="Y35">
            <v>0</v>
          </cell>
        </row>
        <row r="36">
          <cell r="B36" t="str">
            <v>Evaporative Assist Cooling-NR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X36">
            <v>0</v>
          </cell>
          <cell r="Y36">
            <v>0</v>
          </cell>
        </row>
        <row r="37">
          <cell r="B37" t="str">
            <v>Low Pressure Distribution Complex HVAC-New</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X37">
            <v>0</v>
          </cell>
          <cell r="Y37">
            <v>0</v>
          </cell>
        </row>
        <row r="38">
          <cell r="B38" t="str">
            <v>Demand Control Ventilation-New</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X38">
            <v>0</v>
          </cell>
          <cell r="Y38">
            <v>0</v>
          </cell>
        </row>
        <row r="39">
          <cell r="B39" t="str">
            <v>Demand Control Ventilation-NR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X39">
            <v>0</v>
          </cell>
          <cell r="Y39">
            <v>0</v>
          </cell>
        </row>
        <row r="40">
          <cell r="B40" t="str">
            <v>Demand Control Ventilation-Retro</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X40">
            <v>0</v>
          </cell>
          <cell r="Y40">
            <v>0</v>
          </cell>
        </row>
        <row r="41">
          <cell r="B41" t="str">
            <v>Premium Fume Hood-NR</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0.9</v>
          </cell>
          <cell r="X41">
            <v>0</v>
          </cell>
          <cell r="Y41">
            <v>0</v>
          </cell>
        </row>
        <row r="42">
          <cell r="B42" t="str">
            <v>DCV Restaurant Hood-Retro</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X42">
            <v>0</v>
          </cell>
          <cell r="Y42">
            <v>0</v>
          </cell>
        </row>
        <row r="43">
          <cell r="B43" t="str">
            <v>DCV Parking Garage-Retro</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X43">
            <v>0</v>
          </cell>
          <cell r="Y43">
            <v>0</v>
          </cell>
        </row>
        <row r="44">
          <cell r="B44" t="str">
            <v>Weatherization - School-Retro</v>
          </cell>
          <cell r="C44">
            <v>0.01</v>
          </cell>
          <cell r="D44">
            <v>0.01</v>
          </cell>
          <cell r="E44">
            <v>0.01</v>
          </cell>
          <cell r="F44">
            <v>0.01</v>
          </cell>
          <cell r="G44">
            <v>0.01</v>
          </cell>
          <cell r="H44">
            <v>0.01</v>
          </cell>
          <cell r="I44">
            <v>0.01</v>
          </cell>
          <cell r="J44">
            <v>0.01</v>
          </cell>
          <cell r="K44">
            <v>0.01</v>
          </cell>
          <cell r="L44">
            <v>0.01</v>
          </cell>
          <cell r="M44">
            <v>0.01</v>
          </cell>
          <cell r="N44">
            <v>0.01</v>
          </cell>
          <cell r="O44">
            <v>0.01</v>
          </cell>
          <cell r="P44">
            <v>0.01</v>
          </cell>
          <cell r="Q44">
            <v>0.01</v>
          </cell>
          <cell r="R44">
            <v>0.01</v>
          </cell>
          <cell r="S44">
            <v>0.01</v>
          </cell>
          <cell r="T44">
            <v>0.01</v>
          </cell>
          <cell r="X44">
            <v>0.01</v>
          </cell>
          <cell r="Y44">
            <v>0.01</v>
          </cell>
        </row>
        <row r="45">
          <cell r="B45" t="str">
            <v>Commercial Computer Laptop-NR</v>
          </cell>
          <cell r="C45">
            <v>0.01</v>
          </cell>
          <cell r="D45">
            <v>0.01</v>
          </cell>
          <cell r="E45">
            <v>0.01</v>
          </cell>
          <cell r="F45">
            <v>0.01</v>
          </cell>
          <cell r="G45">
            <v>0.01</v>
          </cell>
          <cell r="H45">
            <v>0.01</v>
          </cell>
          <cell r="I45">
            <v>0.01</v>
          </cell>
          <cell r="J45">
            <v>0.01</v>
          </cell>
          <cell r="K45">
            <v>0.01</v>
          </cell>
          <cell r="L45">
            <v>0.01</v>
          </cell>
          <cell r="M45">
            <v>0.01</v>
          </cell>
          <cell r="N45">
            <v>0.01</v>
          </cell>
          <cell r="O45">
            <v>0.01</v>
          </cell>
          <cell r="P45">
            <v>0.01</v>
          </cell>
          <cell r="Q45">
            <v>0.01</v>
          </cell>
          <cell r="R45">
            <v>0.01</v>
          </cell>
          <cell r="S45">
            <v>0.01</v>
          </cell>
          <cell r="T45">
            <v>0.01</v>
          </cell>
          <cell r="U45">
            <v>9.9999999999999978E-2</v>
          </cell>
          <cell r="X45">
            <v>0.01</v>
          </cell>
          <cell r="Y45">
            <v>0.01</v>
          </cell>
        </row>
        <row r="46">
          <cell r="B46" t="str">
            <v>AC Heat Recovery for Water Heating-NR</v>
          </cell>
          <cell r="C46">
            <v>0.01</v>
          </cell>
          <cell r="D46">
            <v>0.01</v>
          </cell>
          <cell r="E46">
            <v>0.01</v>
          </cell>
          <cell r="F46">
            <v>0.01</v>
          </cell>
          <cell r="G46">
            <v>0.01</v>
          </cell>
          <cell r="H46">
            <v>0.01</v>
          </cell>
          <cell r="I46">
            <v>0.01</v>
          </cell>
          <cell r="J46">
            <v>0.01</v>
          </cell>
          <cell r="K46">
            <v>0.01</v>
          </cell>
          <cell r="L46">
            <v>0.01</v>
          </cell>
          <cell r="M46">
            <v>0.01</v>
          </cell>
          <cell r="N46">
            <v>0.01</v>
          </cell>
          <cell r="O46">
            <v>0.01</v>
          </cell>
          <cell r="P46">
            <v>0.01</v>
          </cell>
          <cell r="Q46">
            <v>0.01</v>
          </cell>
          <cell r="R46">
            <v>0.01</v>
          </cell>
          <cell r="S46">
            <v>0.01</v>
          </cell>
          <cell r="T46">
            <v>0.01</v>
          </cell>
          <cell r="X46">
            <v>0.01</v>
          </cell>
          <cell r="Y46">
            <v>0.01</v>
          </cell>
        </row>
        <row r="47">
          <cell r="B47" t="str">
            <v>Room Occupancy Sensors in Lodging-Retro</v>
          </cell>
          <cell r="C47">
            <v>0.01</v>
          </cell>
          <cell r="D47">
            <v>0.01</v>
          </cell>
          <cell r="E47">
            <v>0.01</v>
          </cell>
          <cell r="F47">
            <v>0.01</v>
          </cell>
          <cell r="G47">
            <v>0.01</v>
          </cell>
          <cell r="H47">
            <v>0.01</v>
          </cell>
          <cell r="I47">
            <v>0.01</v>
          </cell>
          <cell r="J47">
            <v>0.01</v>
          </cell>
          <cell r="K47">
            <v>0.01</v>
          </cell>
          <cell r="L47">
            <v>0.01</v>
          </cell>
          <cell r="M47">
            <v>0.01</v>
          </cell>
          <cell r="N47">
            <v>0.01</v>
          </cell>
          <cell r="O47">
            <v>0.01</v>
          </cell>
          <cell r="P47">
            <v>0.01</v>
          </cell>
          <cell r="Q47">
            <v>0.01</v>
          </cell>
          <cell r="R47">
            <v>0.01</v>
          </cell>
          <cell r="S47">
            <v>0.01</v>
          </cell>
          <cell r="T47">
            <v>0.01</v>
          </cell>
          <cell r="X47">
            <v>0.01</v>
          </cell>
          <cell r="Y47">
            <v>0.01</v>
          </cell>
        </row>
        <row r="48">
          <cell r="B48" t="str">
            <v>Chiller - chilled water retrofit-Retro</v>
          </cell>
          <cell r="C48">
            <v>0.01</v>
          </cell>
          <cell r="D48">
            <v>0.01</v>
          </cell>
          <cell r="E48">
            <v>0.01</v>
          </cell>
          <cell r="F48">
            <v>0.01</v>
          </cell>
          <cell r="G48">
            <v>0.01</v>
          </cell>
          <cell r="H48">
            <v>0.01</v>
          </cell>
          <cell r="I48">
            <v>0.01</v>
          </cell>
          <cell r="J48">
            <v>0.01</v>
          </cell>
          <cell r="K48">
            <v>0.01</v>
          </cell>
          <cell r="L48">
            <v>0.01</v>
          </cell>
          <cell r="M48">
            <v>0.01</v>
          </cell>
          <cell r="N48">
            <v>0.01</v>
          </cell>
          <cell r="O48">
            <v>0.01</v>
          </cell>
          <cell r="P48">
            <v>0.01</v>
          </cell>
          <cell r="Q48">
            <v>0.01</v>
          </cell>
          <cell r="R48">
            <v>0.01</v>
          </cell>
          <cell r="S48">
            <v>0.01</v>
          </cell>
          <cell r="T48">
            <v>0.01</v>
          </cell>
          <cell r="X48">
            <v>0.01</v>
          </cell>
          <cell r="Y48">
            <v>0.01</v>
          </cell>
        </row>
        <row r="49">
          <cell r="B49" t="str">
            <v>Chiller - equip retrofits-Retro</v>
          </cell>
          <cell r="C49">
            <v>0.01</v>
          </cell>
          <cell r="D49">
            <v>0.01</v>
          </cell>
          <cell r="E49">
            <v>0.01</v>
          </cell>
          <cell r="F49">
            <v>0.01</v>
          </cell>
          <cell r="G49">
            <v>0.01</v>
          </cell>
          <cell r="H49">
            <v>0.01</v>
          </cell>
          <cell r="I49">
            <v>0.01</v>
          </cell>
          <cell r="J49">
            <v>0.01</v>
          </cell>
          <cell r="K49">
            <v>0.01</v>
          </cell>
          <cell r="L49">
            <v>0.01</v>
          </cell>
          <cell r="M49">
            <v>0.01</v>
          </cell>
          <cell r="N49">
            <v>0.01</v>
          </cell>
          <cell r="O49">
            <v>0.01</v>
          </cell>
          <cell r="P49">
            <v>0.01</v>
          </cell>
          <cell r="Q49">
            <v>0.01</v>
          </cell>
          <cell r="R49">
            <v>0.01</v>
          </cell>
          <cell r="S49">
            <v>0.01</v>
          </cell>
          <cell r="T49">
            <v>0.01</v>
          </cell>
          <cell r="X49">
            <v>0.01</v>
          </cell>
          <cell r="Y49">
            <v>0.01</v>
          </cell>
        </row>
        <row r="50">
          <cell r="B50" t="str">
            <v>Pool Blankets-Retro</v>
          </cell>
          <cell r="C50">
            <v>0.01</v>
          </cell>
          <cell r="D50">
            <v>0.01</v>
          </cell>
          <cell r="E50">
            <v>0.01</v>
          </cell>
          <cell r="F50">
            <v>0.01</v>
          </cell>
          <cell r="G50">
            <v>0.01</v>
          </cell>
          <cell r="H50">
            <v>0.01</v>
          </cell>
          <cell r="I50">
            <v>0.01</v>
          </cell>
          <cell r="J50">
            <v>0.01</v>
          </cell>
          <cell r="K50">
            <v>0.01</v>
          </cell>
          <cell r="L50">
            <v>0.01</v>
          </cell>
          <cell r="M50">
            <v>0.01</v>
          </cell>
          <cell r="N50">
            <v>0.01</v>
          </cell>
          <cell r="O50">
            <v>0.01</v>
          </cell>
          <cell r="P50">
            <v>0.01</v>
          </cell>
          <cell r="Q50">
            <v>0.01</v>
          </cell>
          <cell r="R50">
            <v>0.01</v>
          </cell>
          <cell r="S50">
            <v>0.01</v>
          </cell>
          <cell r="T50">
            <v>0.01</v>
          </cell>
          <cell r="X50">
            <v>0.01</v>
          </cell>
          <cell r="Y50">
            <v>0.01</v>
          </cell>
        </row>
        <row r="51">
          <cell r="B51" t="str">
            <v>Web-Enabled Thermostats-Retro</v>
          </cell>
          <cell r="C51">
            <v>0.01</v>
          </cell>
          <cell r="D51">
            <v>0.01</v>
          </cell>
          <cell r="E51">
            <v>0.01</v>
          </cell>
          <cell r="F51">
            <v>0.01</v>
          </cell>
          <cell r="G51">
            <v>0.01</v>
          </cell>
          <cell r="H51">
            <v>0.01</v>
          </cell>
          <cell r="I51">
            <v>0.01</v>
          </cell>
          <cell r="J51">
            <v>0.01</v>
          </cell>
          <cell r="K51">
            <v>0.01</v>
          </cell>
          <cell r="L51">
            <v>0.01</v>
          </cell>
          <cell r="M51">
            <v>0.01</v>
          </cell>
          <cell r="N51">
            <v>0.01</v>
          </cell>
          <cell r="O51">
            <v>0.01</v>
          </cell>
          <cell r="P51">
            <v>0.01</v>
          </cell>
          <cell r="Q51">
            <v>0.01</v>
          </cell>
          <cell r="R51">
            <v>0.01</v>
          </cell>
          <cell r="S51">
            <v>0.01</v>
          </cell>
          <cell r="T51">
            <v>0.01</v>
          </cell>
          <cell r="X51">
            <v>0.01</v>
          </cell>
          <cell r="Y51">
            <v>0.01</v>
          </cell>
        </row>
        <row r="52">
          <cell r="B52" t="str">
            <v>Garage CO2 ventilation-Retro</v>
          </cell>
          <cell r="C52">
            <v>0.01</v>
          </cell>
          <cell r="D52">
            <v>0.01</v>
          </cell>
          <cell r="E52">
            <v>0.01</v>
          </cell>
          <cell r="F52">
            <v>0.01</v>
          </cell>
          <cell r="G52">
            <v>0.01</v>
          </cell>
          <cell r="H52">
            <v>0.01</v>
          </cell>
          <cell r="I52">
            <v>0.01</v>
          </cell>
          <cell r="J52">
            <v>0.01</v>
          </cell>
          <cell r="K52">
            <v>0.01</v>
          </cell>
          <cell r="L52">
            <v>0.01</v>
          </cell>
          <cell r="M52">
            <v>0.01</v>
          </cell>
          <cell r="N52">
            <v>0.01</v>
          </cell>
          <cell r="O52">
            <v>0.01</v>
          </cell>
          <cell r="P52">
            <v>0.01</v>
          </cell>
          <cell r="Q52">
            <v>0.01</v>
          </cell>
          <cell r="R52">
            <v>0.01</v>
          </cell>
          <cell r="S52">
            <v>0.01</v>
          </cell>
          <cell r="T52">
            <v>0.01</v>
          </cell>
          <cell r="X52">
            <v>0.01</v>
          </cell>
          <cell r="Y52">
            <v>0.01</v>
          </cell>
        </row>
        <row r="53">
          <cell r="B53" t="str">
            <v>Circ Pump ECM and drive-Retro</v>
          </cell>
          <cell r="C53">
            <v>0.01</v>
          </cell>
          <cell r="D53">
            <v>0.01</v>
          </cell>
          <cell r="E53">
            <v>0.01</v>
          </cell>
          <cell r="F53">
            <v>0.01</v>
          </cell>
          <cell r="G53">
            <v>0.01</v>
          </cell>
          <cell r="H53">
            <v>0.01</v>
          </cell>
          <cell r="I53">
            <v>0.01</v>
          </cell>
          <cell r="J53">
            <v>0.01</v>
          </cell>
          <cell r="K53">
            <v>0.01</v>
          </cell>
          <cell r="L53">
            <v>0.01</v>
          </cell>
          <cell r="M53">
            <v>0.01</v>
          </cell>
          <cell r="N53">
            <v>0.01</v>
          </cell>
          <cell r="O53">
            <v>0.01</v>
          </cell>
          <cell r="P53">
            <v>0.01</v>
          </cell>
          <cell r="Q53">
            <v>0.01</v>
          </cell>
          <cell r="R53">
            <v>0.01</v>
          </cell>
          <cell r="S53">
            <v>0.01</v>
          </cell>
          <cell r="T53">
            <v>0.01</v>
          </cell>
          <cell r="X53">
            <v>0.01</v>
          </cell>
          <cell r="Y53">
            <v>0.01</v>
          </cell>
        </row>
        <row r="54">
          <cell r="B54" t="str">
            <v>VRF-New</v>
          </cell>
          <cell r="C54">
            <v>4.9000000000000002E-2</v>
          </cell>
          <cell r="D54">
            <v>0.78400000000000003</v>
          </cell>
          <cell r="E54">
            <v>0.78400000000000003</v>
          </cell>
          <cell r="F54">
            <v>0.245</v>
          </cell>
          <cell r="G54">
            <v>0.245</v>
          </cell>
          <cell r="H54">
            <v>0.245</v>
          </cell>
          <cell r="I54">
            <v>0.245</v>
          </cell>
          <cell r="J54">
            <v>0.78400000000000003</v>
          </cell>
          <cell r="K54">
            <v>0.78400000000000003</v>
          </cell>
          <cell r="L54">
            <v>9.7999999999999997E-3</v>
          </cell>
          <cell r="M54">
            <v>4.9000000000000002E-2</v>
          </cell>
          <cell r="N54">
            <v>4.9000000000000002E-2</v>
          </cell>
          <cell r="O54">
            <v>0.245</v>
          </cell>
          <cell r="P54">
            <v>0.68599999999999994</v>
          </cell>
          <cell r="Q54">
            <v>4.9000000000000002E-2</v>
          </cell>
          <cell r="R54">
            <v>0.78400000000000003</v>
          </cell>
          <cell r="S54">
            <v>0.245</v>
          </cell>
          <cell r="T54">
            <v>0.78400000000000003</v>
          </cell>
          <cell r="X54">
            <v>0.05</v>
          </cell>
          <cell r="Y54">
            <v>0.8</v>
          </cell>
        </row>
        <row r="55">
          <cell r="B55" t="str">
            <v>VRF-Retro</v>
          </cell>
          <cell r="C55">
            <v>2.4820152866650024E-2</v>
          </cell>
          <cell r="D55">
            <v>6.9496428026620066E-2</v>
          </cell>
          <cell r="E55">
            <v>6.9496428026620066E-2</v>
          </cell>
          <cell r="F55">
            <v>3.7499999999999999E-3</v>
          </cell>
          <cell r="G55">
            <v>0.06</v>
          </cell>
          <cell r="H55">
            <v>0.06</v>
          </cell>
          <cell r="I55">
            <v>1.8749999999999999E-2</v>
          </cell>
          <cell r="J55">
            <v>1.8749999999999999E-2</v>
          </cell>
          <cell r="K55">
            <v>1.8749999999999999E-2</v>
          </cell>
          <cell r="L55">
            <v>1.8749999999999999E-2</v>
          </cell>
          <cell r="M55">
            <v>0.06</v>
          </cell>
          <cell r="N55">
            <v>0.06</v>
          </cell>
          <cell r="O55">
            <v>7.5000000000000002E-4</v>
          </cell>
          <cell r="P55">
            <v>3.7499999999999999E-3</v>
          </cell>
          <cell r="Q55">
            <v>3.7499999999999999E-3</v>
          </cell>
          <cell r="R55">
            <v>1.8749999999999999E-2</v>
          </cell>
          <cell r="S55">
            <v>5.2499999999999998E-2</v>
          </cell>
          <cell r="T55">
            <v>3.7499999999999999E-3</v>
          </cell>
          <cell r="X55">
            <v>2.4820152866650024E-2</v>
          </cell>
          <cell r="Y55">
            <v>6.9496428026620066E-2</v>
          </cell>
        </row>
        <row r="56">
          <cell r="B56" t="str">
            <v>Evaporator Roof Top HVAC-Retro</v>
          </cell>
          <cell r="C56">
            <v>0.01</v>
          </cell>
          <cell r="D56">
            <v>0.01</v>
          </cell>
          <cell r="E56">
            <v>0.01</v>
          </cell>
          <cell r="F56">
            <v>0.01</v>
          </cell>
          <cell r="G56">
            <v>0.01</v>
          </cell>
          <cell r="H56">
            <v>0.01</v>
          </cell>
          <cell r="I56">
            <v>0.01</v>
          </cell>
          <cell r="J56">
            <v>0.01</v>
          </cell>
          <cell r="K56">
            <v>0.01</v>
          </cell>
          <cell r="L56">
            <v>0.01</v>
          </cell>
          <cell r="M56">
            <v>0.01</v>
          </cell>
          <cell r="N56">
            <v>0.01</v>
          </cell>
          <cell r="O56">
            <v>0.01</v>
          </cell>
          <cell r="P56">
            <v>0.01</v>
          </cell>
          <cell r="Q56">
            <v>0.01</v>
          </cell>
          <cell r="R56">
            <v>0.01</v>
          </cell>
          <cell r="S56">
            <v>0.01</v>
          </cell>
          <cell r="T56">
            <v>0.01</v>
          </cell>
          <cell r="X56">
            <v>0.01</v>
          </cell>
          <cell r="Y56">
            <v>0.01</v>
          </cell>
        </row>
        <row r="57">
          <cell r="B57" t="str">
            <v>Secondary Glazing Systems-Retro</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X57">
            <v>0</v>
          </cell>
          <cell r="Y57">
            <v>0</v>
          </cell>
        </row>
        <row r="58">
          <cell r="B58" t="str">
            <v>LPD Package-New</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X58">
            <v>0</v>
          </cell>
          <cell r="Y58">
            <v>0</v>
          </cell>
        </row>
        <row r="59">
          <cell r="B59" t="str">
            <v>LPD Package-NR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X59">
            <v>0</v>
          </cell>
          <cell r="Y59">
            <v>0</v>
          </cell>
        </row>
        <row r="60">
          <cell r="B60" t="str">
            <v>LPD Package-Retro</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X60">
            <v>0</v>
          </cell>
          <cell r="Y60">
            <v>0</v>
          </cell>
        </row>
        <row r="61">
          <cell r="B61" t="str">
            <v>Top Daylighting-New</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X61">
            <v>0</v>
          </cell>
          <cell r="Y61">
            <v>0</v>
          </cell>
        </row>
        <row r="62">
          <cell r="B62" t="str">
            <v>Perimeter Daylighting Controls Advanced-New</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X62">
            <v>0</v>
          </cell>
          <cell r="Y62">
            <v>0</v>
          </cell>
        </row>
        <row r="63">
          <cell r="B63" t="str">
            <v>Perimeter Daylighting Controls Advanced-NR</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X63">
            <v>0</v>
          </cell>
          <cell r="Y63">
            <v>0</v>
          </cell>
        </row>
        <row r="64">
          <cell r="B64" t="str">
            <v>Lighting Controls Interior-New</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X64">
            <v>0</v>
          </cell>
          <cell r="Y64">
            <v>0</v>
          </cell>
        </row>
        <row r="65">
          <cell r="B65" t="str">
            <v>Lighting Controls Interior-NR</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X65">
            <v>0</v>
          </cell>
          <cell r="Y65">
            <v>0</v>
          </cell>
        </row>
        <row r="66">
          <cell r="B66" t="str">
            <v>Exterior Building Lighting-New</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X66">
            <v>0</v>
          </cell>
          <cell r="Y66">
            <v>0</v>
          </cell>
        </row>
        <row r="67">
          <cell r="B67" t="str">
            <v>Exterior Building Lighting-NR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X67">
            <v>0</v>
          </cell>
          <cell r="Y67">
            <v>0</v>
          </cell>
        </row>
        <row r="68">
          <cell r="B68" t="str">
            <v>Street and Roadway Lighting-New</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0.5</v>
          </cell>
          <cell r="X68">
            <v>0</v>
          </cell>
          <cell r="Y68">
            <v>0</v>
          </cell>
        </row>
        <row r="69">
          <cell r="B69" t="str">
            <v>Street and Roadway Lighting-NR</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0.5</v>
          </cell>
          <cell r="X69">
            <v>0</v>
          </cell>
          <cell r="Y69">
            <v>0</v>
          </cell>
        </row>
        <row r="70">
          <cell r="B70" t="str">
            <v>Parking Lighting-New</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X70">
            <v>0</v>
          </cell>
          <cell r="Y70">
            <v>0</v>
          </cell>
        </row>
        <row r="71">
          <cell r="B71" t="str">
            <v>Parking Lighting-NR</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X71">
            <v>0</v>
          </cell>
          <cell r="Y71">
            <v>0</v>
          </cell>
        </row>
        <row r="72">
          <cell r="B72" t="str">
            <v>Luminaire Level Lighting Controls-Retro</v>
          </cell>
          <cell r="C72">
            <v>0.01</v>
          </cell>
          <cell r="D72">
            <v>0.01</v>
          </cell>
          <cell r="E72">
            <v>0.01</v>
          </cell>
          <cell r="F72">
            <v>0.01</v>
          </cell>
          <cell r="G72">
            <v>0.01</v>
          </cell>
          <cell r="H72">
            <v>0.01</v>
          </cell>
          <cell r="I72">
            <v>0.01</v>
          </cell>
          <cell r="J72">
            <v>0.01</v>
          </cell>
          <cell r="K72">
            <v>0.01</v>
          </cell>
          <cell r="L72">
            <v>0.01</v>
          </cell>
          <cell r="M72">
            <v>0.01</v>
          </cell>
          <cell r="N72">
            <v>0.01</v>
          </cell>
          <cell r="O72">
            <v>0.01</v>
          </cell>
          <cell r="P72">
            <v>0.01</v>
          </cell>
          <cell r="Q72">
            <v>0.01</v>
          </cell>
          <cell r="R72">
            <v>0.01</v>
          </cell>
          <cell r="S72">
            <v>0.01</v>
          </cell>
          <cell r="T72">
            <v>0.01</v>
          </cell>
          <cell r="X72">
            <v>0.01</v>
          </cell>
          <cell r="Y72">
            <v>0.01</v>
          </cell>
        </row>
        <row r="73">
          <cell r="B73" t="str">
            <v>ECM-VAV-New</v>
          </cell>
          <cell r="C73">
            <v>0.6</v>
          </cell>
          <cell r="D73">
            <v>0.7</v>
          </cell>
          <cell r="E73">
            <v>0.9</v>
          </cell>
          <cell r="F73">
            <v>0.9</v>
          </cell>
          <cell r="G73">
            <v>0.9</v>
          </cell>
          <cell r="H73">
            <v>0.9</v>
          </cell>
          <cell r="I73">
            <v>0.6</v>
          </cell>
          <cell r="J73">
            <v>0.9</v>
          </cell>
          <cell r="K73">
            <v>0.6</v>
          </cell>
          <cell r="L73">
            <v>0.9</v>
          </cell>
          <cell r="M73">
            <v>0.9</v>
          </cell>
          <cell r="N73">
            <v>0.9</v>
          </cell>
          <cell r="O73">
            <v>0.9</v>
          </cell>
          <cell r="P73">
            <v>0.9</v>
          </cell>
          <cell r="Q73">
            <v>0.6</v>
          </cell>
          <cell r="R73">
            <v>0.9</v>
          </cell>
          <cell r="S73">
            <v>0.9</v>
          </cell>
          <cell r="T73">
            <v>0.6</v>
          </cell>
          <cell r="X73">
            <v>1</v>
          </cell>
          <cell r="Y73">
            <v>1</v>
          </cell>
        </row>
        <row r="74">
          <cell r="B74" t="str">
            <v>ECM-VAV-NR</v>
          </cell>
          <cell r="C74">
            <v>0.8</v>
          </cell>
          <cell r="D74">
            <v>0.8</v>
          </cell>
          <cell r="E74">
            <v>0.9</v>
          </cell>
          <cell r="F74">
            <v>0.9</v>
          </cell>
          <cell r="G74">
            <v>0.9</v>
          </cell>
          <cell r="H74">
            <v>0.9</v>
          </cell>
          <cell r="I74">
            <v>0.8</v>
          </cell>
          <cell r="J74">
            <v>0.9</v>
          </cell>
          <cell r="K74">
            <v>0.8</v>
          </cell>
          <cell r="L74">
            <v>0.9</v>
          </cell>
          <cell r="M74">
            <v>0.9</v>
          </cell>
          <cell r="N74">
            <v>0.9</v>
          </cell>
          <cell r="O74">
            <v>0.9</v>
          </cell>
          <cell r="P74">
            <v>0.9</v>
          </cell>
          <cell r="Q74">
            <v>0.8</v>
          </cell>
          <cell r="R74">
            <v>0.9</v>
          </cell>
          <cell r="S74">
            <v>0.9</v>
          </cell>
          <cell r="T74">
            <v>0.8</v>
          </cell>
          <cell r="X74">
            <v>1</v>
          </cell>
          <cell r="Y74">
            <v>1</v>
          </cell>
        </row>
        <row r="75">
          <cell r="B75" t="str">
            <v>Pool pumps-Retro</v>
          </cell>
          <cell r="C75">
            <v>0.01</v>
          </cell>
          <cell r="D75">
            <v>0.01</v>
          </cell>
          <cell r="E75">
            <v>0.01</v>
          </cell>
          <cell r="F75">
            <v>0.01</v>
          </cell>
          <cell r="G75">
            <v>0.01</v>
          </cell>
          <cell r="H75">
            <v>0.01</v>
          </cell>
          <cell r="I75">
            <v>0.01</v>
          </cell>
          <cell r="J75">
            <v>0.01</v>
          </cell>
          <cell r="K75">
            <v>0.01</v>
          </cell>
          <cell r="L75">
            <v>0.01</v>
          </cell>
          <cell r="M75">
            <v>0.01</v>
          </cell>
          <cell r="N75">
            <v>0.01</v>
          </cell>
          <cell r="O75">
            <v>0.01</v>
          </cell>
          <cell r="P75">
            <v>0.01</v>
          </cell>
          <cell r="Q75">
            <v>0.01</v>
          </cell>
          <cell r="R75">
            <v>0.01</v>
          </cell>
          <cell r="S75">
            <v>0.01</v>
          </cell>
          <cell r="T75">
            <v>0.01</v>
          </cell>
          <cell r="X75">
            <v>0.01</v>
          </cell>
          <cell r="Y75">
            <v>0.01</v>
          </cell>
        </row>
        <row r="76">
          <cell r="B76" t="str">
            <v>MotorsRewind-New</v>
          </cell>
          <cell r="C76">
            <v>0.01</v>
          </cell>
          <cell r="D76">
            <v>0.01</v>
          </cell>
          <cell r="E76">
            <v>0.01</v>
          </cell>
          <cell r="F76">
            <v>0.01</v>
          </cell>
          <cell r="G76">
            <v>0.01</v>
          </cell>
          <cell r="H76">
            <v>0.01</v>
          </cell>
          <cell r="I76">
            <v>0.01</v>
          </cell>
          <cell r="J76">
            <v>0.01</v>
          </cell>
          <cell r="K76">
            <v>0.01</v>
          </cell>
          <cell r="L76">
            <v>0.01</v>
          </cell>
          <cell r="M76">
            <v>0.01</v>
          </cell>
          <cell r="N76">
            <v>0.01</v>
          </cell>
          <cell r="O76">
            <v>0.01</v>
          </cell>
          <cell r="P76">
            <v>0.01</v>
          </cell>
          <cell r="Q76">
            <v>0.01</v>
          </cell>
          <cell r="R76">
            <v>0.01</v>
          </cell>
          <cell r="S76">
            <v>0.01</v>
          </cell>
          <cell r="T76">
            <v>0.01</v>
          </cell>
          <cell r="X76">
            <v>0.01</v>
          </cell>
          <cell r="Y76">
            <v>0.01</v>
          </cell>
        </row>
        <row r="77">
          <cell r="B77" t="str">
            <v>MotorsRewind-NR</v>
          </cell>
          <cell r="C77">
            <v>0.01</v>
          </cell>
          <cell r="D77">
            <v>0.01</v>
          </cell>
          <cell r="E77">
            <v>0.01</v>
          </cell>
          <cell r="F77">
            <v>0.01</v>
          </cell>
          <cell r="G77">
            <v>0.01</v>
          </cell>
          <cell r="H77">
            <v>0.01</v>
          </cell>
          <cell r="I77">
            <v>0.01</v>
          </cell>
          <cell r="J77">
            <v>0.01</v>
          </cell>
          <cell r="K77">
            <v>0.01</v>
          </cell>
          <cell r="L77">
            <v>0.01</v>
          </cell>
          <cell r="M77">
            <v>0.01</v>
          </cell>
          <cell r="N77">
            <v>0.01</v>
          </cell>
          <cell r="O77">
            <v>0.01</v>
          </cell>
          <cell r="P77">
            <v>0.01</v>
          </cell>
          <cell r="Q77">
            <v>0.01</v>
          </cell>
          <cell r="R77">
            <v>0.01</v>
          </cell>
          <cell r="S77">
            <v>0.01</v>
          </cell>
          <cell r="T77">
            <v>0.01</v>
          </cell>
          <cell r="X77">
            <v>0.01</v>
          </cell>
          <cell r="Y77">
            <v>0.01</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1</v>
          </cell>
          <cell r="X78">
            <v>0</v>
          </cell>
          <cell r="Y78">
            <v>0</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1</v>
          </cell>
          <cell r="X79">
            <v>0</v>
          </cell>
          <cell r="Y79">
            <v>0</v>
          </cell>
        </row>
        <row r="80">
          <cell r="B80" t="str">
            <v>Engine Generator Block Heaters-Retro</v>
          </cell>
          <cell r="C80">
            <v>0.01</v>
          </cell>
          <cell r="D80">
            <v>0.01</v>
          </cell>
          <cell r="E80">
            <v>0.01</v>
          </cell>
          <cell r="F80">
            <v>0.01</v>
          </cell>
          <cell r="G80">
            <v>0.01</v>
          </cell>
          <cell r="H80">
            <v>0.01</v>
          </cell>
          <cell r="I80">
            <v>0.01</v>
          </cell>
          <cell r="J80">
            <v>0.01</v>
          </cell>
          <cell r="K80">
            <v>0.01</v>
          </cell>
          <cell r="L80">
            <v>0.01</v>
          </cell>
          <cell r="M80">
            <v>0.01</v>
          </cell>
          <cell r="N80">
            <v>0.01</v>
          </cell>
          <cell r="O80">
            <v>0.01</v>
          </cell>
          <cell r="P80">
            <v>0.01</v>
          </cell>
          <cell r="Q80">
            <v>0.01</v>
          </cell>
          <cell r="R80">
            <v>0.01</v>
          </cell>
          <cell r="S80">
            <v>0.01</v>
          </cell>
          <cell r="T80">
            <v>0.01</v>
          </cell>
          <cell r="X80">
            <v>0.01</v>
          </cell>
          <cell r="Y80">
            <v>0.01</v>
          </cell>
        </row>
        <row r="81">
          <cell r="B81" t="str">
            <v>Grocery Refrigeration Bundle-Retro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X81">
            <v>0</v>
          </cell>
          <cell r="Y81">
            <v>0</v>
          </cell>
        </row>
        <row r="82">
          <cell r="B82" t="str">
            <v>Packaged Refrigeration Equipment-New</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X82">
            <v>0</v>
          </cell>
          <cell r="Y82">
            <v>0</v>
          </cell>
        </row>
        <row r="83">
          <cell r="B83" t="str">
            <v>Appliances - Freezers-NR</v>
          </cell>
          <cell r="C83">
            <v>0.01</v>
          </cell>
          <cell r="D83">
            <v>0.01</v>
          </cell>
          <cell r="E83">
            <v>0.01</v>
          </cell>
          <cell r="F83">
            <v>0.01</v>
          </cell>
          <cell r="G83">
            <v>0.01</v>
          </cell>
          <cell r="H83">
            <v>0.01</v>
          </cell>
          <cell r="I83">
            <v>0.01</v>
          </cell>
          <cell r="J83">
            <v>0.01</v>
          </cell>
          <cell r="K83">
            <v>0.01</v>
          </cell>
          <cell r="L83">
            <v>0.01</v>
          </cell>
          <cell r="M83">
            <v>0.01</v>
          </cell>
          <cell r="N83">
            <v>0.01</v>
          </cell>
          <cell r="O83">
            <v>0.01</v>
          </cell>
          <cell r="P83">
            <v>0.01</v>
          </cell>
          <cell r="Q83">
            <v>0.01</v>
          </cell>
          <cell r="R83">
            <v>0.01</v>
          </cell>
          <cell r="S83">
            <v>0.01</v>
          </cell>
          <cell r="T83">
            <v>0.01</v>
          </cell>
          <cell r="U83" t="e">
            <v>#VALUE!</v>
          </cell>
          <cell r="X83">
            <v>0.01</v>
          </cell>
          <cell r="Y83">
            <v>0.01</v>
          </cell>
        </row>
        <row r="84">
          <cell r="B84" t="str">
            <v>Appliances - Refrigerators-NR</v>
          </cell>
          <cell r="C84">
            <v>0.01</v>
          </cell>
          <cell r="D84">
            <v>0.01</v>
          </cell>
          <cell r="E84">
            <v>0.01</v>
          </cell>
          <cell r="F84">
            <v>0.01</v>
          </cell>
          <cell r="G84">
            <v>0.01</v>
          </cell>
          <cell r="H84">
            <v>0.01</v>
          </cell>
          <cell r="I84">
            <v>0.01</v>
          </cell>
          <cell r="J84">
            <v>0.01</v>
          </cell>
          <cell r="K84">
            <v>0.01</v>
          </cell>
          <cell r="L84">
            <v>0.01</v>
          </cell>
          <cell r="M84">
            <v>0.01</v>
          </cell>
          <cell r="N84">
            <v>0.01</v>
          </cell>
          <cell r="O84">
            <v>0.01</v>
          </cell>
          <cell r="P84">
            <v>0.01</v>
          </cell>
          <cell r="Q84">
            <v>0.01</v>
          </cell>
          <cell r="R84">
            <v>0.01</v>
          </cell>
          <cell r="S84">
            <v>0.01</v>
          </cell>
          <cell r="T84">
            <v>0.01</v>
          </cell>
          <cell r="U84" t="e">
            <v>#VALUE!</v>
          </cell>
          <cell r="X84">
            <v>0.01</v>
          </cell>
          <cell r="Y84">
            <v>0.01</v>
          </cell>
        </row>
        <row r="85">
          <cell r="B85" t="str">
            <v>Water Cooler Controls-Retro</v>
          </cell>
          <cell r="C85">
            <v>0.01</v>
          </cell>
          <cell r="D85">
            <v>0.01</v>
          </cell>
          <cell r="E85">
            <v>0.01</v>
          </cell>
          <cell r="F85">
            <v>0.01</v>
          </cell>
          <cell r="G85">
            <v>0.01</v>
          </cell>
          <cell r="H85">
            <v>0.01</v>
          </cell>
          <cell r="I85">
            <v>0.01</v>
          </cell>
          <cell r="J85">
            <v>0.01</v>
          </cell>
          <cell r="K85">
            <v>0.01</v>
          </cell>
          <cell r="L85">
            <v>0.01</v>
          </cell>
          <cell r="M85">
            <v>0.01</v>
          </cell>
          <cell r="N85">
            <v>0.01</v>
          </cell>
          <cell r="O85">
            <v>0.01</v>
          </cell>
          <cell r="P85">
            <v>0.01</v>
          </cell>
          <cell r="Q85">
            <v>0.01</v>
          </cell>
          <cell r="R85">
            <v>0.01</v>
          </cell>
          <cell r="S85">
            <v>0.01</v>
          </cell>
          <cell r="T85">
            <v>0.01</v>
          </cell>
          <cell r="U85" t="e">
            <v>#VALUE!</v>
          </cell>
          <cell r="X85">
            <v>0.01</v>
          </cell>
          <cell r="Y85">
            <v>0.01</v>
          </cell>
        </row>
        <row r="86">
          <cell r="B86" t="str">
            <v>WHTanks-New</v>
          </cell>
          <cell r="C86">
            <v>1</v>
          </cell>
          <cell r="D86">
            <v>1</v>
          </cell>
          <cell r="E86">
            <v>1</v>
          </cell>
          <cell r="F86">
            <v>1</v>
          </cell>
          <cell r="G86">
            <v>1</v>
          </cell>
          <cell r="H86">
            <v>1</v>
          </cell>
          <cell r="I86">
            <v>1</v>
          </cell>
          <cell r="J86">
            <v>1</v>
          </cell>
          <cell r="K86">
            <v>1</v>
          </cell>
          <cell r="L86">
            <v>1</v>
          </cell>
          <cell r="M86">
            <v>1</v>
          </cell>
          <cell r="N86">
            <v>1</v>
          </cell>
          <cell r="O86">
            <v>1</v>
          </cell>
          <cell r="P86">
            <v>1</v>
          </cell>
          <cell r="Q86">
            <v>1</v>
          </cell>
          <cell r="R86">
            <v>1</v>
          </cell>
          <cell r="S86">
            <v>1</v>
          </cell>
          <cell r="T86">
            <v>1</v>
          </cell>
          <cell r="U86">
            <v>0</v>
          </cell>
          <cell r="X86">
            <v>1</v>
          </cell>
          <cell r="Y86">
            <v>1</v>
          </cell>
        </row>
        <row r="87">
          <cell r="B87" t="str">
            <v>WHTanks-NR</v>
          </cell>
          <cell r="C87">
            <v>1</v>
          </cell>
          <cell r="D87">
            <v>1</v>
          </cell>
          <cell r="E87">
            <v>1</v>
          </cell>
          <cell r="F87">
            <v>1</v>
          </cell>
          <cell r="G87">
            <v>1</v>
          </cell>
          <cell r="H87">
            <v>1</v>
          </cell>
          <cell r="I87">
            <v>1</v>
          </cell>
          <cell r="J87">
            <v>1</v>
          </cell>
          <cell r="K87">
            <v>1</v>
          </cell>
          <cell r="L87">
            <v>1</v>
          </cell>
          <cell r="M87">
            <v>1</v>
          </cell>
          <cell r="N87">
            <v>1</v>
          </cell>
          <cell r="O87">
            <v>1</v>
          </cell>
          <cell r="P87">
            <v>1</v>
          </cell>
          <cell r="Q87">
            <v>1</v>
          </cell>
          <cell r="R87">
            <v>1</v>
          </cell>
          <cell r="S87">
            <v>1</v>
          </cell>
          <cell r="T87">
            <v>1</v>
          </cell>
          <cell r="U87" t="e">
            <v>#VALUE!</v>
          </cell>
          <cell r="X87">
            <v>1</v>
          </cell>
          <cell r="Y87">
            <v>1</v>
          </cell>
        </row>
        <row r="88">
          <cell r="B88" t="str">
            <v>Appliances - Clothes Washers-NR</v>
          </cell>
          <cell r="C88">
            <v>0.01</v>
          </cell>
          <cell r="D88">
            <v>0.01</v>
          </cell>
          <cell r="E88">
            <v>0.01</v>
          </cell>
          <cell r="F88">
            <v>0.01</v>
          </cell>
          <cell r="G88">
            <v>0.01</v>
          </cell>
          <cell r="H88">
            <v>0.01</v>
          </cell>
          <cell r="I88">
            <v>0.01</v>
          </cell>
          <cell r="J88">
            <v>0.01</v>
          </cell>
          <cell r="K88">
            <v>0.01</v>
          </cell>
          <cell r="L88">
            <v>0.01</v>
          </cell>
          <cell r="M88">
            <v>0.01</v>
          </cell>
          <cell r="N88">
            <v>0.01</v>
          </cell>
          <cell r="O88">
            <v>0.01</v>
          </cell>
          <cell r="P88">
            <v>0.01</v>
          </cell>
          <cell r="Q88">
            <v>0.01</v>
          </cell>
          <cell r="R88">
            <v>0.01</v>
          </cell>
          <cell r="S88">
            <v>0.01</v>
          </cell>
          <cell r="T88">
            <v>0.01</v>
          </cell>
          <cell r="U88" t="e">
            <v>#VALUE!</v>
          </cell>
          <cell r="X88">
            <v>0.01</v>
          </cell>
          <cell r="Y88">
            <v>0.01</v>
          </cell>
        </row>
        <row r="89">
          <cell r="B89" t="str">
            <v>Showerheads-Retro</v>
          </cell>
          <cell r="C89">
            <v>0.8</v>
          </cell>
          <cell r="D89">
            <v>0.8</v>
          </cell>
          <cell r="E89">
            <v>0.8</v>
          </cell>
          <cell r="F89">
            <v>0.8</v>
          </cell>
          <cell r="G89">
            <v>0.8</v>
          </cell>
          <cell r="H89">
            <v>0.8</v>
          </cell>
          <cell r="I89">
            <v>0.8</v>
          </cell>
          <cell r="J89">
            <v>0.8</v>
          </cell>
          <cell r="K89">
            <v>0.8</v>
          </cell>
          <cell r="L89">
            <v>0.8</v>
          </cell>
          <cell r="M89">
            <v>0.8</v>
          </cell>
          <cell r="N89">
            <v>0.8</v>
          </cell>
          <cell r="O89">
            <v>0.8</v>
          </cell>
          <cell r="P89">
            <v>0.8</v>
          </cell>
          <cell r="Q89">
            <v>0.8</v>
          </cell>
          <cell r="R89">
            <v>0.8</v>
          </cell>
          <cell r="S89">
            <v>0.8</v>
          </cell>
          <cell r="T89">
            <v>0.8</v>
          </cell>
          <cell r="U89" t="e">
            <v>#VALUE!</v>
          </cell>
          <cell r="X89">
            <v>1</v>
          </cell>
          <cell r="Y89">
            <v>1</v>
          </cell>
        </row>
        <row r="90">
          <cell r="B90" t="str">
            <v>Water Heating - GFHX-New</v>
          </cell>
          <cell r="C90">
            <v>0.01</v>
          </cell>
          <cell r="D90">
            <v>0.01</v>
          </cell>
          <cell r="E90">
            <v>0.01</v>
          </cell>
          <cell r="F90">
            <v>0.01</v>
          </cell>
          <cell r="G90">
            <v>0.01</v>
          </cell>
          <cell r="H90">
            <v>0.01</v>
          </cell>
          <cell r="I90">
            <v>0.01</v>
          </cell>
          <cell r="J90">
            <v>0.01</v>
          </cell>
          <cell r="K90">
            <v>0.01</v>
          </cell>
          <cell r="L90">
            <v>0.01</v>
          </cell>
          <cell r="M90">
            <v>0.01</v>
          </cell>
          <cell r="N90">
            <v>0.01</v>
          </cell>
          <cell r="O90">
            <v>0.01</v>
          </cell>
          <cell r="P90">
            <v>0.01</v>
          </cell>
          <cell r="Q90">
            <v>0.01</v>
          </cell>
          <cell r="R90">
            <v>0.01</v>
          </cell>
          <cell r="S90">
            <v>0.01</v>
          </cell>
          <cell r="T90">
            <v>0.01</v>
          </cell>
          <cell r="U90" t="e">
            <v>#VALUE!</v>
          </cell>
          <cell r="X90">
            <v>0.01</v>
          </cell>
          <cell r="Y90">
            <v>0.01</v>
          </cell>
        </row>
        <row r="91">
          <cell r="B91" t="str">
            <v>Demand Control Circulating system DHW-Retro</v>
          </cell>
          <cell r="C91">
            <v>0.01</v>
          </cell>
          <cell r="D91">
            <v>0.01</v>
          </cell>
          <cell r="E91">
            <v>0.01</v>
          </cell>
          <cell r="F91">
            <v>0.01</v>
          </cell>
          <cell r="G91">
            <v>0.01</v>
          </cell>
          <cell r="H91">
            <v>0.01</v>
          </cell>
          <cell r="I91">
            <v>0.01</v>
          </cell>
          <cell r="J91">
            <v>0.01</v>
          </cell>
          <cell r="K91">
            <v>0.01</v>
          </cell>
          <cell r="L91">
            <v>0.01</v>
          </cell>
          <cell r="M91">
            <v>0.01</v>
          </cell>
          <cell r="N91">
            <v>0.01</v>
          </cell>
          <cell r="O91">
            <v>0.01</v>
          </cell>
          <cell r="P91">
            <v>0.01</v>
          </cell>
          <cell r="Q91">
            <v>0.01</v>
          </cell>
          <cell r="R91">
            <v>0.01</v>
          </cell>
          <cell r="S91">
            <v>0.01</v>
          </cell>
          <cell r="T91">
            <v>0.01</v>
          </cell>
          <cell r="U91" t="e">
            <v>#VALUE!</v>
          </cell>
          <cell r="X91">
            <v>0.01</v>
          </cell>
          <cell r="Y91">
            <v>0.01</v>
          </cell>
        </row>
        <row r="92">
          <cell r="B92" t="str">
            <v>Central HPWH MF-Retro</v>
          </cell>
          <cell r="C92">
            <v>0.01</v>
          </cell>
          <cell r="D92">
            <v>0.01</v>
          </cell>
          <cell r="E92">
            <v>0.01</v>
          </cell>
          <cell r="F92">
            <v>0.01</v>
          </cell>
          <cell r="G92">
            <v>0.01</v>
          </cell>
          <cell r="H92">
            <v>0.01</v>
          </cell>
          <cell r="I92">
            <v>0.01</v>
          </cell>
          <cell r="J92">
            <v>0.01</v>
          </cell>
          <cell r="K92">
            <v>0.01</v>
          </cell>
          <cell r="L92">
            <v>0.01</v>
          </cell>
          <cell r="M92">
            <v>0.01</v>
          </cell>
          <cell r="N92">
            <v>0.01</v>
          </cell>
          <cell r="O92">
            <v>0.01</v>
          </cell>
          <cell r="P92">
            <v>0.01</v>
          </cell>
          <cell r="Q92">
            <v>0.01</v>
          </cell>
          <cell r="R92">
            <v>0.01</v>
          </cell>
          <cell r="S92">
            <v>0.01</v>
          </cell>
          <cell r="T92">
            <v>0.01</v>
          </cell>
          <cell r="U92" t="e">
            <v>#VALUE!</v>
          </cell>
          <cell r="X92">
            <v>0.01</v>
          </cell>
          <cell r="Y92">
            <v>0.01</v>
          </cell>
        </row>
        <row r="93">
          <cell r="B93" t="str">
            <v>Ultra Low Energy Building-New</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X93">
            <v>0</v>
          </cell>
          <cell r="Y93">
            <v>0</v>
          </cell>
        </row>
        <row r="94">
          <cell r="B94" t="str">
            <v>HPLowPowerGSFL-NR</v>
          </cell>
          <cell r="C94">
            <v>1</v>
          </cell>
          <cell r="D94">
            <v>1</v>
          </cell>
          <cell r="E94">
            <v>1</v>
          </cell>
          <cell r="F94">
            <v>1</v>
          </cell>
          <cell r="G94">
            <v>1</v>
          </cell>
          <cell r="H94">
            <v>1</v>
          </cell>
          <cell r="I94">
            <v>1</v>
          </cell>
          <cell r="J94">
            <v>1</v>
          </cell>
          <cell r="K94">
            <v>1</v>
          </cell>
          <cell r="L94">
            <v>1</v>
          </cell>
          <cell r="M94">
            <v>1</v>
          </cell>
          <cell r="N94">
            <v>1</v>
          </cell>
          <cell r="O94">
            <v>1</v>
          </cell>
          <cell r="P94">
            <v>1</v>
          </cell>
          <cell r="Q94">
            <v>1</v>
          </cell>
          <cell r="R94">
            <v>1</v>
          </cell>
          <cell r="S94">
            <v>1</v>
          </cell>
          <cell r="T94">
            <v>1</v>
          </cell>
          <cell r="X94">
            <v>1</v>
          </cell>
          <cell r="Y94">
            <v>1</v>
          </cell>
        </row>
      </sheetData>
      <sheetData sheetId="4">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t="str">
            <v/>
          </cell>
        </row>
        <row r="13">
          <cell r="B13" t="str">
            <v>Compressed Air-NR</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t="str">
            <v/>
          </cell>
        </row>
        <row r="14">
          <cell r="B14" t="str">
            <v>Network PC Power Management-Retro</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0.1</v>
          </cell>
        </row>
        <row r="15">
          <cell r="B15" t="str">
            <v>Computer Servers and IT-Retro</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0.15</v>
          </cell>
        </row>
        <row r="16">
          <cell r="B16" t="str">
            <v>Smart Plug Power Strips-Retro</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0.4</v>
          </cell>
        </row>
        <row r="17">
          <cell r="B17" t="str">
            <v>Data Centers-NR</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0.2</v>
          </cell>
          <cell r="V17" t="str">
            <v>ESTAR Server 9% (+), Virtualization 20%</v>
          </cell>
        </row>
        <row r="18">
          <cell r="B18" t="str">
            <v>Commercial Computer Monitor-NR</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0.55000000000000004</v>
          </cell>
          <cell r="V18" t="str">
            <v>ENERGY STAR USD Summary Report _2013</v>
          </cell>
        </row>
        <row r="19">
          <cell r="B19" t="str">
            <v>Commercial Computer Desktop-NR</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0.75</v>
          </cell>
          <cell r="V19" t="str">
            <v>NEEA Sales data</v>
          </cell>
        </row>
        <row r="20">
          <cell r="B20" t="str">
            <v>Pre-Rinse Spray Valve-Retro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0.26</v>
          </cell>
          <cell r="V20" t="str">
            <v>6 going on 7 plus CBSA</v>
          </cell>
        </row>
        <row r="21">
          <cell r="B21" t="str">
            <v>Cooking Equipment-NR</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0.39</v>
          </cell>
          <cell r="V21" t="str">
            <v>EPA Energy Star 2011</v>
          </cell>
        </row>
        <row r="22">
          <cell r="B22" t="str">
            <v>Premium HVAC Equipment-New</v>
          </cell>
          <cell r="C22">
            <v>0.1</v>
          </cell>
          <cell r="D22">
            <v>0.1</v>
          </cell>
          <cell r="E22">
            <v>0.1</v>
          </cell>
          <cell r="F22">
            <v>0.1</v>
          </cell>
          <cell r="G22">
            <v>0.1</v>
          </cell>
          <cell r="H22">
            <v>0.1</v>
          </cell>
          <cell r="I22">
            <v>0.1</v>
          </cell>
          <cell r="J22">
            <v>0.1</v>
          </cell>
          <cell r="K22">
            <v>0.1</v>
          </cell>
          <cell r="L22">
            <v>0.1</v>
          </cell>
          <cell r="M22">
            <v>0.1</v>
          </cell>
          <cell r="N22">
            <v>0.1</v>
          </cell>
          <cell r="O22">
            <v>0.1</v>
          </cell>
          <cell r="P22">
            <v>0.1</v>
          </cell>
          <cell r="Q22">
            <v>0.1</v>
          </cell>
          <cell r="R22">
            <v>0.1</v>
          </cell>
          <cell r="S22">
            <v>0.1</v>
          </cell>
          <cell r="T22">
            <v>0.1</v>
          </cell>
          <cell r="U22">
            <v>0</v>
          </cell>
        </row>
        <row r="23">
          <cell r="B23" t="str">
            <v>Premium HVAC Equipment-NR</v>
          </cell>
          <cell r="C23">
            <v>0.1</v>
          </cell>
          <cell r="D23">
            <v>0.1</v>
          </cell>
          <cell r="E23">
            <v>0.1</v>
          </cell>
          <cell r="F23">
            <v>0.1</v>
          </cell>
          <cell r="G23">
            <v>0.1</v>
          </cell>
          <cell r="H23">
            <v>0.1</v>
          </cell>
          <cell r="I23">
            <v>0.1</v>
          </cell>
          <cell r="J23">
            <v>0.1</v>
          </cell>
          <cell r="K23">
            <v>0.1</v>
          </cell>
          <cell r="L23">
            <v>0.1</v>
          </cell>
          <cell r="M23">
            <v>0.1</v>
          </cell>
          <cell r="N23">
            <v>0.1</v>
          </cell>
          <cell r="O23">
            <v>0.1</v>
          </cell>
          <cell r="P23">
            <v>0.1</v>
          </cell>
          <cell r="Q23">
            <v>0.1</v>
          </cell>
          <cell r="R23">
            <v>0.1</v>
          </cell>
          <cell r="S23">
            <v>0.1</v>
          </cell>
          <cell r="T23">
            <v>0.1</v>
          </cell>
          <cell r="U23">
            <v>0</v>
          </cell>
        </row>
        <row r="24">
          <cell r="B24" t="str">
            <v>Glass-New</v>
          </cell>
          <cell r="C24">
            <v>0.30399999999999999</v>
          </cell>
          <cell r="D24">
            <v>0.21039999999999998</v>
          </cell>
          <cell r="E24">
            <v>0.21760000000000002</v>
          </cell>
          <cell r="F24">
            <v>0.38244</v>
          </cell>
          <cell r="G24">
            <v>0.38183</v>
          </cell>
          <cell r="H24">
            <v>0.21683000000000002</v>
          </cell>
          <cell r="I24">
            <v>0.45624999999999999</v>
          </cell>
          <cell r="J24">
            <v>0.1434</v>
          </cell>
          <cell r="K24">
            <v>0.20800000000000002</v>
          </cell>
          <cell r="L24">
            <v>0.47244999999999998</v>
          </cell>
          <cell r="M24">
            <v>0.21212000000000003</v>
          </cell>
          <cell r="N24">
            <v>0.22062000000000004</v>
          </cell>
          <cell r="O24">
            <v>0.225000056</v>
          </cell>
          <cell r="P24">
            <v>0.25224999999999997</v>
          </cell>
          <cell r="Q24">
            <v>0.19740000000000002</v>
          </cell>
          <cell r="R24">
            <v>0.25850000000000001</v>
          </cell>
          <cell r="S24">
            <v>0.2</v>
          </cell>
          <cell r="T24">
            <v>0.23139999999999999</v>
          </cell>
          <cell r="U24">
            <v>0</v>
          </cell>
        </row>
        <row r="25">
          <cell r="B25" t="str">
            <v>Glass-NR</v>
          </cell>
          <cell r="C25">
            <v>0.30399999999999999</v>
          </cell>
          <cell r="D25">
            <v>0.21039999999999998</v>
          </cell>
          <cell r="E25">
            <v>0.21760000000000002</v>
          </cell>
          <cell r="F25">
            <v>0.38244</v>
          </cell>
          <cell r="G25">
            <v>0.38183</v>
          </cell>
          <cell r="H25">
            <v>0.21683000000000002</v>
          </cell>
          <cell r="I25">
            <v>0.45624999999999999</v>
          </cell>
          <cell r="J25">
            <v>0.1434</v>
          </cell>
          <cell r="K25">
            <v>0.20800000000000002</v>
          </cell>
          <cell r="L25">
            <v>0.47244999999999998</v>
          </cell>
          <cell r="M25">
            <v>0.21212000000000003</v>
          </cell>
          <cell r="N25">
            <v>0.22062000000000004</v>
          </cell>
          <cell r="O25">
            <v>0.225000056</v>
          </cell>
          <cell r="P25">
            <v>0.25224999999999997</v>
          </cell>
          <cell r="Q25">
            <v>0.19740000000000002</v>
          </cell>
          <cell r="R25">
            <v>0.25850000000000001</v>
          </cell>
          <cell r="S25">
            <v>0.2</v>
          </cell>
          <cell r="T25">
            <v>0.23139999999999999</v>
          </cell>
          <cell r="U25">
            <v>0</v>
          </cell>
        </row>
        <row r="26">
          <cell r="B26" t="str">
            <v>Glass-Retro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row>
        <row r="27">
          <cell r="B27" t="str">
            <v>Advanced Rooftop Controller-New</v>
          </cell>
          <cell r="C27">
            <v>0.05</v>
          </cell>
          <cell r="D27">
            <v>0.05</v>
          </cell>
          <cell r="E27">
            <v>0.05</v>
          </cell>
          <cell r="F27">
            <v>0.05</v>
          </cell>
          <cell r="G27">
            <v>0.05</v>
          </cell>
          <cell r="H27">
            <v>0.05</v>
          </cell>
          <cell r="I27">
            <v>0.05</v>
          </cell>
          <cell r="J27">
            <v>0.05</v>
          </cell>
          <cell r="K27">
            <v>0.05</v>
          </cell>
          <cell r="L27">
            <v>0.05</v>
          </cell>
          <cell r="M27">
            <v>0.05</v>
          </cell>
          <cell r="N27">
            <v>0.05</v>
          </cell>
          <cell r="O27">
            <v>0.05</v>
          </cell>
          <cell r="P27">
            <v>0.05</v>
          </cell>
          <cell r="Q27">
            <v>0.05</v>
          </cell>
          <cell r="R27">
            <v>0.05</v>
          </cell>
          <cell r="S27">
            <v>0.05</v>
          </cell>
          <cell r="T27">
            <v>0.05</v>
          </cell>
          <cell r="U27">
            <v>0</v>
          </cell>
        </row>
        <row r="28">
          <cell r="B28" t="str">
            <v>Advanced Rooftop Controller-NR</v>
          </cell>
          <cell r="C28">
            <v>0.05</v>
          </cell>
          <cell r="D28">
            <v>0.05</v>
          </cell>
          <cell r="E28">
            <v>0.05</v>
          </cell>
          <cell r="F28">
            <v>0.05</v>
          </cell>
          <cell r="G28">
            <v>0.05</v>
          </cell>
          <cell r="H28">
            <v>0.05</v>
          </cell>
          <cell r="I28">
            <v>0.05</v>
          </cell>
          <cell r="J28">
            <v>0.05</v>
          </cell>
          <cell r="K28">
            <v>0.05</v>
          </cell>
          <cell r="L28">
            <v>0.05</v>
          </cell>
          <cell r="M28">
            <v>0.05</v>
          </cell>
          <cell r="N28">
            <v>0.05</v>
          </cell>
          <cell r="O28">
            <v>0.05</v>
          </cell>
          <cell r="P28">
            <v>0.05</v>
          </cell>
          <cell r="Q28">
            <v>0.05</v>
          </cell>
          <cell r="R28">
            <v>0.05</v>
          </cell>
          <cell r="S28">
            <v>0.05</v>
          </cell>
          <cell r="T28">
            <v>0.05</v>
          </cell>
          <cell r="U28">
            <v>0</v>
          </cell>
        </row>
        <row r="29">
          <cell r="B29" t="str">
            <v>Advanced Rooftop Controller-Retro</v>
          </cell>
          <cell r="C29">
            <v>0.05</v>
          </cell>
          <cell r="D29">
            <v>0.05</v>
          </cell>
          <cell r="E29">
            <v>0.05</v>
          </cell>
          <cell r="F29">
            <v>0.05</v>
          </cell>
          <cell r="G29">
            <v>0.05</v>
          </cell>
          <cell r="H29">
            <v>0.05</v>
          </cell>
          <cell r="I29">
            <v>0.05</v>
          </cell>
          <cell r="J29">
            <v>0.05</v>
          </cell>
          <cell r="K29">
            <v>0.05</v>
          </cell>
          <cell r="L29">
            <v>0.05</v>
          </cell>
          <cell r="M29">
            <v>0.05</v>
          </cell>
          <cell r="N29">
            <v>0.05</v>
          </cell>
          <cell r="O29">
            <v>0.05</v>
          </cell>
          <cell r="P29">
            <v>0.05</v>
          </cell>
          <cell r="Q29">
            <v>0.05</v>
          </cell>
          <cell r="R29">
            <v>0.05</v>
          </cell>
          <cell r="S29">
            <v>0.05</v>
          </cell>
          <cell r="T29">
            <v>0.05</v>
          </cell>
          <cell r="U29">
            <v>0</v>
          </cell>
        </row>
        <row r="30">
          <cell r="B30" t="str">
            <v>Variable Speed Chiller-New</v>
          </cell>
          <cell r="C30">
            <v>0.1</v>
          </cell>
          <cell r="D30">
            <v>0.1</v>
          </cell>
          <cell r="E30">
            <v>0.1</v>
          </cell>
          <cell r="F30">
            <v>0.1</v>
          </cell>
          <cell r="G30">
            <v>0.1</v>
          </cell>
          <cell r="H30">
            <v>0.1</v>
          </cell>
          <cell r="I30">
            <v>0.1</v>
          </cell>
          <cell r="J30">
            <v>0.1</v>
          </cell>
          <cell r="K30">
            <v>0.1</v>
          </cell>
          <cell r="L30">
            <v>0.1</v>
          </cell>
          <cell r="M30">
            <v>0.1</v>
          </cell>
          <cell r="N30">
            <v>0.1</v>
          </cell>
          <cell r="O30">
            <v>0.1</v>
          </cell>
          <cell r="P30">
            <v>0.1</v>
          </cell>
          <cell r="Q30">
            <v>0.1</v>
          </cell>
          <cell r="R30">
            <v>0.1</v>
          </cell>
          <cell r="S30">
            <v>0.1</v>
          </cell>
          <cell r="T30">
            <v>0.1</v>
          </cell>
          <cell r="U30">
            <v>0</v>
          </cell>
        </row>
        <row r="31">
          <cell r="B31" t="str">
            <v>Variable Speed Chiller-NR</v>
          </cell>
          <cell r="C31">
            <v>0.1</v>
          </cell>
          <cell r="D31">
            <v>0.1</v>
          </cell>
          <cell r="E31">
            <v>0.1</v>
          </cell>
          <cell r="F31">
            <v>0.1</v>
          </cell>
          <cell r="G31">
            <v>0.1</v>
          </cell>
          <cell r="H31">
            <v>0.1</v>
          </cell>
          <cell r="I31">
            <v>0.1</v>
          </cell>
          <cell r="J31">
            <v>0.1</v>
          </cell>
          <cell r="K31">
            <v>0.1</v>
          </cell>
          <cell r="L31">
            <v>0.1</v>
          </cell>
          <cell r="M31">
            <v>0.1</v>
          </cell>
          <cell r="N31">
            <v>0.1</v>
          </cell>
          <cell r="O31">
            <v>0.1</v>
          </cell>
          <cell r="P31">
            <v>0.1</v>
          </cell>
          <cell r="Q31">
            <v>0.1</v>
          </cell>
          <cell r="R31">
            <v>0.1</v>
          </cell>
          <cell r="S31">
            <v>0.1</v>
          </cell>
          <cell r="T31">
            <v>0.1</v>
          </cell>
          <cell r="U31">
            <v>0</v>
          </cell>
        </row>
        <row r="32">
          <cell r="B32" t="str">
            <v>Commercial EM-New</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t="str">
            <v/>
          </cell>
          <cell r="V32" t="str">
            <v>Baseline saturation in measure workbook-eui adjustment</v>
          </cell>
        </row>
        <row r="33">
          <cell r="B33" t="str">
            <v>Commercial EM-NR</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t="str">
            <v/>
          </cell>
        </row>
        <row r="34">
          <cell r="B34" t="str">
            <v>Commercial EM-Retro</v>
          </cell>
          <cell r="C34">
            <v>0.51</v>
          </cell>
          <cell r="D34">
            <v>0.51</v>
          </cell>
          <cell r="E34">
            <v>0.51</v>
          </cell>
          <cell r="F34">
            <v>0.51</v>
          </cell>
          <cell r="G34">
            <v>0.51</v>
          </cell>
          <cell r="H34">
            <v>0.51</v>
          </cell>
          <cell r="I34">
            <v>0.51</v>
          </cell>
          <cell r="J34">
            <v>0.51</v>
          </cell>
          <cell r="K34">
            <v>0.51</v>
          </cell>
          <cell r="L34">
            <v>0.51</v>
          </cell>
          <cell r="M34">
            <v>0.51</v>
          </cell>
          <cell r="N34">
            <v>0.51</v>
          </cell>
          <cell r="O34">
            <v>0.51</v>
          </cell>
          <cell r="P34">
            <v>0.51</v>
          </cell>
          <cell r="Q34">
            <v>0.51</v>
          </cell>
          <cell r="R34">
            <v>0.51</v>
          </cell>
          <cell r="S34">
            <v>0.51</v>
          </cell>
          <cell r="T34">
            <v>0.51</v>
          </cell>
          <cell r="U34" t="str">
            <v/>
          </cell>
        </row>
        <row r="35">
          <cell r="B35" t="str">
            <v>Evaporative Assist Cooling-New</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row>
        <row r="36">
          <cell r="B36" t="str">
            <v>Evaporative Assist Cooling-NR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row>
        <row r="37">
          <cell r="B37" t="str">
            <v>Low Pressure Distribution Complex HVAC-New</v>
          </cell>
          <cell r="C37">
            <v>0.1</v>
          </cell>
          <cell r="D37">
            <v>0.1</v>
          </cell>
          <cell r="E37">
            <v>0.1</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0.05</v>
          </cell>
          <cell r="U37">
            <v>0</v>
          </cell>
        </row>
        <row r="38">
          <cell r="B38" t="str">
            <v>Demand Control Ventilation-New</v>
          </cell>
          <cell r="C38">
            <v>0</v>
          </cell>
          <cell r="D38">
            <v>0</v>
          </cell>
          <cell r="E38">
            <v>0</v>
          </cell>
          <cell r="F38">
            <v>0.2</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row>
        <row r="39">
          <cell r="B39" t="str">
            <v>Demand Control Ventilation-NR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row>
        <row r="40">
          <cell r="B40" t="str">
            <v>Demand Control Ventilation-Retro</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row>
        <row r="41">
          <cell r="B41" t="str">
            <v>Premium Fume Hood-NR</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0.1</v>
          </cell>
        </row>
        <row r="42">
          <cell r="B42" t="str">
            <v>DCV Restaurant Hood-Retro</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row>
        <row r="43">
          <cell r="B43" t="str">
            <v>DCV Parking Garage-Retro</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0.4</v>
          </cell>
        </row>
        <row r="44">
          <cell r="B44" t="str">
            <v>Weatherization - School-Retro</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t="str">
            <v/>
          </cell>
        </row>
        <row r="45">
          <cell r="B45" t="str">
            <v>Commercial Computer Laptop-NR</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0.9</v>
          </cell>
          <cell r="V45" t="str">
            <v>NEEA Sales data</v>
          </cell>
        </row>
        <row r="46">
          <cell r="B46" t="str">
            <v>AC Heat Recovery for Water Heating-NR</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t="str">
            <v/>
          </cell>
        </row>
        <row r="47">
          <cell r="B47" t="str">
            <v>Room Occupancy Sensors in Lodging-Retro</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t="str">
            <v/>
          </cell>
        </row>
        <row r="48">
          <cell r="B48" t="str">
            <v>Chiller - chilled water retrofit-Retro</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t="str">
            <v/>
          </cell>
        </row>
        <row r="49">
          <cell r="B49" t="str">
            <v>Chiller - equip retrofits-Retro</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t="str">
            <v/>
          </cell>
        </row>
        <row r="50">
          <cell r="B50" t="str">
            <v>Pool Blankets-Retro</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t="str">
            <v/>
          </cell>
        </row>
        <row r="51">
          <cell r="B51" t="str">
            <v>Web-Enabled Thermostats-Retro</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t="str">
            <v/>
          </cell>
        </row>
        <row r="52">
          <cell r="B52" t="str">
            <v>Garage CO2 ventilation-Retro</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t="str">
            <v/>
          </cell>
        </row>
        <row r="53">
          <cell r="B53" t="str">
            <v>Circ Pump ECM and drive-Retro</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t="str">
            <v/>
          </cell>
        </row>
        <row r="54">
          <cell r="B54" t="str">
            <v>VRF-New</v>
          </cell>
          <cell r="C54">
            <v>0.02</v>
          </cell>
          <cell r="D54">
            <v>0.02</v>
          </cell>
          <cell r="E54">
            <v>0.02</v>
          </cell>
          <cell r="F54">
            <v>0.02</v>
          </cell>
          <cell r="G54">
            <v>0.02</v>
          </cell>
          <cell r="H54">
            <v>0.02</v>
          </cell>
          <cell r="I54">
            <v>0.02</v>
          </cell>
          <cell r="J54">
            <v>0.02</v>
          </cell>
          <cell r="K54">
            <v>0.02</v>
          </cell>
          <cell r="L54">
            <v>0.02</v>
          </cell>
          <cell r="M54">
            <v>0.02</v>
          </cell>
          <cell r="N54">
            <v>0.02</v>
          </cell>
          <cell r="O54">
            <v>0.02</v>
          </cell>
          <cell r="P54">
            <v>0.02</v>
          </cell>
          <cell r="Q54">
            <v>0.02</v>
          </cell>
          <cell r="R54">
            <v>0.02</v>
          </cell>
          <cell r="S54">
            <v>0.02</v>
          </cell>
          <cell r="T54">
            <v>0.02</v>
          </cell>
          <cell r="U54" t="str">
            <v/>
          </cell>
          <cell r="V54" t="str">
            <v>US saturation 2%</v>
          </cell>
        </row>
        <row r="55">
          <cell r="B55" t="str">
            <v>VRF-Retro</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t="str">
            <v/>
          </cell>
        </row>
        <row r="56">
          <cell r="B56" t="str">
            <v>Evaporator Roof Top HVAC-Retro</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t="str">
            <v/>
          </cell>
        </row>
        <row r="57">
          <cell r="B57" t="str">
            <v>Secondary Glazing Systems-Retro</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t="str">
            <v>Baseline saturation in measure workbook.  Multiple measures</v>
          </cell>
        </row>
        <row r="58">
          <cell r="B58" t="str">
            <v>LPD Package-New</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t="str">
            <v>Baseline saturation in measure workbook.  Multiple measures</v>
          </cell>
        </row>
        <row r="59">
          <cell r="B59" t="str">
            <v>LPD Package-NR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t="str">
            <v>Baseline saturation in measure workbook.  Multiple measures</v>
          </cell>
        </row>
        <row r="60">
          <cell r="B60" t="str">
            <v>LPD Package-Retro</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t="str">
            <v>Baseline saturation in measure workbook.  Multiple measures</v>
          </cell>
        </row>
        <row r="61">
          <cell r="B61" t="str">
            <v>Top Daylighting-New</v>
          </cell>
          <cell r="C61">
            <v>0</v>
          </cell>
          <cell r="D61">
            <v>0.02</v>
          </cell>
          <cell r="E61">
            <v>0.03</v>
          </cell>
          <cell r="F61">
            <v>0.3</v>
          </cell>
          <cell r="G61">
            <v>0.1</v>
          </cell>
          <cell r="H61">
            <v>0</v>
          </cell>
          <cell r="I61">
            <v>0</v>
          </cell>
          <cell r="J61">
            <v>0.2</v>
          </cell>
          <cell r="K61">
            <v>0.1</v>
          </cell>
          <cell r="L61">
            <v>0.1</v>
          </cell>
          <cell r="M61">
            <v>0.1</v>
          </cell>
          <cell r="N61">
            <v>0</v>
          </cell>
          <cell r="O61">
            <v>0</v>
          </cell>
          <cell r="P61">
            <v>0</v>
          </cell>
          <cell r="Q61">
            <v>0</v>
          </cell>
          <cell r="R61">
            <v>0.02</v>
          </cell>
          <cell r="S61">
            <v>0</v>
          </cell>
          <cell r="T61">
            <v>0.02</v>
          </cell>
          <cell r="U61">
            <v>0</v>
          </cell>
        </row>
        <row r="62">
          <cell r="B62" t="str">
            <v>Perimeter Daylighting Controls Advanced-New</v>
          </cell>
          <cell r="C62">
            <v>0.2</v>
          </cell>
          <cell r="D62">
            <v>0.2</v>
          </cell>
          <cell r="E62">
            <v>0.1</v>
          </cell>
          <cell r="F62">
            <v>0</v>
          </cell>
          <cell r="G62">
            <v>0</v>
          </cell>
          <cell r="H62">
            <v>0</v>
          </cell>
          <cell r="I62">
            <v>0</v>
          </cell>
          <cell r="J62">
            <v>0.7</v>
          </cell>
          <cell r="K62">
            <v>0.2</v>
          </cell>
          <cell r="L62">
            <v>0</v>
          </cell>
          <cell r="M62">
            <v>0</v>
          </cell>
          <cell r="N62">
            <v>0</v>
          </cell>
          <cell r="O62">
            <v>0</v>
          </cell>
          <cell r="P62">
            <v>0</v>
          </cell>
          <cell r="Q62">
            <v>0</v>
          </cell>
          <cell r="R62">
            <v>0.05</v>
          </cell>
          <cell r="S62">
            <v>0.05</v>
          </cell>
          <cell r="T62">
            <v>0.05</v>
          </cell>
          <cell r="U62">
            <v>0</v>
          </cell>
        </row>
        <row r="63">
          <cell r="B63" t="str">
            <v>Perimeter Daylighting Controls Advanced-NR</v>
          </cell>
          <cell r="C63">
            <v>0.1</v>
          </cell>
          <cell r="D63">
            <v>0.1</v>
          </cell>
          <cell r="E63">
            <v>0.05</v>
          </cell>
          <cell r="F63">
            <v>0</v>
          </cell>
          <cell r="G63">
            <v>0</v>
          </cell>
          <cell r="H63">
            <v>0</v>
          </cell>
          <cell r="I63">
            <v>0</v>
          </cell>
          <cell r="J63">
            <v>0.3</v>
          </cell>
          <cell r="K63">
            <v>0.2</v>
          </cell>
          <cell r="L63">
            <v>0</v>
          </cell>
          <cell r="M63">
            <v>0</v>
          </cell>
          <cell r="N63">
            <v>0</v>
          </cell>
          <cell r="O63">
            <v>0</v>
          </cell>
          <cell r="P63">
            <v>0</v>
          </cell>
          <cell r="Q63">
            <v>0</v>
          </cell>
          <cell r="R63">
            <v>0.05</v>
          </cell>
          <cell r="S63">
            <v>0.05</v>
          </cell>
          <cell r="T63">
            <v>0.05</v>
          </cell>
          <cell r="U63">
            <v>0</v>
          </cell>
        </row>
        <row r="64">
          <cell r="B64" t="str">
            <v>Lighting Controls Interior-New</v>
          </cell>
          <cell r="C64">
            <v>0.1</v>
          </cell>
          <cell r="D64">
            <v>0.05</v>
          </cell>
          <cell r="E64">
            <v>0.03</v>
          </cell>
          <cell r="F64">
            <v>0.7</v>
          </cell>
          <cell r="G64">
            <v>0.5</v>
          </cell>
          <cell r="H64">
            <v>0.3</v>
          </cell>
          <cell r="I64">
            <v>0.5</v>
          </cell>
          <cell r="J64">
            <v>0.2</v>
          </cell>
          <cell r="K64">
            <v>0.2</v>
          </cell>
          <cell r="L64">
            <v>0.2</v>
          </cell>
          <cell r="M64">
            <v>0.7</v>
          </cell>
          <cell r="N64">
            <v>0.5</v>
          </cell>
          <cell r="O64">
            <v>0.05</v>
          </cell>
          <cell r="P64">
            <v>0.05</v>
          </cell>
          <cell r="Q64">
            <v>0.2</v>
          </cell>
          <cell r="R64">
            <v>0.2</v>
          </cell>
          <cell r="S64">
            <v>0.1</v>
          </cell>
          <cell r="T64">
            <v>0.1</v>
          </cell>
          <cell r="U64">
            <v>0</v>
          </cell>
        </row>
        <row r="65">
          <cell r="B65" t="str">
            <v>Lighting Controls Interior-NR</v>
          </cell>
          <cell r="C65">
            <v>0.1</v>
          </cell>
          <cell r="D65">
            <v>0.05</v>
          </cell>
          <cell r="E65">
            <v>0.03</v>
          </cell>
          <cell r="F65">
            <v>0.5</v>
          </cell>
          <cell r="G65">
            <v>0.3</v>
          </cell>
          <cell r="H65">
            <v>0.2</v>
          </cell>
          <cell r="I65">
            <v>0.3</v>
          </cell>
          <cell r="J65">
            <v>0.2</v>
          </cell>
          <cell r="K65">
            <v>0.2</v>
          </cell>
          <cell r="L65">
            <v>0.1</v>
          </cell>
          <cell r="M65">
            <v>0.5</v>
          </cell>
          <cell r="N65">
            <v>0.3</v>
          </cell>
          <cell r="O65">
            <v>0.05</v>
          </cell>
          <cell r="P65">
            <v>0.05</v>
          </cell>
          <cell r="Q65">
            <v>0.1</v>
          </cell>
          <cell r="R65">
            <v>0.1</v>
          </cell>
          <cell r="S65">
            <v>0.1</v>
          </cell>
          <cell r="T65">
            <v>0.1</v>
          </cell>
          <cell r="U65">
            <v>0</v>
          </cell>
        </row>
        <row r="66">
          <cell r="B66" t="str">
            <v>Exterior Building Lighting-New</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V66" t="str">
            <v>Baseline saturation in measure workbook.  Source (DOE 2014)</v>
          </cell>
        </row>
        <row r="67">
          <cell r="B67" t="str">
            <v>Exterior Building Lighting-NR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t="str">
            <v>Baseline saturation in measure workbook.  Source (DOE 2014)</v>
          </cell>
        </row>
        <row r="68">
          <cell r="B68" t="str">
            <v>Street and Roadway Lighting-New</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0.5</v>
          </cell>
        </row>
        <row r="69">
          <cell r="B69" t="str">
            <v>Street and Roadway Lighting-NR</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t="str">
            <v>Baseline saturation in measure workbook</v>
          </cell>
        </row>
        <row r="70">
          <cell r="B70" t="str">
            <v>Parking Lighting-New</v>
          </cell>
          <cell r="C70">
            <v>0.2</v>
          </cell>
          <cell r="D70">
            <v>0.2</v>
          </cell>
          <cell r="E70">
            <v>0.2</v>
          </cell>
          <cell r="F70">
            <v>0.2</v>
          </cell>
          <cell r="G70">
            <v>0.2</v>
          </cell>
          <cell r="H70">
            <v>0.2</v>
          </cell>
          <cell r="I70">
            <v>0.2</v>
          </cell>
          <cell r="J70">
            <v>0.2</v>
          </cell>
          <cell r="K70">
            <v>0.2</v>
          </cell>
          <cell r="L70">
            <v>0.2</v>
          </cell>
          <cell r="M70">
            <v>0.2</v>
          </cell>
          <cell r="N70">
            <v>0.2</v>
          </cell>
          <cell r="O70">
            <v>0.2</v>
          </cell>
          <cell r="P70">
            <v>0.2</v>
          </cell>
          <cell r="Q70">
            <v>0.2</v>
          </cell>
          <cell r="R70">
            <v>0.2</v>
          </cell>
          <cell r="S70">
            <v>0.2</v>
          </cell>
          <cell r="T70">
            <v>0.2</v>
          </cell>
        </row>
        <row r="71">
          <cell r="B71" t="str">
            <v>Parking Lighting-NR</v>
          </cell>
          <cell r="C71">
            <v>0.01</v>
          </cell>
          <cell r="D71">
            <v>0.01</v>
          </cell>
          <cell r="E71">
            <v>0.01</v>
          </cell>
          <cell r="F71">
            <v>0.01</v>
          </cell>
          <cell r="G71">
            <v>0.01</v>
          </cell>
          <cell r="H71">
            <v>0.01</v>
          </cell>
          <cell r="I71">
            <v>0.01</v>
          </cell>
          <cell r="J71">
            <v>0.01</v>
          </cell>
          <cell r="K71">
            <v>0.01</v>
          </cell>
          <cell r="L71">
            <v>0.01</v>
          </cell>
          <cell r="M71">
            <v>0.01</v>
          </cell>
          <cell r="N71">
            <v>0.01</v>
          </cell>
          <cell r="O71">
            <v>0.01</v>
          </cell>
          <cell r="P71">
            <v>0.01</v>
          </cell>
          <cell r="Q71">
            <v>0.01</v>
          </cell>
          <cell r="R71">
            <v>0.01</v>
          </cell>
          <cell r="S71">
            <v>0.01</v>
          </cell>
          <cell r="T71">
            <v>0.01</v>
          </cell>
          <cell r="U71">
            <v>0.01</v>
          </cell>
        </row>
        <row r="72">
          <cell r="B72" t="str">
            <v>Luminaire Level Lighting Controls-Retro</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t="str">
            <v/>
          </cell>
        </row>
        <row r="73">
          <cell r="B73" t="str">
            <v>ECM-VAV-New</v>
          </cell>
          <cell r="C73">
            <v>0.4</v>
          </cell>
          <cell r="D73">
            <v>0.3</v>
          </cell>
          <cell r="E73">
            <v>0.1</v>
          </cell>
          <cell r="F73">
            <v>0.1</v>
          </cell>
          <cell r="G73">
            <v>0.1</v>
          </cell>
          <cell r="H73">
            <v>0.1</v>
          </cell>
          <cell r="I73">
            <v>0.4</v>
          </cell>
          <cell r="J73">
            <v>0.1</v>
          </cell>
          <cell r="K73">
            <v>0.4</v>
          </cell>
          <cell r="L73">
            <v>0.1</v>
          </cell>
          <cell r="M73">
            <v>0.1</v>
          </cell>
          <cell r="N73">
            <v>0.1</v>
          </cell>
          <cell r="O73">
            <v>0.1</v>
          </cell>
          <cell r="P73">
            <v>0.1</v>
          </cell>
          <cell r="Q73">
            <v>0.4</v>
          </cell>
          <cell r="R73">
            <v>0.1</v>
          </cell>
          <cell r="S73">
            <v>0.1</v>
          </cell>
          <cell r="T73">
            <v>0.4</v>
          </cell>
          <cell r="U73">
            <v>0</v>
          </cell>
        </row>
        <row r="74">
          <cell r="B74" t="str">
            <v>ECM-VAV-NR</v>
          </cell>
          <cell r="C74">
            <v>0.2</v>
          </cell>
          <cell r="D74">
            <v>0.2</v>
          </cell>
          <cell r="E74">
            <v>0.1</v>
          </cell>
          <cell r="F74">
            <v>0.1</v>
          </cell>
          <cell r="G74">
            <v>0.1</v>
          </cell>
          <cell r="H74">
            <v>0.1</v>
          </cell>
          <cell r="I74">
            <v>0.2</v>
          </cell>
          <cell r="J74">
            <v>0.1</v>
          </cell>
          <cell r="K74">
            <v>0.2</v>
          </cell>
          <cell r="L74">
            <v>0.1</v>
          </cell>
          <cell r="M74">
            <v>0.1</v>
          </cell>
          <cell r="N74">
            <v>0.1</v>
          </cell>
          <cell r="O74">
            <v>0.1</v>
          </cell>
          <cell r="P74">
            <v>0.1</v>
          </cell>
          <cell r="Q74">
            <v>0.2</v>
          </cell>
          <cell r="R74">
            <v>0.1</v>
          </cell>
          <cell r="S74">
            <v>0.1</v>
          </cell>
          <cell r="T74">
            <v>0.2</v>
          </cell>
          <cell r="U74">
            <v>0</v>
          </cell>
        </row>
        <row r="75">
          <cell r="B75" t="str">
            <v>Pool pumps-Retro</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t="str">
            <v/>
          </cell>
        </row>
        <row r="76">
          <cell r="B76" t="str">
            <v>MotorsRewind-New</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t="str">
            <v/>
          </cell>
        </row>
        <row r="77">
          <cell r="B77" t="str">
            <v>MotorsRewind-NR</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t="str">
            <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t="str">
            <v>Baseline saturation in measure workbook</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t="str">
            <v>Baseline saturation in measure workbook</v>
          </cell>
        </row>
        <row r="80">
          <cell r="B80" t="str">
            <v>Engine Generator Block Heaters-Retro</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t="str">
            <v/>
          </cell>
        </row>
        <row r="81">
          <cell r="B81" t="str">
            <v>Grocery Refrigeration Bundle-Retro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row>
        <row r="82">
          <cell r="B82" t="str">
            <v>Packaged Refrigeration Equipment-New</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0.05</v>
          </cell>
        </row>
        <row r="83">
          <cell r="B83" t="str">
            <v>Appliances - Freezers-NR</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t="str">
            <v/>
          </cell>
        </row>
        <row r="84">
          <cell r="B84" t="str">
            <v>Appliances - Refrigerators-NR</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t="str">
            <v/>
          </cell>
        </row>
        <row r="85">
          <cell r="B85" t="str">
            <v>Water Cooler Controls-Retro</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t="str">
            <v/>
          </cell>
        </row>
        <row r="86">
          <cell r="B86" t="str">
            <v>WHTanks-New</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0.1</v>
          </cell>
        </row>
        <row r="87">
          <cell r="B87" t="str">
            <v>WHTanks-NR</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t="str">
            <v/>
          </cell>
        </row>
        <row r="88">
          <cell r="B88" t="str">
            <v>Appliances - Clothes Washers-NR</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t="str">
            <v/>
          </cell>
        </row>
        <row r="89">
          <cell r="B89" t="str">
            <v>Showerheads-Retro</v>
          </cell>
          <cell r="C89">
            <v>0.2</v>
          </cell>
          <cell r="D89">
            <v>0.2</v>
          </cell>
          <cell r="E89">
            <v>0.2</v>
          </cell>
          <cell r="F89">
            <v>0.2</v>
          </cell>
          <cell r="G89">
            <v>0.2</v>
          </cell>
          <cell r="H89">
            <v>0.2</v>
          </cell>
          <cell r="I89">
            <v>0.2</v>
          </cell>
          <cell r="J89">
            <v>0.2</v>
          </cell>
          <cell r="K89">
            <v>0.2</v>
          </cell>
          <cell r="L89">
            <v>0.2</v>
          </cell>
          <cell r="M89">
            <v>0.2</v>
          </cell>
          <cell r="N89">
            <v>0.2</v>
          </cell>
          <cell r="O89">
            <v>0.2</v>
          </cell>
          <cell r="P89">
            <v>0.2</v>
          </cell>
          <cell r="Q89">
            <v>0.2</v>
          </cell>
          <cell r="R89">
            <v>0.2</v>
          </cell>
          <cell r="S89">
            <v>0.2</v>
          </cell>
          <cell r="T89">
            <v>0.2</v>
          </cell>
          <cell r="U89" t="str">
            <v/>
          </cell>
        </row>
        <row r="90">
          <cell r="B90" t="str">
            <v>Water Heating - GFHX-New</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t="str">
            <v/>
          </cell>
        </row>
        <row r="91">
          <cell r="B91" t="str">
            <v>Demand Control Circulating system DHW-Retro</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t="str">
            <v/>
          </cell>
        </row>
        <row r="92">
          <cell r="B92" t="str">
            <v>Central HPWH MF-Retro</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t="str">
            <v/>
          </cell>
        </row>
        <row r="93">
          <cell r="B93" t="str">
            <v>Ultra Low Energy Building-New</v>
          </cell>
          <cell r="C93">
            <v>0.08</v>
          </cell>
          <cell r="D93">
            <v>0.04</v>
          </cell>
          <cell r="E93">
            <v>0</v>
          </cell>
          <cell r="F93">
            <v>0.08</v>
          </cell>
          <cell r="G93">
            <v>0</v>
          </cell>
          <cell r="H93">
            <v>0</v>
          </cell>
          <cell r="I93">
            <v>0.02</v>
          </cell>
          <cell r="J93">
            <v>0.3</v>
          </cell>
          <cell r="K93">
            <v>0.15</v>
          </cell>
          <cell r="L93">
            <v>0</v>
          </cell>
          <cell r="M93">
            <v>0</v>
          </cell>
          <cell r="N93">
            <v>0</v>
          </cell>
          <cell r="O93">
            <v>0</v>
          </cell>
          <cell r="P93">
            <v>0.02</v>
          </cell>
          <cell r="Q93">
            <v>0.1</v>
          </cell>
          <cell r="R93">
            <v>0.05</v>
          </cell>
          <cell r="S93">
            <v>0.02</v>
          </cell>
          <cell r="T93">
            <v>0.02</v>
          </cell>
          <cell r="U93">
            <v>0</v>
          </cell>
        </row>
        <row r="94">
          <cell r="B94" t="str">
            <v>HPLowPowerGSFL-NR</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V94" t="str">
            <v>In workbook. Uses market average mix of lpow watt from sales data</v>
          </cell>
        </row>
      </sheetData>
      <sheetData sheetId="5">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cell r="C12" t="str">
            <v>_PRE2013</v>
          </cell>
          <cell r="D12" t="str">
            <v>_PRE2013</v>
          </cell>
          <cell r="E12" t="str">
            <v>_PRE2013</v>
          </cell>
          <cell r="F12" t="str">
            <v>_PRE2013</v>
          </cell>
          <cell r="G12" t="str">
            <v>_PRE2013</v>
          </cell>
          <cell r="H12" t="str">
            <v>_PRE2013</v>
          </cell>
          <cell r="I12" t="str">
            <v>_PRE2013</v>
          </cell>
          <cell r="J12" t="str">
            <v>_PRE2013</v>
          </cell>
          <cell r="K12" t="str">
            <v>_PRE2013</v>
          </cell>
          <cell r="L12" t="str">
            <v>_PRE2013</v>
          </cell>
          <cell r="M12" t="str">
            <v>_PRE2013</v>
          </cell>
          <cell r="N12" t="str">
            <v>_PRE2013</v>
          </cell>
          <cell r="O12" t="str">
            <v>_PRE2013</v>
          </cell>
          <cell r="P12" t="str">
            <v>_PRE2013</v>
          </cell>
          <cell r="Q12" t="str">
            <v>_PRE2013</v>
          </cell>
          <cell r="R12" t="str">
            <v>_PRE2013</v>
          </cell>
          <cell r="S12" t="str">
            <v>_PRE2013</v>
          </cell>
          <cell r="T12" t="str">
            <v>_PRE2013</v>
          </cell>
          <cell r="W12" t="str">
            <v>_PRE2013</v>
          </cell>
          <cell r="X12" t="str">
            <v>Retro</v>
          </cell>
        </row>
        <row r="13">
          <cell r="B13" t="str">
            <v>Compressed Air-NR</v>
          </cell>
          <cell r="C13" t="str">
            <v>_PRE2013</v>
          </cell>
          <cell r="D13" t="str">
            <v>_PRE2013</v>
          </cell>
          <cell r="E13" t="str">
            <v>_PRE2013</v>
          </cell>
          <cell r="F13" t="str">
            <v>_PRE2013</v>
          </cell>
          <cell r="G13" t="str">
            <v>_PRE2013</v>
          </cell>
          <cell r="H13" t="str">
            <v>_PRE2013</v>
          </cell>
          <cell r="I13" t="str">
            <v>_PRE2013</v>
          </cell>
          <cell r="J13" t="str">
            <v>_PRE2013</v>
          </cell>
          <cell r="K13" t="str">
            <v>_PRE2013</v>
          </cell>
          <cell r="L13" t="str">
            <v>_PRE2013</v>
          </cell>
          <cell r="M13" t="str">
            <v>_PRE2013</v>
          </cell>
          <cell r="N13" t="str">
            <v>_PRE2013</v>
          </cell>
          <cell r="O13" t="str">
            <v>_PRE2013</v>
          </cell>
          <cell r="P13" t="str">
            <v>_PRE2013</v>
          </cell>
          <cell r="Q13" t="str">
            <v>_PRE2013</v>
          </cell>
          <cell r="R13" t="str">
            <v>_PRE2013</v>
          </cell>
          <cell r="S13" t="str">
            <v>_PRE2013</v>
          </cell>
          <cell r="T13" t="str">
            <v>_PRE2013</v>
          </cell>
          <cell r="W13" t="str">
            <v>_PRE2013</v>
          </cell>
          <cell r="X13" t="str">
            <v>NR</v>
          </cell>
        </row>
        <row r="14">
          <cell r="B14" t="str">
            <v>Network PC Power Management-Retro</v>
          </cell>
          <cell r="C14" t="str">
            <v>_PRE2013</v>
          </cell>
          <cell r="D14" t="str">
            <v>_PRE2013</v>
          </cell>
          <cell r="E14" t="str">
            <v>_PRE2013</v>
          </cell>
          <cell r="F14" t="str">
            <v>_PRE2013</v>
          </cell>
          <cell r="G14" t="str">
            <v>_PRE2013</v>
          </cell>
          <cell r="H14" t="str">
            <v>_PRE2013</v>
          </cell>
          <cell r="I14" t="str">
            <v>_PRE2013</v>
          </cell>
          <cell r="J14" t="str">
            <v>_PRE2013</v>
          </cell>
          <cell r="K14" t="str">
            <v>_PRE2013</v>
          </cell>
          <cell r="L14" t="str">
            <v>_PRE2013</v>
          </cell>
          <cell r="M14" t="str">
            <v>_PRE2013</v>
          </cell>
          <cell r="N14" t="str">
            <v>_PRE2013</v>
          </cell>
          <cell r="O14" t="str">
            <v>_PRE2013</v>
          </cell>
          <cell r="P14" t="str">
            <v>_PRE2013</v>
          </cell>
          <cell r="Q14" t="str">
            <v>_PRE2013</v>
          </cell>
          <cell r="R14" t="str">
            <v>_PRE2013</v>
          </cell>
          <cell r="S14" t="str">
            <v>_PRE2013</v>
          </cell>
          <cell r="T14" t="str">
            <v>_PRE2013</v>
          </cell>
          <cell r="W14" t="str">
            <v>_PRE2013</v>
          </cell>
          <cell r="X14" t="str">
            <v>Retro</v>
          </cell>
        </row>
        <row r="15">
          <cell r="B15" t="str">
            <v>Computer Servers and IT-Retro</v>
          </cell>
          <cell r="C15" t="str">
            <v>_PRE2013</v>
          </cell>
          <cell r="D15" t="str">
            <v>_PRE2013</v>
          </cell>
          <cell r="E15" t="str">
            <v>_PRE2013</v>
          </cell>
          <cell r="F15" t="str">
            <v>_PRE2013</v>
          </cell>
          <cell r="G15" t="str">
            <v>_PRE2013</v>
          </cell>
          <cell r="H15" t="str">
            <v>_PRE2013</v>
          </cell>
          <cell r="I15" t="str">
            <v>_PRE2013</v>
          </cell>
          <cell r="J15" t="str">
            <v>_PRE2013</v>
          </cell>
          <cell r="K15" t="str">
            <v>_PRE2013</v>
          </cell>
          <cell r="L15" t="str">
            <v>_PRE2013</v>
          </cell>
          <cell r="M15" t="str">
            <v>_PRE2013</v>
          </cell>
          <cell r="N15" t="str">
            <v>_PRE2013</v>
          </cell>
          <cell r="O15" t="str">
            <v>_PRE2013</v>
          </cell>
          <cell r="P15" t="str">
            <v>_PRE2013</v>
          </cell>
          <cell r="Q15" t="str">
            <v>_PRE2013</v>
          </cell>
          <cell r="R15" t="str">
            <v>_PRE2013</v>
          </cell>
          <cell r="S15" t="str">
            <v>_PRE2013</v>
          </cell>
          <cell r="T15" t="str">
            <v>_PRE2013</v>
          </cell>
          <cell r="W15" t="str">
            <v>_PRE2013</v>
          </cell>
          <cell r="X15" t="str">
            <v>Retro</v>
          </cell>
        </row>
        <row r="16">
          <cell r="B16" t="str">
            <v>Smart Plug Power Strips-Retro</v>
          </cell>
          <cell r="C16" t="str">
            <v>_PRE2013</v>
          </cell>
          <cell r="D16" t="str">
            <v>_PRE2013</v>
          </cell>
          <cell r="E16" t="str">
            <v>_PRE2013</v>
          </cell>
          <cell r="F16" t="str">
            <v>_PRE2013</v>
          </cell>
          <cell r="G16" t="str">
            <v>_PRE2013</v>
          </cell>
          <cell r="H16" t="str">
            <v>_PRE2013</v>
          </cell>
          <cell r="I16" t="str">
            <v>_PRE2013</v>
          </cell>
          <cell r="J16" t="str">
            <v>_PRE2013</v>
          </cell>
          <cell r="K16" t="str">
            <v>_PRE2013</v>
          </cell>
          <cell r="L16" t="str">
            <v>_PRE2013</v>
          </cell>
          <cell r="M16" t="str">
            <v>_PRE2013</v>
          </cell>
          <cell r="N16" t="str">
            <v>_PRE2013</v>
          </cell>
          <cell r="O16" t="str">
            <v>_PRE2013</v>
          </cell>
          <cell r="P16" t="str">
            <v>_PRE2013</v>
          </cell>
          <cell r="Q16" t="str">
            <v>_PRE2013</v>
          </cell>
          <cell r="R16" t="str">
            <v>_PRE2013</v>
          </cell>
          <cell r="S16" t="str">
            <v>_PRE2013</v>
          </cell>
          <cell r="T16" t="str">
            <v>_PRE2013</v>
          </cell>
          <cell r="W16" t="str">
            <v>_PRE2013</v>
          </cell>
          <cell r="X16" t="str">
            <v>Retro</v>
          </cell>
        </row>
        <row r="17">
          <cell r="B17" t="str">
            <v>Data Centers-NR</v>
          </cell>
          <cell r="C17" t="str">
            <v>_PRE2013</v>
          </cell>
          <cell r="D17" t="str">
            <v>_PRE2013</v>
          </cell>
          <cell r="E17" t="str">
            <v>_PRE2013</v>
          </cell>
          <cell r="F17" t="str">
            <v>_PRE2013</v>
          </cell>
          <cell r="G17" t="str">
            <v>_PRE2013</v>
          </cell>
          <cell r="H17" t="str">
            <v>_PRE2013</v>
          </cell>
          <cell r="I17" t="str">
            <v>_PRE2013</v>
          </cell>
          <cell r="J17" t="str">
            <v>_PRE2013</v>
          </cell>
          <cell r="K17" t="str">
            <v>_PRE2013</v>
          </cell>
          <cell r="L17" t="str">
            <v>_PRE2013</v>
          </cell>
          <cell r="M17" t="str">
            <v>_PRE2013</v>
          </cell>
          <cell r="N17" t="str">
            <v>_PRE2013</v>
          </cell>
          <cell r="O17" t="str">
            <v>_PRE2013</v>
          </cell>
          <cell r="P17" t="str">
            <v>_PRE2013</v>
          </cell>
          <cell r="Q17" t="str">
            <v>_PRE2013</v>
          </cell>
          <cell r="R17" t="str">
            <v>_PRE2013</v>
          </cell>
          <cell r="S17" t="str">
            <v>_PRE2013</v>
          </cell>
          <cell r="T17" t="str">
            <v>_PRE2013</v>
          </cell>
          <cell r="W17" t="str">
            <v>_PRE2013</v>
          </cell>
          <cell r="X17" t="str">
            <v>NR</v>
          </cell>
        </row>
        <row r="18">
          <cell r="B18" t="str">
            <v>Commercial Computer Monitor-NR</v>
          </cell>
          <cell r="C18" t="str">
            <v>_PRE2013</v>
          </cell>
          <cell r="D18" t="str">
            <v>_PRE2013</v>
          </cell>
          <cell r="E18" t="str">
            <v>_PRE2013</v>
          </cell>
          <cell r="F18" t="str">
            <v>_PRE2013</v>
          </cell>
          <cell r="G18" t="str">
            <v>_PRE2013</v>
          </cell>
          <cell r="H18" t="str">
            <v>_PRE2013</v>
          </cell>
          <cell r="I18" t="str">
            <v>_PRE2013</v>
          </cell>
          <cell r="J18" t="str">
            <v>_PRE2013</v>
          </cell>
          <cell r="K18" t="str">
            <v>_PRE2013</v>
          </cell>
          <cell r="L18" t="str">
            <v>_PRE2013</v>
          </cell>
          <cell r="M18" t="str">
            <v>_PRE2013</v>
          </cell>
          <cell r="N18" t="str">
            <v>_PRE2013</v>
          </cell>
          <cell r="O18" t="str">
            <v>_PRE2013</v>
          </cell>
          <cell r="P18" t="str">
            <v>_PRE2013</v>
          </cell>
          <cell r="Q18" t="str">
            <v>_PRE2013</v>
          </cell>
          <cell r="R18" t="str">
            <v>_PRE2013</v>
          </cell>
          <cell r="S18" t="str">
            <v>_PRE2013</v>
          </cell>
          <cell r="T18" t="str">
            <v>_PRE2013</v>
          </cell>
          <cell r="W18" t="str">
            <v>_PRE2013</v>
          </cell>
          <cell r="X18" t="str">
            <v>NR</v>
          </cell>
        </row>
        <row r="19">
          <cell r="B19" t="str">
            <v>Commercial Computer Desktop-NR</v>
          </cell>
          <cell r="C19" t="str">
            <v>_PRE2013</v>
          </cell>
          <cell r="D19" t="str">
            <v>_PRE2013</v>
          </cell>
          <cell r="E19" t="str">
            <v>_PRE2013</v>
          </cell>
          <cell r="F19" t="str">
            <v>_PRE2013</v>
          </cell>
          <cell r="G19" t="str">
            <v>_PRE2013</v>
          </cell>
          <cell r="H19" t="str">
            <v>_PRE2013</v>
          </cell>
          <cell r="I19" t="str">
            <v>_PRE2013</v>
          </cell>
          <cell r="J19" t="str">
            <v>_PRE2013</v>
          </cell>
          <cell r="K19" t="str">
            <v>_PRE2013</v>
          </cell>
          <cell r="L19" t="str">
            <v>_PRE2013</v>
          </cell>
          <cell r="M19" t="str">
            <v>_PRE2013</v>
          </cell>
          <cell r="N19" t="str">
            <v>_PRE2013</v>
          </cell>
          <cell r="O19" t="str">
            <v>_PRE2013</v>
          </cell>
          <cell r="P19" t="str">
            <v>_PRE2013</v>
          </cell>
          <cell r="Q19" t="str">
            <v>_PRE2013</v>
          </cell>
          <cell r="R19" t="str">
            <v>_PRE2013</v>
          </cell>
          <cell r="S19" t="str">
            <v>_PRE2013</v>
          </cell>
          <cell r="T19" t="str">
            <v>_PRE2013</v>
          </cell>
          <cell r="W19" t="str">
            <v>_PRE2013</v>
          </cell>
          <cell r="X19" t="str">
            <v>NR</v>
          </cell>
          <cell r="Y19" t="str">
            <v>POST2013</v>
          </cell>
        </row>
        <row r="20">
          <cell r="B20" t="str">
            <v>Pre-Rinse Spray Valve-Retro</v>
          </cell>
          <cell r="C20" t="str">
            <v>_PRE2013</v>
          </cell>
          <cell r="D20" t="str">
            <v>_PRE2013</v>
          </cell>
          <cell r="E20" t="str">
            <v>_PRE2013</v>
          </cell>
          <cell r="F20" t="str">
            <v>_PRE2013</v>
          </cell>
          <cell r="G20" t="str">
            <v>_PRE2013</v>
          </cell>
          <cell r="H20" t="str">
            <v>_PRE2013</v>
          </cell>
          <cell r="I20" t="str">
            <v>_PRE2013</v>
          </cell>
          <cell r="J20" t="str">
            <v>_PRE2013</v>
          </cell>
          <cell r="K20" t="str">
            <v>_PRE2013</v>
          </cell>
          <cell r="L20" t="str">
            <v>_PRE2013</v>
          </cell>
          <cell r="M20" t="str">
            <v>_PRE2013</v>
          </cell>
          <cell r="N20" t="str">
            <v>_PRE2013</v>
          </cell>
          <cell r="O20" t="str">
            <v>_PRE2013</v>
          </cell>
          <cell r="P20" t="str">
            <v>_PRE2013</v>
          </cell>
          <cell r="Q20" t="str">
            <v>_PRE2013</v>
          </cell>
          <cell r="R20" t="str">
            <v>_PRE2013</v>
          </cell>
          <cell r="S20" t="str">
            <v>_PRE2013</v>
          </cell>
          <cell r="T20" t="str">
            <v>_PRE2013</v>
          </cell>
          <cell r="W20" t="str">
            <v>_PRE2013</v>
          </cell>
          <cell r="X20" t="str">
            <v>Retro</v>
          </cell>
          <cell r="Y20" t="str">
            <v>_PRE2013</v>
          </cell>
        </row>
        <row r="21">
          <cell r="B21" t="str">
            <v>Cooking Equipment-NR</v>
          </cell>
          <cell r="C21" t="str">
            <v>POST2013</v>
          </cell>
          <cell r="D21" t="str">
            <v>POST2013</v>
          </cell>
          <cell r="E21" t="str">
            <v>POST2013</v>
          </cell>
          <cell r="F21" t="str">
            <v>POST2013</v>
          </cell>
          <cell r="G21" t="str">
            <v>POST2013</v>
          </cell>
          <cell r="H21" t="str">
            <v>POST2013</v>
          </cell>
          <cell r="I21" t="str">
            <v>POST2013</v>
          </cell>
          <cell r="J21" t="str">
            <v>POST2013</v>
          </cell>
          <cell r="K21" t="str">
            <v>POST2013</v>
          </cell>
          <cell r="L21" t="str">
            <v>POST2013</v>
          </cell>
          <cell r="M21" t="str">
            <v>POST2013</v>
          </cell>
          <cell r="N21" t="str">
            <v>POST2013</v>
          </cell>
          <cell r="O21" t="str">
            <v>POST2013</v>
          </cell>
          <cell r="P21" t="str">
            <v>POST2013</v>
          </cell>
          <cell r="Q21" t="str">
            <v>POST2013</v>
          </cell>
          <cell r="R21" t="str">
            <v>POST2013</v>
          </cell>
          <cell r="S21" t="str">
            <v>POST2013</v>
          </cell>
          <cell r="T21" t="str">
            <v>POST2013</v>
          </cell>
          <cell r="W21" t="str">
            <v>POST2013</v>
          </cell>
          <cell r="X21" t="str">
            <v>NR</v>
          </cell>
          <cell r="Y21" t="str">
            <v>POST2013</v>
          </cell>
        </row>
        <row r="22">
          <cell r="B22" t="str">
            <v>Premium HVAC Equipment-New</v>
          </cell>
          <cell r="C22" t="str">
            <v>POST2013</v>
          </cell>
          <cell r="D22" t="str">
            <v>POST2013</v>
          </cell>
          <cell r="E22" t="str">
            <v>POST2013</v>
          </cell>
          <cell r="F22" t="str">
            <v>POST2013</v>
          </cell>
          <cell r="G22" t="str">
            <v>POST2013</v>
          </cell>
          <cell r="H22" t="str">
            <v>POST2013</v>
          </cell>
          <cell r="I22" t="str">
            <v>POST2013</v>
          </cell>
          <cell r="J22" t="str">
            <v>POST2013</v>
          </cell>
          <cell r="K22" t="str">
            <v>POST2013</v>
          </cell>
          <cell r="L22" t="str">
            <v>POST2013</v>
          </cell>
          <cell r="M22" t="str">
            <v>POST2013</v>
          </cell>
          <cell r="N22" t="str">
            <v>POST2013</v>
          </cell>
          <cell r="O22" t="str">
            <v>POST2013</v>
          </cell>
          <cell r="P22" t="str">
            <v>POST2013</v>
          </cell>
          <cell r="Q22" t="str">
            <v>POST2013</v>
          </cell>
          <cell r="R22" t="str">
            <v>POST2013</v>
          </cell>
          <cell r="S22" t="str">
            <v>POST2013</v>
          </cell>
          <cell r="T22" t="str">
            <v>POST2013</v>
          </cell>
          <cell r="W22" t="str">
            <v>POST2013</v>
          </cell>
          <cell r="X22" t="str">
            <v>New</v>
          </cell>
          <cell r="Y22" t="str">
            <v>POST2013</v>
          </cell>
        </row>
        <row r="23">
          <cell r="B23" t="str">
            <v>Premium HVAC Equipment-NR</v>
          </cell>
          <cell r="C23" t="str">
            <v>POST2013</v>
          </cell>
          <cell r="D23" t="str">
            <v>POST2013</v>
          </cell>
          <cell r="E23" t="str">
            <v>POST2013</v>
          </cell>
          <cell r="F23" t="str">
            <v>POST2013</v>
          </cell>
          <cell r="G23" t="str">
            <v>POST2013</v>
          </cell>
          <cell r="H23" t="str">
            <v>POST2013</v>
          </cell>
          <cell r="I23" t="str">
            <v>POST2013</v>
          </cell>
          <cell r="J23" t="str">
            <v>POST2013</v>
          </cell>
          <cell r="K23" t="str">
            <v>POST2013</v>
          </cell>
          <cell r="L23" t="str">
            <v>POST2013</v>
          </cell>
          <cell r="M23" t="str">
            <v>POST2013</v>
          </cell>
          <cell r="N23" t="str">
            <v>POST2013</v>
          </cell>
          <cell r="O23" t="str">
            <v>POST2013</v>
          </cell>
          <cell r="P23" t="str">
            <v>POST2013</v>
          </cell>
          <cell r="Q23" t="str">
            <v>POST2013</v>
          </cell>
          <cell r="R23" t="str">
            <v>POST2013</v>
          </cell>
          <cell r="S23" t="str">
            <v>POST2013</v>
          </cell>
          <cell r="T23" t="str">
            <v>POST2013</v>
          </cell>
          <cell r="W23" t="str">
            <v>POST2013</v>
          </cell>
          <cell r="X23" t="str">
            <v>NR</v>
          </cell>
          <cell r="Y23" t="str">
            <v>POST2013</v>
          </cell>
        </row>
        <row r="24">
          <cell r="B24" t="str">
            <v>Glass-New</v>
          </cell>
          <cell r="C24" t="str">
            <v>POST2013</v>
          </cell>
          <cell r="D24" t="str">
            <v>POST2013</v>
          </cell>
          <cell r="E24" t="str">
            <v>POST2013</v>
          </cell>
          <cell r="F24" t="str">
            <v>POST2013</v>
          </cell>
          <cell r="G24" t="str">
            <v>POST2013</v>
          </cell>
          <cell r="H24" t="str">
            <v>POST2013</v>
          </cell>
          <cell r="I24" t="str">
            <v>POST2013</v>
          </cell>
          <cell r="J24" t="str">
            <v>POST2013</v>
          </cell>
          <cell r="K24" t="str">
            <v>POST2013</v>
          </cell>
          <cell r="L24" t="str">
            <v>POST2013</v>
          </cell>
          <cell r="M24" t="str">
            <v>POST2013</v>
          </cell>
          <cell r="N24" t="str">
            <v>POST2013</v>
          </cell>
          <cell r="O24" t="str">
            <v>POST2013</v>
          </cell>
          <cell r="P24" t="str">
            <v>POST2013</v>
          </cell>
          <cell r="Q24" t="str">
            <v>POST2013</v>
          </cell>
          <cell r="R24" t="str">
            <v>POST2013</v>
          </cell>
          <cell r="S24" t="str">
            <v>POST2013</v>
          </cell>
          <cell r="T24" t="str">
            <v>POST2013</v>
          </cell>
          <cell r="W24" t="str">
            <v>POST2013</v>
          </cell>
          <cell r="X24" t="str">
            <v>New</v>
          </cell>
          <cell r="Y24" t="str">
            <v>POST2013</v>
          </cell>
        </row>
        <row r="25">
          <cell r="B25" t="str">
            <v>Glass-NR</v>
          </cell>
          <cell r="C25" t="str">
            <v>POST2013</v>
          </cell>
          <cell r="D25" t="str">
            <v>POST2013</v>
          </cell>
          <cell r="E25" t="str">
            <v>POST2013</v>
          </cell>
          <cell r="F25" t="str">
            <v>POST2013</v>
          </cell>
          <cell r="G25" t="str">
            <v>POST2013</v>
          </cell>
          <cell r="H25" t="str">
            <v>POST2013</v>
          </cell>
          <cell r="I25" t="str">
            <v>POST2013</v>
          </cell>
          <cell r="J25" t="str">
            <v>POST2013</v>
          </cell>
          <cell r="K25" t="str">
            <v>POST2013</v>
          </cell>
          <cell r="L25" t="str">
            <v>POST2013</v>
          </cell>
          <cell r="M25" t="str">
            <v>POST2013</v>
          </cell>
          <cell r="N25" t="str">
            <v>POST2013</v>
          </cell>
          <cell r="O25" t="str">
            <v>POST2013</v>
          </cell>
          <cell r="P25" t="str">
            <v>POST2013</v>
          </cell>
          <cell r="Q25" t="str">
            <v>POST2013</v>
          </cell>
          <cell r="R25" t="str">
            <v>POST2013</v>
          </cell>
          <cell r="S25" t="str">
            <v>POST2013</v>
          </cell>
          <cell r="T25" t="str">
            <v>POST2013</v>
          </cell>
          <cell r="W25" t="str">
            <v>POST2013</v>
          </cell>
          <cell r="X25" t="str">
            <v>NR</v>
          </cell>
          <cell r="Y25" t="str">
            <v>POST2013</v>
          </cell>
        </row>
        <row r="26">
          <cell r="B26" t="str">
            <v>Glass-Retro</v>
          </cell>
          <cell r="C26" t="str">
            <v>_PRE2013</v>
          </cell>
          <cell r="D26" t="str">
            <v>_PRE2013</v>
          </cell>
          <cell r="E26" t="str">
            <v>_PRE2013</v>
          </cell>
          <cell r="F26" t="str">
            <v>_PRE2013</v>
          </cell>
          <cell r="G26" t="str">
            <v>_PRE2013</v>
          </cell>
          <cell r="H26" t="str">
            <v>_PRE2013</v>
          </cell>
          <cell r="I26" t="str">
            <v>_PRE2013</v>
          </cell>
          <cell r="J26" t="str">
            <v>_PRE2013</v>
          </cell>
          <cell r="K26" t="str">
            <v>_PRE2013</v>
          </cell>
          <cell r="L26" t="str">
            <v>_PRE2013</v>
          </cell>
          <cell r="M26" t="str">
            <v>_PRE2013</v>
          </cell>
          <cell r="N26" t="str">
            <v>_PRE2013</v>
          </cell>
          <cell r="O26" t="str">
            <v>_PRE2013</v>
          </cell>
          <cell r="P26" t="str">
            <v>_PRE2013</v>
          </cell>
          <cell r="Q26" t="str">
            <v>_PRE2013</v>
          </cell>
          <cell r="R26" t="str">
            <v>_PRE2013</v>
          </cell>
          <cell r="S26" t="str">
            <v>_PRE2013</v>
          </cell>
          <cell r="T26" t="str">
            <v>_PRE2013</v>
          </cell>
          <cell r="W26" t="str">
            <v>_PRE2013</v>
          </cell>
          <cell r="X26" t="str">
            <v>Retro</v>
          </cell>
          <cell r="Y26" t="str">
            <v>_PRE2013</v>
          </cell>
        </row>
        <row r="27">
          <cell r="B27" t="str">
            <v>Advanced Rooftop Controller-New</v>
          </cell>
          <cell r="C27" t="str">
            <v>POST2013</v>
          </cell>
          <cell r="D27" t="str">
            <v>POST2013</v>
          </cell>
          <cell r="E27" t="str">
            <v>POST2013</v>
          </cell>
          <cell r="F27" t="str">
            <v>POST2013</v>
          </cell>
          <cell r="G27" t="str">
            <v>POST2013</v>
          </cell>
          <cell r="H27" t="str">
            <v>POST2013</v>
          </cell>
          <cell r="I27" t="str">
            <v>POST2013</v>
          </cell>
          <cell r="J27" t="str">
            <v>POST2013</v>
          </cell>
          <cell r="K27" t="str">
            <v>POST2013</v>
          </cell>
          <cell r="L27" t="str">
            <v>POST2013</v>
          </cell>
          <cell r="M27" t="str">
            <v>POST2013</v>
          </cell>
          <cell r="N27" t="str">
            <v>POST2013</v>
          </cell>
          <cell r="O27" t="str">
            <v>POST2013</v>
          </cell>
          <cell r="P27" t="str">
            <v>POST2013</v>
          </cell>
          <cell r="Q27" t="str">
            <v>POST2013</v>
          </cell>
          <cell r="R27" t="str">
            <v>POST2013</v>
          </cell>
          <cell r="S27" t="str">
            <v>POST2013</v>
          </cell>
          <cell r="T27" t="str">
            <v>POST2013</v>
          </cell>
          <cell r="W27" t="str">
            <v>POST2013</v>
          </cell>
          <cell r="X27" t="str">
            <v>New</v>
          </cell>
          <cell r="Y27" t="str">
            <v>POST2013</v>
          </cell>
        </row>
        <row r="28">
          <cell r="B28" t="str">
            <v>Advanced Rooftop Controller-NR</v>
          </cell>
          <cell r="C28" t="str">
            <v>POST2013</v>
          </cell>
          <cell r="D28" t="str">
            <v>POST2013</v>
          </cell>
          <cell r="E28" t="str">
            <v>POST2013</v>
          </cell>
          <cell r="F28" t="str">
            <v>POST2013</v>
          </cell>
          <cell r="G28" t="str">
            <v>POST2013</v>
          </cell>
          <cell r="H28" t="str">
            <v>POST2013</v>
          </cell>
          <cell r="I28" t="str">
            <v>POST2013</v>
          </cell>
          <cell r="J28" t="str">
            <v>POST2013</v>
          </cell>
          <cell r="K28" t="str">
            <v>POST2013</v>
          </cell>
          <cell r="L28" t="str">
            <v>POST2013</v>
          </cell>
          <cell r="M28" t="str">
            <v>POST2013</v>
          </cell>
          <cell r="N28" t="str">
            <v>POST2013</v>
          </cell>
          <cell r="O28" t="str">
            <v>POST2013</v>
          </cell>
          <cell r="P28" t="str">
            <v>POST2013</v>
          </cell>
          <cell r="Q28" t="str">
            <v>POST2013</v>
          </cell>
          <cell r="R28" t="str">
            <v>POST2013</v>
          </cell>
          <cell r="S28" t="str">
            <v>POST2013</v>
          </cell>
          <cell r="T28" t="str">
            <v>POST2013</v>
          </cell>
          <cell r="W28" t="str">
            <v>POST2013</v>
          </cell>
          <cell r="X28" t="str">
            <v>NR</v>
          </cell>
          <cell r="Y28" t="str">
            <v>POST2013</v>
          </cell>
        </row>
        <row r="29">
          <cell r="B29" t="str">
            <v>Advanced Rooftop Controller-Retro</v>
          </cell>
          <cell r="C29" t="str">
            <v>_PRE2013</v>
          </cell>
          <cell r="D29" t="str">
            <v>_PRE2013</v>
          </cell>
          <cell r="E29" t="str">
            <v>_PRE2013</v>
          </cell>
          <cell r="F29" t="str">
            <v>_PRE2013</v>
          </cell>
          <cell r="G29" t="str">
            <v>_PRE2013</v>
          </cell>
          <cell r="H29" t="str">
            <v>_PRE2013</v>
          </cell>
          <cell r="I29" t="str">
            <v>_PRE2013</v>
          </cell>
          <cell r="J29" t="str">
            <v>_PRE2013</v>
          </cell>
          <cell r="K29" t="str">
            <v>_PRE2013</v>
          </cell>
          <cell r="L29" t="str">
            <v>_PRE2013</v>
          </cell>
          <cell r="M29" t="str">
            <v>_PRE2013</v>
          </cell>
          <cell r="N29" t="str">
            <v>_PRE2013</v>
          </cell>
          <cell r="O29" t="str">
            <v>_PRE2013</v>
          </cell>
          <cell r="P29" t="str">
            <v>_PRE2013</v>
          </cell>
          <cell r="Q29" t="str">
            <v>_PRE2013</v>
          </cell>
          <cell r="R29" t="str">
            <v>_PRE2013</v>
          </cell>
          <cell r="S29" t="str">
            <v>_PRE2013</v>
          </cell>
          <cell r="T29" t="str">
            <v>_PRE2013</v>
          </cell>
          <cell r="W29" t="str">
            <v>_PRE2013</v>
          </cell>
          <cell r="X29" t="str">
            <v>Retro</v>
          </cell>
          <cell r="Y29" t="str">
            <v>_PRE2013</v>
          </cell>
        </row>
        <row r="30">
          <cell r="B30" t="str">
            <v>Variable Speed Chiller-New</v>
          </cell>
          <cell r="C30" t="str">
            <v>POST2013</v>
          </cell>
          <cell r="D30" t="str">
            <v>POST2013</v>
          </cell>
          <cell r="E30" t="str">
            <v>POST2013</v>
          </cell>
          <cell r="F30" t="str">
            <v>POST2013</v>
          </cell>
          <cell r="G30" t="str">
            <v>POST2013</v>
          </cell>
          <cell r="H30" t="str">
            <v>POST2013</v>
          </cell>
          <cell r="I30" t="str">
            <v>POST2013</v>
          </cell>
          <cell r="J30" t="str">
            <v>POST2013</v>
          </cell>
          <cell r="K30" t="str">
            <v>POST2013</v>
          </cell>
          <cell r="L30" t="str">
            <v>POST2013</v>
          </cell>
          <cell r="M30" t="str">
            <v>POST2013</v>
          </cell>
          <cell r="N30" t="str">
            <v>POST2013</v>
          </cell>
          <cell r="O30" t="str">
            <v>POST2013</v>
          </cell>
          <cell r="P30" t="str">
            <v>POST2013</v>
          </cell>
          <cell r="Q30" t="str">
            <v>POST2013</v>
          </cell>
          <cell r="R30" t="str">
            <v>POST2013</v>
          </cell>
          <cell r="S30" t="str">
            <v>POST2013</v>
          </cell>
          <cell r="T30" t="str">
            <v>POST2013</v>
          </cell>
          <cell r="W30" t="str">
            <v>POST2013</v>
          </cell>
          <cell r="X30" t="str">
            <v>New</v>
          </cell>
          <cell r="Y30" t="str">
            <v>POST2013</v>
          </cell>
        </row>
        <row r="31">
          <cell r="B31" t="str">
            <v>Variable Speed Chiller-NR</v>
          </cell>
          <cell r="C31" t="str">
            <v>POST2013</v>
          </cell>
          <cell r="D31" t="str">
            <v>POST2013</v>
          </cell>
          <cell r="E31" t="str">
            <v>POST2013</v>
          </cell>
          <cell r="F31" t="str">
            <v>POST2013</v>
          </cell>
          <cell r="G31" t="str">
            <v>POST2013</v>
          </cell>
          <cell r="H31" t="str">
            <v>POST2013</v>
          </cell>
          <cell r="I31" t="str">
            <v>POST2013</v>
          </cell>
          <cell r="J31" t="str">
            <v>POST2013</v>
          </cell>
          <cell r="K31" t="str">
            <v>POST2013</v>
          </cell>
          <cell r="L31" t="str">
            <v>POST2013</v>
          </cell>
          <cell r="M31" t="str">
            <v>POST2013</v>
          </cell>
          <cell r="N31" t="str">
            <v>POST2013</v>
          </cell>
          <cell r="O31" t="str">
            <v>POST2013</v>
          </cell>
          <cell r="P31" t="str">
            <v>POST2013</v>
          </cell>
          <cell r="Q31" t="str">
            <v>POST2013</v>
          </cell>
          <cell r="R31" t="str">
            <v>POST2013</v>
          </cell>
          <cell r="S31" t="str">
            <v>POST2013</v>
          </cell>
          <cell r="T31" t="str">
            <v>POST2013</v>
          </cell>
          <cell r="W31" t="str">
            <v>POST2013</v>
          </cell>
          <cell r="X31" t="str">
            <v>NR</v>
          </cell>
          <cell r="Y31" t="str">
            <v>POST2013</v>
          </cell>
        </row>
        <row r="32">
          <cell r="B32" t="str">
            <v>Commercial EM-New</v>
          </cell>
          <cell r="C32" t="str">
            <v>POST2013</v>
          </cell>
          <cell r="D32" t="str">
            <v>POST2013</v>
          </cell>
          <cell r="E32" t="str">
            <v>POST2013</v>
          </cell>
          <cell r="F32" t="str">
            <v>POST2013</v>
          </cell>
          <cell r="G32" t="str">
            <v>POST2013</v>
          </cell>
          <cell r="H32" t="str">
            <v>POST2013</v>
          </cell>
          <cell r="I32" t="str">
            <v>POST2013</v>
          </cell>
          <cell r="J32" t="str">
            <v>POST2013</v>
          </cell>
          <cell r="K32" t="str">
            <v>POST2013</v>
          </cell>
          <cell r="L32" t="str">
            <v>POST2013</v>
          </cell>
          <cell r="M32" t="str">
            <v>POST2013</v>
          </cell>
          <cell r="N32" t="str">
            <v>POST2013</v>
          </cell>
          <cell r="O32" t="str">
            <v>POST2013</v>
          </cell>
          <cell r="P32" t="str">
            <v>POST2013</v>
          </cell>
          <cell r="Q32" t="str">
            <v>POST2013</v>
          </cell>
          <cell r="R32" t="str">
            <v>POST2013</v>
          </cell>
          <cell r="S32" t="str">
            <v>POST2013</v>
          </cell>
          <cell r="T32" t="str">
            <v>POST2013</v>
          </cell>
          <cell r="W32" t="str">
            <v>POST2013</v>
          </cell>
          <cell r="X32" t="str">
            <v>New</v>
          </cell>
          <cell r="Y32" t="str">
            <v>POST2013</v>
          </cell>
        </row>
        <row r="33">
          <cell r="B33" t="str">
            <v>Commercial EM-NR</v>
          </cell>
          <cell r="C33" t="str">
            <v>POST2013</v>
          </cell>
          <cell r="D33" t="str">
            <v>POST2013</v>
          </cell>
          <cell r="E33" t="str">
            <v>POST2013</v>
          </cell>
          <cell r="F33" t="str">
            <v>POST2013</v>
          </cell>
          <cell r="G33" t="str">
            <v>POST2013</v>
          </cell>
          <cell r="H33" t="str">
            <v>POST2013</v>
          </cell>
          <cell r="I33" t="str">
            <v>POST2013</v>
          </cell>
          <cell r="J33" t="str">
            <v>POST2013</v>
          </cell>
          <cell r="K33" t="str">
            <v>POST2013</v>
          </cell>
          <cell r="L33" t="str">
            <v>POST2013</v>
          </cell>
          <cell r="M33" t="str">
            <v>POST2013</v>
          </cell>
          <cell r="N33" t="str">
            <v>POST2013</v>
          </cell>
          <cell r="O33" t="str">
            <v>POST2013</v>
          </cell>
          <cell r="P33" t="str">
            <v>POST2013</v>
          </cell>
          <cell r="Q33" t="str">
            <v>POST2013</v>
          </cell>
          <cell r="R33" t="str">
            <v>POST2013</v>
          </cell>
          <cell r="S33" t="str">
            <v>POST2013</v>
          </cell>
          <cell r="T33" t="str">
            <v>POST2013</v>
          </cell>
          <cell r="W33" t="str">
            <v>POST2013</v>
          </cell>
          <cell r="X33" t="str">
            <v>NR</v>
          </cell>
          <cell r="Y33" t="str">
            <v>POST2013</v>
          </cell>
        </row>
        <row r="34">
          <cell r="B34" t="str">
            <v>Commercial EM-Retro</v>
          </cell>
          <cell r="C34" t="str">
            <v>_PRE2013</v>
          </cell>
          <cell r="D34" t="str">
            <v>_PRE2013</v>
          </cell>
          <cell r="E34" t="str">
            <v>_PRE2013</v>
          </cell>
          <cell r="F34" t="str">
            <v>_PRE2013</v>
          </cell>
          <cell r="G34" t="str">
            <v>_PRE2013</v>
          </cell>
          <cell r="H34" t="str">
            <v>_PRE2013</v>
          </cell>
          <cell r="I34" t="str">
            <v>_PRE2013</v>
          </cell>
          <cell r="J34" t="str">
            <v>_PRE2013</v>
          </cell>
          <cell r="K34" t="str">
            <v>_PRE2013</v>
          </cell>
          <cell r="L34" t="str">
            <v>_PRE2013</v>
          </cell>
          <cell r="M34" t="str">
            <v>_PRE2013</v>
          </cell>
          <cell r="N34" t="str">
            <v>_PRE2013</v>
          </cell>
          <cell r="O34" t="str">
            <v>_PRE2013</v>
          </cell>
          <cell r="P34" t="str">
            <v>_PRE2013</v>
          </cell>
          <cell r="Q34" t="str">
            <v>_PRE2013</v>
          </cell>
          <cell r="R34" t="str">
            <v>_PRE2013</v>
          </cell>
          <cell r="S34" t="str">
            <v>_PRE2013</v>
          </cell>
          <cell r="T34" t="str">
            <v>_PRE2013</v>
          </cell>
          <cell r="W34" t="str">
            <v>_PRE2013</v>
          </cell>
          <cell r="X34" t="str">
            <v>Retro</v>
          </cell>
          <cell r="Y34" t="str">
            <v>_PRE2013</v>
          </cell>
        </row>
        <row r="35">
          <cell r="B35" t="str">
            <v>Evaporative Assist Cooling-New</v>
          </cell>
          <cell r="C35" t="str">
            <v>POST2013</v>
          </cell>
          <cell r="D35" t="str">
            <v>POST2013</v>
          </cell>
          <cell r="E35" t="str">
            <v>POST2013</v>
          </cell>
          <cell r="F35" t="str">
            <v>POST2013</v>
          </cell>
          <cell r="G35" t="str">
            <v>POST2013</v>
          </cell>
          <cell r="H35" t="str">
            <v>POST2013</v>
          </cell>
          <cell r="I35" t="str">
            <v>POST2013</v>
          </cell>
          <cell r="J35" t="str">
            <v>POST2013</v>
          </cell>
          <cell r="K35" t="str">
            <v>POST2013</v>
          </cell>
          <cell r="L35" t="str">
            <v>POST2013</v>
          </cell>
          <cell r="M35" t="str">
            <v>POST2013</v>
          </cell>
          <cell r="N35" t="str">
            <v>POST2013</v>
          </cell>
          <cell r="O35" t="str">
            <v>POST2013</v>
          </cell>
          <cell r="P35" t="str">
            <v>POST2013</v>
          </cell>
          <cell r="Q35" t="str">
            <v>POST2013</v>
          </cell>
          <cell r="R35" t="str">
            <v>POST2013</v>
          </cell>
          <cell r="S35" t="str">
            <v>POST2013</v>
          </cell>
          <cell r="T35" t="str">
            <v>POST2013</v>
          </cell>
          <cell r="W35" t="str">
            <v>POST2013</v>
          </cell>
          <cell r="X35" t="str">
            <v>New</v>
          </cell>
          <cell r="Y35" t="str">
            <v>POST2013</v>
          </cell>
        </row>
        <row r="36">
          <cell r="B36" t="str">
            <v>Evaporative Assist Cooling-NR</v>
          </cell>
          <cell r="C36" t="str">
            <v>POST2013</v>
          </cell>
          <cell r="D36" t="str">
            <v>POST2013</v>
          </cell>
          <cell r="E36" t="str">
            <v>POST2013</v>
          </cell>
          <cell r="F36" t="str">
            <v>POST2013</v>
          </cell>
          <cell r="G36" t="str">
            <v>POST2013</v>
          </cell>
          <cell r="H36" t="str">
            <v>POST2013</v>
          </cell>
          <cell r="I36" t="str">
            <v>POST2013</v>
          </cell>
          <cell r="J36" t="str">
            <v>POST2013</v>
          </cell>
          <cell r="K36" t="str">
            <v>POST2013</v>
          </cell>
          <cell r="L36" t="str">
            <v>POST2013</v>
          </cell>
          <cell r="M36" t="str">
            <v>POST2013</v>
          </cell>
          <cell r="N36" t="str">
            <v>POST2013</v>
          </cell>
          <cell r="O36" t="str">
            <v>POST2013</v>
          </cell>
          <cell r="P36" t="str">
            <v>POST2013</v>
          </cell>
          <cell r="Q36" t="str">
            <v>POST2013</v>
          </cell>
          <cell r="R36" t="str">
            <v>POST2013</v>
          </cell>
          <cell r="S36" t="str">
            <v>POST2013</v>
          </cell>
          <cell r="T36" t="str">
            <v>POST2013</v>
          </cell>
          <cell r="W36" t="str">
            <v>POST2013</v>
          </cell>
          <cell r="X36" t="str">
            <v>NR</v>
          </cell>
          <cell r="Y36" t="str">
            <v>POST2013</v>
          </cell>
        </row>
        <row r="37">
          <cell r="B37" t="str">
            <v>Low Pressure Distribution Complex HVAC-New</v>
          </cell>
          <cell r="C37" t="str">
            <v>POST2013</v>
          </cell>
          <cell r="D37" t="str">
            <v>POST2013</v>
          </cell>
          <cell r="E37" t="str">
            <v>POST2013</v>
          </cell>
          <cell r="F37" t="str">
            <v>POST2013</v>
          </cell>
          <cell r="G37" t="str">
            <v>POST2013</v>
          </cell>
          <cell r="H37" t="str">
            <v>POST2013</v>
          </cell>
          <cell r="I37" t="str">
            <v>POST2013</v>
          </cell>
          <cell r="J37" t="str">
            <v>POST2013</v>
          </cell>
          <cell r="K37" t="str">
            <v>POST2013</v>
          </cell>
          <cell r="L37" t="str">
            <v>POST2013</v>
          </cell>
          <cell r="M37" t="str">
            <v>POST2013</v>
          </cell>
          <cell r="N37" t="str">
            <v>POST2013</v>
          </cell>
          <cell r="O37" t="str">
            <v>POST2013</v>
          </cell>
          <cell r="P37" t="str">
            <v>POST2013</v>
          </cell>
          <cell r="Q37" t="str">
            <v>POST2013</v>
          </cell>
          <cell r="R37" t="str">
            <v>POST2013</v>
          </cell>
          <cell r="S37" t="str">
            <v>POST2013</v>
          </cell>
          <cell r="T37" t="str">
            <v>POST2013</v>
          </cell>
          <cell r="W37" t="str">
            <v>POST2013</v>
          </cell>
          <cell r="X37" t="str">
            <v>New</v>
          </cell>
          <cell r="Y37" t="str">
            <v>POST2013</v>
          </cell>
        </row>
        <row r="38">
          <cell r="B38" t="str">
            <v>Demand Control Ventilation-New</v>
          </cell>
          <cell r="C38" t="str">
            <v>POST2013</v>
          </cell>
          <cell r="D38" t="str">
            <v>POST2013</v>
          </cell>
          <cell r="E38" t="str">
            <v>POST2013</v>
          </cell>
          <cell r="F38" t="str">
            <v>POST2013</v>
          </cell>
          <cell r="G38" t="str">
            <v>POST2013</v>
          </cell>
          <cell r="H38" t="str">
            <v>POST2013</v>
          </cell>
          <cell r="I38" t="str">
            <v>POST2013</v>
          </cell>
          <cell r="J38" t="str">
            <v>POST2013</v>
          </cell>
          <cell r="K38" t="str">
            <v>POST2013</v>
          </cell>
          <cell r="L38" t="str">
            <v>POST2013</v>
          </cell>
          <cell r="M38" t="str">
            <v>POST2013</v>
          </cell>
          <cell r="N38" t="str">
            <v>POST2013</v>
          </cell>
          <cell r="O38" t="str">
            <v>POST2013</v>
          </cell>
          <cell r="P38" t="str">
            <v>POST2013</v>
          </cell>
          <cell r="Q38" t="str">
            <v>POST2013</v>
          </cell>
          <cell r="R38" t="str">
            <v>POST2013</v>
          </cell>
          <cell r="S38" t="str">
            <v>POST2013</v>
          </cell>
          <cell r="T38" t="str">
            <v>POST2013</v>
          </cell>
          <cell r="W38" t="str">
            <v>POST2013</v>
          </cell>
          <cell r="X38" t="str">
            <v>New</v>
          </cell>
          <cell r="Y38" t="str">
            <v>POST2013</v>
          </cell>
        </row>
        <row r="39">
          <cell r="B39" t="str">
            <v>Demand Control Ventilation-NR</v>
          </cell>
          <cell r="C39" t="str">
            <v>POST2013</v>
          </cell>
          <cell r="D39" t="str">
            <v>POST2013</v>
          </cell>
          <cell r="E39" t="str">
            <v>POST2013</v>
          </cell>
          <cell r="F39" t="str">
            <v>POST2013</v>
          </cell>
          <cell r="G39" t="str">
            <v>POST2013</v>
          </cell>
          <cell r="H39" t="str">
            <v>POST2013</v>
          </cell>
          <cell r="I39" t="str">
            <v>POST2013</v>
          </cell>
          <cell r="J39" t="str">
            <v>POST2013</v>
          </cell>
          <cell r="K39" t="str">
            <v>POST2013</v>
          </cell>
          <cell r="L39" t="str">
            <v>POST2013</v>
          </cell>
          <cell r="M39" t="str">
            <v>POST2013</v>
          </cell>
          <cell r="N39" t="str">
            <v>POST2013</v>
          </cell>
          <cell r="O39" t="str">
            <v>POST2013</v>
          </cell>
          <cell r="P39" t="str">
            <v>POST2013</v>
          </cell>
          <cell r="Q39" t="str">
            <v>POST2013</v>
          </cell>
          <cell r="R39" t="str">
            <v>POST2013</v>
          </cell>
          <cell r="S39" t="str">
            <v>POST2013</v>
          </cell>
          <cell r="T39" t="str">
            <v>POST2013</v>
          </cell>
          <cell r="W39" t="str">
            <v>POST2013</v>
          </cell>
          <cell r="X39" t="str">
            <v>NR</v>
          </cell>
          <cell r="Y39" t="str">
            <v>POST2013</v>
          </cell>
        </row>
        <row r="40">
          <cell r="B40" t="str">
            <v>Demand Control Ventilation-Retro</v>
          </cell>
          <cell r="C40" t="str">
            <v>_PRE2013</v>
          </cell>
          <cell r="D40" t="str">
            <v>_PRE2013</v>
          </cell>
          <cell r="E40" t="str">
            <v>_PRE2013</v>
          </cell>
          <cell r="F40" t="str">
            <v>_PRE2013</v>
          </cell>
          <cell r="G40" t="str">
            <v>_PRE2013</v>
          </cell>
          <cell r="H40" t="str">
            <v>_PRE2013</v>
          </cell>
          <cell r="I40" t="str">
            <v>_PRE2013</v>
          </cell>
          <cell r="J40" t="str">
            <v>_PRE2013</v>
          </cell>
          <cell r="K40" t="str">
            <v>_PRE2013</v>
          </cell>
          <cell r="L40" t="str">
            <v>_PRE2013</v>
          </cell>
          <cell r="M40" t="str">
            <v>_PRE2013</v>
          </cell>
          <cell r="N40" t="str">
            <v>_PRE2013</v>
          </cell>
          <cell r="O40" t="str">
            <v>_PRE2013</v>
          </cell>
          <cell r="P40" t="str">
            <v>_PRE2013</v>
          </cell>
          <cell r="Q40" t="str">
            <v>_PRE2013</v>
          </cell>
          <cell r="R40" t="str">
            <v>_PRE2013</v>
          </cell>
          <cell r="S40" t="str">
            <v>_PRE2013</v>
          </cell>
          <cell r="T40" t="str">
            <v>_PRE2013</v>
          </cell>
          <cell r="W40" t="str">
            <v>_PRE2013</v>
          </cell>
          <cell r="X40" t="str">
            <v>Retro</v>
          </cell>
          <cell r="Y40" t="str">
            <v>_PRE2013</v>
          </cell>
        </row>
        <row r="41">
          <cell r="B41" t="str">
            <v>Premium Fume Hood-NR</v>
          </cell>
          <cell r="C41" t="str">
            <v>POST2013</v>
          </cell>
          <cell r="D41" t="str">
            <v>POST2013</v>
          </cell>
          <cell r="E41" t="str">
            <v>POST2013</v>
          </cell>
          <cell r="F41" t="str">
            <v>POST2013</v>
          </cell>
          <cell r="G41" t="str">
            <v>POST2013</v>
          </cell>
          <cell r="H41" t="str">
            <v>POST2013</v>
          </cell>
          <cell r="I41" t="str">
            <v>POST2013</v>
          </cell>
          <cell r="J41" t="str">
            <v>POST2013</v>
          </cell>
          <cell r="K41" t="str">
            <v>POST2013</v>
          </cell>
          <cell r="L41" t="str">
            <v>POST2013</v>
          </cell>
          <cell r="M41" t="str">
            <v>POST2013</v>
          </cell>
          <cell r="N41" t="str">
            <v>POST2013</v>
          </cell>
          <cell r="O41" t="str">
            <v>POST2013</v>
          </cell>
          <cell r="P41" t="str">
            <v>POST2013</v>
          </cell>
          <cell r="Q41" t="str">
            <v>POST2013</v>
          </cell>
          <cell r="R41" t="str">
            <v>POST2013</v>
          </cell>
          <cell r="S41" t="str">
            <v>POST2013</v>
          </cell>
          <cell r="T41" t="str">
            <v>POST2013</v>
          </cell>
          <cell r="W41" t="str">
            <v>POST2013</v>
          </cell>
          <cell r="X41" t="str">
            <v>NR</v>
          </cell>
          <cell r="Y41" t="str">
            <v>POST2013</v>
          </cell>
        </row>
        <row r="42">
          <cell r="B42" t="str">
            <v>DCV Restaurant Hood-Retro</v>
          </cell>
          <cell r="C42" t="str">
            <v>_PRE2013</v>
          </cell>
          <cell r="D42" t="str">
            <v>_PRE2013</v>
          </cell>
          <cell r="E42" t="str">
            <v>_PRE2013</v>
          </cell>
          <cell r="F42" t="str">
            <v>_PRE2013</v>
          </cell>
          <cell r="G42" t="str">
            <v>_PRE2013</v>
          </cell>
          <cell r="H42" t="str">
            <v>_PRE2013</v>
          </cell>
          <cell r="I42" t="str">
            <v>_PRE2013</v>
          </cell>
          <cell r="J42" t="str">
            <v>_PRE2013</v>
          </cell>
          <cell r="K42" t="str">
            <v>_PRE2013</v>
          </cell>
          <cell r="L42" t="str">
            <v>_PRE2013</v>
          </cell>
          <cell r="M42" t="str">
            <v>_PRE2013</v>
          </cell>
          <cell r="N42" t="str">
            <v>_PRE2013</v>
          </cell>
          <cell r="O42" t="str">
            <v>_PRE2013</v>
          </cell>
          <cell r="P42" t="str">
            <v>_PRE2013</v>
          </cell>
          <cell r="Q42" t="str">
            <v>_PRE2013</v>
          </cell>
          <cell r="R42" t="str">
            <v>_PRE2013</v>
          </cell>
          <cell r="S42" t="str">
            <v>_PRE2013</v>
          </cell>
          <cell r="T42" t="str">
            <v>_PRE2013</v>
          </cell>
          <cell r="W42" t="str">
            <v>_PRE2013</v>
          </cell>
          <cell r="X42" t="str">
            <v>Retro</v>
          </cell>
          <cell r="Y42" t="str">
            <v>_PRE2013</v>
          </cell>
        </row>
        <row r="43">
          <cell r="B43" t="str">
            <v>DCV Parking Garage-Retro</v>
          </cell>
          <cell r="C43" t="str">
            <v>_PRE2013</v>
          </cell>
          <cell r="D43" t="str">
            <v>_PRE2013</v>
          </cell>
          <cell r="E43" t="str">
            <v>_PRE2013</v>
          </cell>
          <cell r="F43" t="str">
            <v>_PRE2013</v>
          </cell>
          <cell r="G43" t="str">
            <v>_PRE2013</v>
          </cell>
          <cell r="H43" t="str">
            <v>_PRE2013</v>
          </cell>
          <cell r="I43" t="str">
            <v>_PRE2013</v>
          </cell>
          <cell r="J43" t="str">
            <v>_PRE2013</v>
          </cell>
          <cell r="K43" t="str">
            <v>_PRE2013</v>
          </cell>
          <cell r="L43" t="str">
            <v>_PRE2013</v>
          </cell>
          <cell r="M43" t="str">
            <v>_PRE2013</v>
          </cell>
          <cell r="N43" t="str">
            <v>_PRE2013</v>
          </cell>
          <cell r="O43" t="str">
            <v>_PRE2013</v>
          </cell>
          <cell r="P43" t="str">
            <v>_PRE2013</v>
          </cell>
          <cell r="Q43" t="str">
            <v>_PRE2013</v>
          </cell>
          <cell r="R43" t="str">
            <v>_PRE2013</v>
          </cell>
          <cell r="S43" t="str">
            <v>_PRE2013</v>
          </cell>
          <cell r="T43" t="str">
            <v>_PRE2013</v>
          </cell>
          <cell r="W43" t="str">
            <v>_PRE2013</v>
          </cell>
          <cell r="X43" t="str">
            <v>Retro</v>
          </cell>
          <cell r="Y43" t="str">
            <v>_PRE2013</v>
          </cell>
        </row>
        <row r="44">
          <cell r="B44" t="str">
            <v>Weatherization - School-Retro</v>
          </cell>
          <cell r="C44" t="str">
            <v>_PRE2013</v>
          </cell>
          <cell r="D44" t="str">
            <v>_PRE2013</v>
          </cell>
          <cell r="E44" t="str">
            <v>_PRE2013</v>
          </cell>
          <cell r="F44" t="str">
            <v>_PRE2013</v>
          </cell>
          <cell r="G44" t="str">
            <v>_PRE2013</v>
          </cell>
          <cell r="H44" t="str">
            <v>_PRE2013</v>
          </cell>
          <cell r="I44" t="str">
            <v>_PRE2013</v>
          </cell>
          <cell r="J44" t="str">
            <v>_PRE2013</v>
          </cell>
          <cell r="K44" t="str">
            <v>_PRE2013</v>
          </cell>
          <cell r="L44" t="str">
            <v>_PRE2013</v>
          </cell>
          <cell r="M44" t="str">
            <v>_PRE2013</v>
          </cell>
          <cell r="N44" t="str">
            <v>_PRE2013</v>
          </cell>
          <cell r="O44" t="str">
            <v>_PRE2013</v>
          </cell>
          <cell r="P44" t="str">
            <v>_PRE2013</v>
          </cell>
          <cell r="Q44" t="str">
            <v>_PRE2013</v>
          </cell>
          <cell r="R44" t="str">
            <v>_PRE2013</v>
          </cell>
          <cell r="S44" t="str">
            <v>_PRE2013</v>
          </cell>
          <cell r="T44" t="str">
            <v>_PRE2013</v>
          </cell>
          <cell r="W44" t="str">
            <v>_PRE2013</v>
          </cell>
          <cell r="X44" t="str">
            <v>Retro</v>
          </cell>
          <cell r="Y44" t="str">
            <v>_PRE2013</v>
          </cell>
        </row>
        <row r="45">
          <cell r="B45" t="str">
            <v>Commercial Computer Laptop-NR</v>
          </cell>
          <cell r="C45" t="str">
            <v>POST2013</v>
          </cell>
          <cell r="D45" t="str">
            <v>POST2013</v>
          </cell>
          <cell r="E45" t="str">
            <v>POST2013</v>
          </cell>
          <cell r="F45" t="str">
            <v>POST2013</v>
          </cell>
          <cell r="G45" t="str">
            <v>POST2013</v>
          </cell>
          <cell r="H45" t="str">
            <v>POST2013</v>
          </cell>
          <cell r="I45" t="str">
            <v>POST2013</v>
          </cell>
          <cell r="J45" t="str">
            <v>POST2013</v>
          </cell>
          <cell r="K45" t="str">
            <v>POST2013</v>
          </cell>
          <cell r="L45" t="str">
            <v>POST2013</v>
          </cell>
          <cell r="M45" t="str">
            <v>POST2013</v>
          </cell>
          <cell r="N45" t="str">
            <v>POST2013</v>
          </cell>
          <cell r="O45" t="str">
            <v>POST2013</v>
          </cell>
          <cell r="P45" t="str">
            <v>POST2013</v>
          </cell>
          <cell r="Q45" t="str">
            <v>POST2013</v>
          </cell>
          <cell r="R45" t="str">
            <v>POST2013</v>
          </cell>
          <cell r="S45" t="str">
            <v>POST2013</v>
          </cell>
          <cell r="T45" t="str">
            <v>POST2013</v>
          </cell>
          <cell r="W45" t="str">
            <v>POST2013</v>
          </cell>
          <cell r="X45" t="str">
            <v>NR</v>
          </cell>
          <cell r="Y45" t="str">
            <v>POST2013</v>
          </cell>
        </row>
        <row r="46">
          <cell r="B46" t="str">
            <v>AC Heat Recovery for Water Heating-NR</v>
          </cell>
          <cell r="C46" t="str">
            <v>POST2013</v>
          </cell>
          <cell r="D46" t="str">
            <v>POST2013</v>
          </cell>
          <cell r="E46" t="str">
            <v>POST2013</v>
          </cell>
          <cell r="F46" t="str">
            <v>POST2013</v>
          </cell>
          <cell r="G46" t="str">
            <v>POST2013</v>
          </cell>
          <cell r="H46" t="str">
            <v>POST2013</v>
          </cell>
          <cell r="I46" t="str">
            <v>POST2013</v>
          </cell>
          <cell r="J46" t="str">
            <v>POST2013</v>
          </cell>
          <cell r="K46" t="str">
            <v>POST2013</v>
          </cell>
          <cell r="L46" t="str">
            <v>POST2013</v>
          </cell>
          <cell r="M46" t="str">
            <v>POST2013</v>
          </cell>
          <cell r="N46" t="str">
            <v>POST2013</v>
          </cell>
          <cell r="O46" t="str">
            <v>POST2013</v>
          </cell>
          <cell r="P46" t="str">
            <v>POST2013</v>
          </cell>
          <cell r="Q46" t="str">
            <v>POST2013</v>
          </cell>
          <cell r="R46" t="str">
            <v>POST2013</v>
          </cell>
          <cell r="S46" t="str">
            <v>POST2013</v>
          </cell>
          <cell r="T46" t="str">
            <v>POST2013</v>
          </cell>
          <cell r="W46" t="str">
            <v>POST2013</v>
          </cell>
          <cell r="X46" t="str">
            <v>NR</v>
          </cell>
          <cell r="Y46" t="str">
            <v>POST2013</v>
          </cell>
        </row>
        <row r="47">
          <cell r="B47" t="str">
            <v>Room Occupancy Sensors in Lodging-Retro</v>
          </cell>
          <cell r="C47" t="str">
            <v>_PRE2013</v>
          </cell>
          <cell r="D47" t="str">
            <v>_PRE2013</v>
          </cell>
          <cell r="E47" t="str">
            <v>_PRE2013</v>
          </cell>
          <cell r="F47" t="str">
            <v>_PRE2013</v>
          </cell>
          <cell r="G47" t="str">
            <v>_PRE2013</v>
          </cell>
          <cell r="H47" t="str">
            <v>_PRE2013</v>
          </cell>
          <cell r="I47" t="str">
            <v>_PRE2013</v>
          </cell>
          <cell r="J47" t="str">
            <v>_PRE2013</v>
          </cell>
          <cell r="K47" t="str">
            <v>_PRE2013</v>
          </cell>
          <cell r="L47" t="str">
            <v>_PRE2013</v>
          </cell>
          <cell r="M47" t="str">
            <v>_PRE2013</v>
          </cell>
          <cell r="N47" t="str">
            <v>_PRE2013</v>
          </cell>
          <cell r="O47" t="str">
            <v>_PRE2013</v>
          </cell>
          <cell r="P47" t="str">
            <v>_PRE2013</v>
          </cell>
          <cell r="Q47" t="str">
            <v>_PRE2013</v>
          </cell>
          <cell r="R47" t="str">
            <v>_PRE2013</v>
          </cell>
          <cell r="S47" t="str">
            <v>_PRE2013</v>
          </cell>
          <cell r="T47" t="str">
            <v>_PRE2013</v>
          </cell>
          <cell r="W47" t="str">
            <v>_PRE2013</v>
          </cell>
          <cell r="X47" t="str">
            <v>Retro</v>
          </cell>
          <cell r="Y47" t="str">
            <v>_PRE2013</v>
          </cell>
        </row>
        <row r="48">
          <cell r="B48" t="str">
            <v>Chiller - chilled water retrofit-Retro</v>
          </cell>
          <cell r="C48" t="str">
            <v>_PRE2013</v>
          </cell>
          <cell r="D48" t="str">
            <v>_PRE2013</v>
          </cell>
          <cell r="E48" t="str">
            <v>_PRE2013</v>
          </cell>
          <cell r="F48" t="str">
            <v>_PRE2013</v>
          </cell>
          <cell r="G48" t="str">
            <v>_PRE2013</v>
          </cell>
          <cell r="H48" t="str">
            <v>_PRE2013</v>
          </cell>
          <cell r="I48" t="str">
            <v>_PRE2013</v>
          </cell>
          <cell r="J48" t="str">
            <v>_PRE2013</v>
          </cell>
          <cell r="K48" t="str">
            <v>_PRE2013</v>
          </cell>
          <cell r="L48" t="str">
            <v>_PRE2013</v>
          </cell>
          <cell r="M48" t="str">
            <v>_PRE2013</v>
          </cell>
          <cell r="N48" t="str">
            <v>_PRE2013</v>
          </cell>
          <cell r="O48" t="str">
            <v>_PRE2013</v>
          </cell>
          <cell r="P48" t="str">
            <v>_PRE2013</v>
          </cell>
          <cell r="Q48" t="str">
            <v>_PRE2013</v>
          </cell>
          <cell r="R48" t="str">
            <v>_PRE2013</v>
          </cell>
          <cell r="S48" t="str">
            <v>_PRE2013</v>
          </cell>
          <cell r="T48" t="str">
            <v>_PRE2013</v>
          </cell>
          <cell r="W48" t="str">
            <v>_PRE2013</v>
          </cell>
          <cell r="X48" t="str">
            <v>Retro</v>
          </cell>
          <cell r="Y48" t="str">
            <v>_PRE2013</v>
          </cell>
        </row>
        <row r="49">
          <cell r="B49" t="str">
            <v>Chiller - equip retrofits-Retro</v>
          </cell>
          <cell r="C49" t="str">
            <v>_PRE2013</v>
          </cell>
          <cell r="D49" t="str">
            <v>_PRE2013</v>
          </cell>
          <cell r="E49" t="str">
            <v>_PRE2013</v>
          </cell>
          <cell r="F49" t="str">
            <v>_PRE2013</v>
          </cell>
          <cell r="G49" t="str">
            <v>_PRE2013</v>
          </cell>
          <cell r="H49" t="str">
            <v>_PRE2013</v>
          </cell>
          <cell r="I49" t="str">
            <v>_PRE2013</v>
          </cell>
          <cell r="J49" t="str">
            <v>_PRE2013</v>
          </cell>
          <cell r="K49" t="str">
            <v>_PRE2013</v>
          </cell>
          <cell r="L49" t="str">
            <v>_PRE2013</v>
          </cell>
          <cell r="M49" t="str">
            <v>_PRE2013</v>
          </cell>
          <cell r="N49" t="str">
            <v>_PRE2013</v>
          </cell>
          <cell r="O49" t="str">
            <v>_PRE2013</v>
          </cell>
          <cell r="P49" t="str">
            <v>_PRE2013</v>
          </cell>
          <cell r="Q49" t="str">
            <v>_PRE2013</v>
          </cell>
          <cell r="R49" t="str">
            <v>_PRE2013</v>
          </cell>
          <cell r="S49" t="str">
            <v>_PRE2013</v>
          </cell>
          <cell r="T49" t="str">
            <v>_PRE2013</v>
          </cell>
          <cell r="W49" t="str">
            <v>_PRE2013</v>
          </cell>
          <cell r="X49" t="str">
            <v>Retro</v>
          </cell>
          <cell r="Y49" t="str">
            <v>_PRE2013</v>
          </cell>
        </row>
        <row r="50">
          <cell r="B50" t="str">
            <v>Pool Blankets-Retro</v>
          </cell>
          <cell r="C50" t="str">
            <v>_PRE2013</v>
          </cell>
          <cell r="D50" t="str">
            <v>_PRE2013</v>
          </cell>
          <cell r="E50" t="str">
            <v>_PRE2013</v>
          </cell>
          <cell r="F50" t="str">
            <v>_PRE2013</v>
          </cell>
          <cell r="G50" t="str">
            <v>_PRE2013</v>
          </cell>
          <cell r="H50" t="str">
            <v>_PRE2013</v>
          </cell>
          <cell r="I50" t="str">
            <v>_PRE2013</v>
          </cell>
          <cell r="J50" t="str">
            <v>_PRE2013</v>
          </cell>
          <cell r="K50" t="str">
            <v>_PRE2013</v>
          </cell>
          <cell r="L50" t="str">
            <v>_PRE2013</v>
          </cell>
          <cell r="M50" t="str">
            <v>_PRE2013</v>
          </cell>
          <cell r="N50" t="str">
            <v>_PRE2013</v>
          </cell>
          <cell r="O50" t="str">
            <v>_PRE2013</v>
          </cell>
          <cell r="P50" t="str">
            <v>_PRE2013</v>
          </cell>
          <cell r="Q50" t="str">
            <v>_PRE2013</v>
          </cell>
          <cell r="R50" t="str">
            <v>_PRE2013</v>
          </cell>
          <cell r="S50" t="str">
            <v>_PRE2013</v>
          </cell>
          <cell r="T50" t="str">
            <v>_PRE2013</v>
          </cell>
          <cell r="W50" t="str">
            <v>_PRE2013</v>
          </cell>
          <cell r="X50" t="str">
            <v>Retro</v>
          </cell>
          <cell r="Y50" t="str">
            <v>_PRE2013</v>
          </cell>
        </row>
        <row r="51">
          <cell r="B51" t="str">
            <v>Web-Enabled Thermostats-Retro</v>
          </cell>
          <cell r="C51" t="str">
            <v>_PRE2013</v>
          </cell>
          <cell r="D51" t="str">
            <v>_PRE2013</v>
          </cell>
          <cell r="E51" t="str">
            <v>_PRE2013</v>
          </cell>
          <cell r="F51" t="str">
            <v>_PRE2013</v>
          </cell>
          <cell r="G51" t="str">
            <v>_PRE2013</v>
          </cell>
          <cell r="H51" t="str">
            <v>_PRE2013</v>
          </cell>
          <cell r="I51" t="str">
            <v>_PRE2013</v>
          </cell>
          <cell r="J51" t="str">
            <v>_PRE2013</v>
          </cell>
          <cell r="K51" t="str">
            <v>_PRE2013</v>
          </cell>
          <cell r="L51" t="str">
            <v>_PRE2013</v>
          </cell>
          <cell r="M51" t="str">
            <v>_PRE2013</v>
          </cell>
          <cell r="N51" t="str">
            <v>_PRE2013</v>
          </cell>
          <cell r="O51" t="str">
            <v>_PRE2013</v>
          </cell>
          <cell r="P51" t="str">
            <v>_PRE2013</v>
          </cell>
          <cell r="Q51" t="str">
            <v>_PRE2013</v>
          </cell>
          <cell r="R51" t="str">
            <v>_PRE2013</v>
          </cell>
          <cell r="S51" t="str">
            <v>_PRE2013</v>
          </cell>
          <cell r="T51" t="str">
            <v>_PRE2013</v>
          </cell>
          <cell r="W51" t="str">
            <v>_PRE2013</v>
          </cell>
          <cell r="X51" t="str">
            <v>Retro</v>
          </cell>
          <cell r="Y51" t="str">
            <v>_PRE2013</v>
          </cell>
        </row>
        <row r="52">
          <cell r="B52" t="str">
            <v>Garage CO2 ventilation-Retro</v>
          </cell>
          <cell r="C52" t="str">
            <v>_PRE2013</v>
          </cell>
          <cell r="D52" t="str">
            <v>_PRE2013</v>
          </cell>
          <cell r="E52" t="str">
            <v>_PRE2013</v>
          </cell>
          <cell r="F52" t="str">
            <v>_PRE2013</v>
          </cell>
          <cell r="G52" t="str">
            <v>_PRE2013</v>
          </cell>
          <cell r="H52" t="str">
            <v>_PRE2013</v>
          </cell>
          <cell r="I52" t="str">
            <v>_PRE2013</v>
          </cell>
          <cell r="J52" t="str">
            <v>_PRE2013</v>
          </cell>
          <cell r="K52" t="str">
            <v>_PRE2013</v>
          </cell>
          <cell r="L52" t="str">
            <v>_PRE2013</v>
          </cell>
          <cell r="M52" t="str">
            <v>_PRE2013</v>
          </cell>
          <cell r="N52" t="str">
            <v>_PRE2013</v>
          </cell>
          <cell r="O52" t="str">
            <v>_PRE2013</v>
          </cell>
          <cell r="P52" t="str">
            <v>_PRE2013</v>
          </cell>
          <cell r="Q52" t="str">
            <v>_PRE2013</v>
          </cell>
          <cell r="R52" t="str">
            <v>_PRE2013</v>
          </cell>
          <cell r="S52" t="str">
            <v>_PRE2013</v>
          </cell>
          <cell r="T52" t="str">
            <v>_PRE2013</v>
          </cell>
          <cell r="W52" t="str">
            <v>_PRE2013</v>
          </cell>
          <cell r="X52" t="str">
            <v>Retro</v>
          </cell>
          <cell r="Y52" t="str">
            <v>_PRE2013</v>
          </cell>
        </row>
        <row r="53">
          <cell r="B53" t="str">
            <v>Circ Pump ECM and drive-Retro</v>
          </cell>
          <cell r="C53" t="str">
            <v>_PRE2013</v>
          </cell>
          <cell r="D53" t="str">
            <v>_PRE2013</v>
          </cell>
          <cell r="E53" t="str">
            <v>_PRE2013</v>
          </cell>
          <cell r="F53" t="str">
            <v>_PRE2013</v>
          </cell>
          <cell r="G53" t="str">
            <v>_PRE2013</v>
          </cell>
          <cell r="H53" t="str">
            <v>_PRE2013</v>
          </cell>
          <cell r="I53" t="str">
            <v>_PRE2013</v>
          </cell>
          <cell r="J53" t="str">
            <v>_PRE2013</v>
          </cell>
          <cell r="K53" t="str">
            <v>_PRE2013</v>
          </cell>
          <cell r="L53" t="str">
            <v>_PRE2013</v>
          </cell>
          <cell r="M53" t="str">
            <v>_PRE2013</v>
          </cell>
          <cell r="N53" t="str">
            <v>_PRE2013</v>
          </cell>
          <cell r="O53" t="str">
            <v>_PRE2013</v>
          </cell>
          <cell r="P53" t="str">
            <v>_PRE2013</v>
          </cell>
          <cell r="Q53" t="str">
            <v>_PRE2013</v>
          </cell>
          <cell r="R53" t="str">
            <v>_PRE2013</v>
          </cell>
          <cell r="S53" t="str">
            <v>_PRE2013</v>
          </cell>
          <cell r="T53" t="str">
            <v>_PRE2013</v>
          </cell>
          <cell r="W53" t="str">
            <v>_PRE2013</v>
          </cell>
          <cell r="X53" t="str">
            <v>Retro</v>
          </cell>
          <cell r="Y53" t="str">
            <v>_PRE2013</v>
          </cell>
        </row>
        <row r="54">
          <cell r="B54" t="str">
            <v>VRF-New</v>
          </cell>
          <cell r="C54" t="str">
            <v>_PRE2013</v>
          </cell>
          <cell r="D54" t="str">
            <v>_PRE2013</v>
          </cell>
          <cell r="E54" t="str">
            <v>_PRE2013</v>
          </cell>
          <cell r="F54" t="str">
            <v>_PRE2013</v>
          </cell>
          <cell r="G54" t="str">
            <v>_PRE2013</v>
          </cell>
          <cell r="H54" t="str">
            <v>_PRE2013</v>
          </cell>
          <cell r="I54" t="str">
            <v>_PRE2013</v>
          </cell>
          <cell r="J54" t="str">
            <v>_PRE2013</v>
          </cell>
          <cell r="K54" t="str">
            <v>_PRE2013</v>
          </cell>
          <cell r="L54" t="str">
            <v>_PRE2013</v>
          </cell>
          <cell r="M54" t="str">
            <v>_PRE2013</v>
          </cell>
          <cell r="N54" t="str">
            <v>_PRE2013</v>
          </cell>
          <cell r="O54" t="str">
            <v>_PRE2013</v>
          </cell>
          <cell r="P54" t="str">
            <v>_PRE2013</v>
          </cell>
          <cell r="Q54" t="str">
            <v>_PRE2013</v>
          </cell>
          <cell r="R54" t="str">
            <v>_PRE2013</v>
          </cell>
          <cell r="S54" t="str">
            <v>_PRE2013</v>
          </cell>
          <cell r="T54" t="str">
            <v>_PRE2013</v>
          </cell>
          <cell r="W54" t="str">
            <v>_PRE2013</v>
          </cell>
          <cell r="X54" t="str">
            <v>New</v>
          </cell>
          <cell r="Y54" t="str">
            <v>POST2013</v>
          </cell>
        </row>
        <row r="55">
          <cell r="B55" t="str">
            <v>VRF-Retro</v>
          </cell>
          <cell r="C55" t="str">
            <v>_PRE2013</v>
          </cell>
          <cell r="D55" t="str">
            <v>_PRE2013</v>
          </cell>
          <cell r="E55" t="str">
            <v>_PRE2013</v>
          </cell>
          <cell r="F55" t="str">
            <v>_PRE2013</v>
          </cell>
          <cell r="G55" t="str">
            <v>_PRE2013</v>
          </cell>
          <cell r="H55" t="str">
            <v>_PRE2013</v>
          </cell>
          <cell r="I55" t="str">
            <v>_PRE2013</v>
          </cell>
          <cell r="J55" t="str">
            <v>_PRE2013</v>
          </cell>
          <cell r="K55" t="str">
            <v>_PRE2013</v>
          </cell>
          <cell r="L55" t="str">
            <v>_PRE2013</v>
          </cell>
          <cell r="M55" t="str">
            <v>_PRE2013</v>
          </cell>
          <cell r="N55" t="str">
            <v>_PRE2013</v>
          </cell>
          <cell r="O55" t="str">
            <v>_PRE2013</v>
          </cell>
          <cell r="P55" t="str">
            <v>_PRE2013</v>
          </cell>
          <cell r="Q55" t="str">
            <v>_PRE2013</v>
          </cell>
          <cell r="R55" t="str">
            <v>_PRE2013</v>
          </cell>
          <cell r="S55" t="str">
            <v>_PRE2013</v>
          </cell>
          <cell r="T55" t="str">
            <v>_PRE2013</v>
          </cell>
          <cell r="W55" t="str">
            <v>_PRE2013</v>
          </cell>
          <cell r="X55" t="str">
            <v>Retro</v>
          </cell>
          <cell r="Y55" t="str">
            <v>_PRE2013</v>
          </cell>
        </row>
        <row r="56">
          <cell r="B56" t="str">
            <v>Evaporator Roof Top HVAC-Retro</v>
          </cell>
          <cell r="C56" t="str">
            <v>_PRE2013</v>
          </cell>
          <cell r="D56" t="str">
            <v>_PRE2013</v>
          </cell>
          <cell r="E56" t="str">
            <v>_PRE2013</v>
          </cell>
          <cell r="F56" t="str">
            <v>_PRE2013</v>
          </cell>
          <cell r="G56" t="str">
            <v>_PRE2013</v>
          </cell>
          <cell r="H56" t="str">
            <v>_PRE2013</v>
          </cell>
          <cell r="I56" t="str">
            <v>_PRE2013</v>
          </cell>
          <cell r="J56" t="str">
            <v>_PRE2013</v>
          </cell>
          <cell r="K56" t="str">
            <v>_PRE2013</v>
          </cell>
          <cell r="L56" t="str">
            <v>_PRE2013</v>
          </cell>
          <cell r="M56" t="str">
            <v>_PRE2013</v>
          </cell>
          <cell r="N56" t="str">
            <v>_PRE2013</v>
          </cell>
          <cell r="O56" t="str">
            <v>_PRE2013</v>
          </cell>
          <cell r="P56" t="str">
            <v>_PRE2013</v>
          </cell>
          <cell r="Q56" t="str">
            <v>_PRE2013</v>
          </cell>
          <cell r="R56" t="str">
            <v>_PRE2013</v>
          </cell>
          <cell r="S56" t="str">
            <v>_PRE2013</v>
          </cell>
          <cell r="T56" t="str">
            <v>_PRE2013</v>
          </cell>
          <cell r="W56" t="str">
            <v>_PRE2013</v>
          </cell>
          <cell r="X56" t="str">
            <v>Retro</v>
          </cell>
          <cell r="Y56" t="str">
            <v>_PRE2013</v>
          </cell>
        </row>
        <row r="57">
          <cell r="B57" t="str">
            <v>Secondary Glazing Systems-Retro</v>
          </cell>
          <cell r="C57" t="str">
            <v>_PRE2013</v>
          </cell>
          <cell r="D57" t="str">
            <v>_PRE2013</v>
          </cell>
          <cell r="E57" t="str">
            <v>_PRE2013</v>
          </cell>
          <cell r="F57" t="str">
            <v>_PRE2013</v>
          </cell>
          <cell r="G57" t="str">
            <v>_PRE2013</v>
          </cell>
          <cell r="H57" t="str">
            <v>_PRE2013</v>
          </cell>
          <cell r="I57" t="str">
            <v>_PRE2013</v>
          </cell>
          <cell r="J57" t="str">
            <v>_PRE2013</v>
          </cell>
          <cell r="K57" t="str">
            <v>_PRE2013</v>
          </cell>
          <cell r="L57" t="str">
            <v>_PRE2013</v>
          </cell>
          <cell r="M57" t="str">
            <v>_PRE2013</v>
          </cell>
          <cell r="N57" t="str">
            <v>_PRE2013</v>
          </cell>
          <cell r="O57" t="str">
            <v>_PRE2013</v>
          </cell>
          <cell r="P57" t="str">
            <v>_PRE2013</v>
          </cell>
          <cell r="Q57" t="str">
            <v>_PRE2013</v>
          </cell>
          <cell r="R57" t="str">
            <v>_PRE2013</v>
          </cell>
          <cell r="S57" t="str">
            <v>_PRE2013</v>
          </cell>
          <cell r="T57" t="str">
            <v>_PRE2013</v>
          </cell>
          <cell r="W57" t="str">
            <v>_PRE2013</v>
          </cell>
          <cell r="X57" t="str">
            <v>Retro</v>
          </cell>
          <cell r="Y57" t="str">
            <v>_PRE2013</v>
          </cell>
        </row>
        <row r="58">
          <cell r="B58" t="str">
            <v>LPD Package-New</v>
          </cell>
          <cell r="C58" t="str">
            <v>POST2013</v>
          </cell>
          <cell r="D58" t="str">
            <v>POST2013</v>
          </cell>
          <cell r="E58" t="str">
            <v>POST2013</v>
          </cell>
          <cell r="F58" t="str">
            <v>POST2013</v>
          </cell>
          <cell r="G58" t="str">
            <v>POST2013</v>
          </cell>
          <cell r="H58" t="str">
            <v>POST2013</v>
          </cell>
          <cell r="I58" t="str">
            <v>POST2013</v>
          </cell>
          <cell r="J58" t="str">
            <v>POST2013</v>
          </cell>
          <cell r="K58" t="str">
            <v>POST2013</v>
          </cell>
          <cell r="L58" t="str">
            <v>POST2013</v>
          </cell>
          <cell r="M58" t="str">
            <v>POST2013</v>
          </cell>
          <cell r="N58" t="str">
            <v>POST2013</v>
          </cell>
          <cell r="O58" t="str">
            <v>POST2013</v>
          </cell>
          <cell r="P58" t="str">
            <v>POST2013</v>
          </cell>
          <cell r="Q58" t="str">
            <v>POST2013</v>
          </cell>
          <cell r="R58" t="str">
            <v>POST2013</v>
          </cell>
          <cell r="S58" t="str">
            <v>POST2013</v>
          </cell>
          <cell r="T58" t="str">
            <v>POST2013</v>
          </cell>
          <cell r="W58" t="str">
            <v>POST2013</v>
          </cell>
          <cell r="X58" t="str">
            <v>New</v>
          </cell>
          <cell r="Y58" t="str">
            <v>POST2013</v>
          </cell>
        </row>
        <row r="59">
          <cell r="B59" t="str">
            <v>LPD Package-NR</v>
          </cell>
          <cell r="C59" t="str">
            <v>_PRE2013</v>
          </cell>
          <cell r="D59" t="str">
            <v>_PRE2013</v>
          </cell>
          <cell r="E59" t="str">
            <v>_PRE2013</v>
          </cell>
          <cell r="F59" t="str">
            <v>_PRE2013</v>
          </cell>
          <cell r="G59" t="str">
            <v>_PRE2013</v>
          </cell>
          <cell r="H59" t="str">
            <v>_PRE2013</v>
          </cell>
          <cell r="I59" t="str">
            <v>_PRE2013</v>
          </cell>
          <cell r="J59" t="str">
            <v>_PRE2013</v>
          </cell>
          <cell r="K59" t="str">
            <v>_PRE2013</v>
          </cell>
          <cell r="L59" t="str">
            <v>_PRE2013</v>
          </cell>
          <cell r="M59" t="str">
            <v>_PRE2013</v>
          </cell>
          <cell r="N59" t="str">
            <v>_PRE2013</v>
          </cell>
          <cell r="O59" t="str">
            <v>_PRE2013</v>
          </cell>
          <cell r="P59" t="str">
            <v>_PRE2013</v>
          </cell>
          <cell r="Q59" t="str">
            <v>_PRE2013</v>
          </cell>
          <cell r="R59" t="str">
            <v>_PRE2013</v>
          </cell>
          <cell r="S59" t="str">
            <v>_PRE2013</v>
          </cell>
          <cell r="T59" t="str">
            <v>_PRE2013</v>
          </cell>
          <cell r="W59" t="str">
            <v>_PRE2013</v>
          </cell>
          <cell r="X59" t="str">
            <v>NR</v>
          </cell>
          <cell r="Y59" t="str">
            <v>_PRE2013</v>
          </cell>
        </row>
        <row r="60">
          <cell r="B60" t="str">
            <v>LPD Package-Retro</v>
          </cell>
          <cell r="C60" t="str">
            <v>_PRE2013</v>
          </cell>
          <cell r="D60" t="str">
            <v>_PRE2013</v>
          </cell>
          <cell r="E60" t="str">
            <v>_PRE2013</v>
          </cell>
          <cell r="F60" t="str">
            <v>_PRE2013</v>
          </cell>
          <cell r="G60" t="str">
            <v>_PRE2013</v>
          </cell>
          <cell r="H60" t="str">
            <v>_PRE2013</v>
          </cell>
          <cell r="I60" t="str">
            <v>_PRE2013</v>
          </cell>
          <cell r="J60" t="str">
            <v>_PRE2013</v>
          </cell>
          <cell r="K60" t="str">
            <v>_PRE2013</v>
          </cell>
          <cell r="L60" t="str">
            <v>_PRE2013</v>
          </cell>
          <cell r="M60" t="str">
            <v>_PRE2013</v>
          </cell>
          <cell r="N60" t="str">
            <v>_PRE2013</v>
          </cell>
          <cell r="O60" t="str">
            <v>_PRE2013</v>
          </cell>
          <cell r="P60" t="str">
            <v>_PRE2013</v>
          </cell>
          <cell r="Q60" t="str">
            <v>_PRE2013</v>
          </cell>
          <cell r="R60" t="str">
            <v>_PRE2013</v>
          </cell>
          <cell r="S60" t="str">
            <v>_PRE2013</v>
          </cell>
          <cell r="T60" t="str">
            <v>_PRE2013</v>
          </cell>
          <cell r="W60" t="str">
            <v>_PRE2013</v>
          </cell>
          <cell r="X60" t="str">
            <v>Retro</v>
          </cell>
          <cell r="Y60" t="str">
            <v>_PRE2013</v>
          </cell>
        </row>
        <row r="61">
          <cell r="B61" t="str">
            <v>Top Daylighting-New</v>
          </cell>
          <cell r="C61" t="str">
            <v>POST2013</v>
          </cell>
          <cell r="D61" t="str">
            <v>POST2013</v>
          </cell>
          <cell r="E61" t="str">
            <v>POST2013</v>
          </cell>
          <cell r="F61" t="str">
            <v>POST2013</v>
          </cell>
          <cell r="G61" t="str">
            <v>POST2013</v>
          </cell>
          <cell r="H61" t="str">
            <v>POST2013</v>
          </cell>
          <cell r="I61" t="str">
            <v>POST2013</v>
          </cell>
          <cell r="J61" t="str">
            <v>POST2013</v>
          </cell>
          <cell r="K61" t="str">
            <v>POST2013</v>
          </cell>
          <cell r="L61" t="str">
            <v>POST2013</v>
          </cell>
          <cell r="M61" t="str">
            <v>POST2013</v>
          </cell>
          <cell r="N61" t="str">
            <v>POST2013</v>
          </cell>
          <cell r="O61" t="str">
            <v>POST2013</v>
          </cell>
          <cell r="P61" t="str">
            <v>POST2013</v>
          </cell>
          <cell r="Q61" t="str">
            <v>POST2013</v>
          </cell>
          <cell r="R61" t="str">
            <v>POST2013</v>
          </cell>
          <cell r="S61" t="str">
            <v>POST2013</v>
          </cell>
          <cell r="T61" t="str">
            <v>POST2013</v>
          </cell>
          <cell r="W61" t="str">
            <v>POST2013</v>
          </cell>
          <cell r="X61" t="str">
            <v>New</v>
          </cell>
          <cell r="Y61" t="str">
            <v>POST2013</v>
          </cell>
        </row>
        <row r="62">
          <cell r="B62" t="str">
            <v>Perimeter Daylighting Controls Advanced-New</v>
          </cell>
          <cell r="C62" t="str">
            <v>POST2013</v>
          </cell>
          <cell r="D62" t="str">
            <v>POST2013</v>
          </cell>
          <cell r="E62" t="str">
            <v>POST2013</v>
          </cell>
          <cell r="F62" t="str">
            <v>POST2013</v>
          </cell>
          <cell r="G62" t="str">
            <v>POST2013</v>
          </cell>
          <cell r="H62" t="str">
            <v>POST2013</v>
          </cell>
          <cell r="I62" t="str">
            <v>POST2013</v>
          </cell>
          <cell r="J62" t="str">
            <v>POST2013</v>
          </cell>
          <cell r="K62" t="str">
            <v>POST2013</v>
          </cell>
          <cell r="L62" t="str">
            <v>POST2013</v>
          </cell>
          <cell r="M62" t="str">
            <v>POST2013</v>
          </cell>
          <cell r="N62" t="str">
            <v>POST2013</v>
          </cell>
          <cell r="O62" t="str">
            <v>POST2013</v>
          </cell>
          <cell r="P62" t="str">
            <v>POST2013</v>
          </cell>
          <cell r="Q62" t="str">
            <v>POST2013</v>
          </cell>
          <cell r="R62" t="str">
            <v>POST2013</v>
          </cell>
          <cell r="S62" t="str">
            <v>POST2013</v>
          </cell>
          <cell r="T62" t="str">
            <v>POST2013</v>
          </cell>
          <cell r="W62" t="str">
            <v>POST2013</v>
          </cell>
          <cell r="X62" t="str">
            <v>New</v>
          </cell>
          <cell r="Y62" t="str">
            <v>POST2013</v>
          </cell>
        </row>
        <row r="63">
          <cell r="B63" t="str">
            <v>Perimeter Daylighting Controls Advanced-NR</v>
          </cell>
          <cell r="C63" t="str">
            <v>POST2013</v>
          </cell>
          <cell r="D63" t="str">
            <v>POST2013</v>
          </cell>
          <cell r="E63" t="str">
            <v>POST2013</v>
          </cell>
          <cell r="F63" t="str">
            <v>POST2013</v>
          </cell>
          <cell r="G63" t="str">
            <v>POST2013</v>
          </cell>
          <cell r="H63" t="str">
            <v>POST2013</v>
          </cell>
          <cell r="I63" t="str">
            <v>POST2013</v>
          </cell>
          <cell r="J63" t="str">
            <v>POST2013</v>
          </cell>
          <cell r="K63" t="str">
            <v>POST2013</v>
          </cell>
          <cell r="L63" t="str">
            <v>POST2013</v>
          </cell>
          <cell r="M63" t="str">
            <v>POST2013</v>
          </cell>
          <cell r="N63" t="str">
            <v>POST2013</v>
          </cell>
          <cell r="O63" t="str">
            <v>POST2013</v>
          </cell>
          <cell r="P63" t="str">
            <v>POST2013</v>
          </cell>
          <cell r="Q63" t="str">
            <v>POST2013</v>
          </cell>
          <cell r="R63" t="str">
            <v>POST2013</v>
          </cell>
          <cell r="S63" t="str">
            <v>POST2013</v>
          </cell>
          <cell r="T63" t="str">
            <v>POST2013</v>
          </cell>
          <cell r="W63" t="str">
            <v>POST2013</v>
          </cell>
          <cell r="X63" t="str">
            <v>NR</v>
          </cell>
          <cell r="Y63" t="str">
            <v>POST2013</v>
          </cell>
        </row>
        <row r="64">
          <cell r="B64" t="str">
            <v>Lighting Controls Interior-New</v>
          </cell>
          <cell r="C64" t="str">
            <v>POST2013</v>
          </cell>
          <cell r="D64" t="str">
            <v>POST2013</v>
          </cell>
          <cell r="E64" t="str">
            <v>POST2013</v>
          </cell>
          <cell r="F64" t="str">
            <v>POST2013</v>
          </cell>
          <cell r="G64" t="str">
            <v>POST2013</v>
          </cell>
          <cell r="H64" t="str">
            <v>POST2013</v>
          </cell>
          <cell r="I64" t="str">
            <v>POST2013</v>
          </cell>
          <cell r="J64" t="str">
            <v>POST2013</v>
          </cell>
          <cell r="K64" t="str">
            <v>POST2013</v>
          </cell>
          <cell r="L64" t="str">
            <v>POST2013</v>
          </cell>
          <cell r="M64" t="str">
            <v>POST2013</v>
          </cell>
          <cell r="N64" t="str">
            <v>POST2013</v>
          </cell>
          <cell r="O64" t="str">
            <v>POST2013</v>
          </cell>
          <cell r="P64" t="str">
            <v>POST2013</v>
          </cell>
          <cell r="Q64" t="str">
            <v>POST2013</v>
          </cell>
          <cell r="R64" t="str">
            <v>POST2013</v>
          </cell>
          <cell r="S64" t="str">
            <v>POST2013</v>
          </cell>
          <cell r="T64" t="str">
            <v>POST2013</v>
          </cell>
          <cell r="W64" t="str">
            <v>POST2013</v>
          </cell>
          <cell r="X64" t="str">
            <v>New</v>
          </cell>
          <cell r="Y64" t="str">
            <v>POST2013</v>
          </cell>
        </row>
        <row r="65">
          <cell r="B65" t="str">
            <v>Lighting Controls Interior-NR</v>
          </cell>
          <cell r="C65" t="str">
            <v>_PRE2013</v>
          </cell>
          <cell r="D65" t="str">
            <v>_PRE2013</v>
          </cell>
          <cell r="E65" t="str">
            <v>_PRE2013</v>
          </cell>
          <cell r="F65" t="str">
            <v>_PRE2013</v>
          </cell>
          <cell r="G65" t="str">
            <v>_PRE2013</v>
          </cell>
          <cell r="H65" t="str">
            <v>_PRE2013</v>
          </cell>
          <cell r="I65" t="str">
            <v>_PRE2013</v>
          </cell>
          <cell r="J65" t="str">
            <v>_PRE2013</v>
          </cell>
          <cell r="K65" t="str">
            <v>_PRE2013</v>
          </cell>
          <cell r="L65" t="str">
            <v>_PRE2013</v>
          </cell>
          <cell r="M65" t="str">
            <v>_PRE2013</v>
          </cell>
          <cell r="N65" t="str">
            <v>_PRE2013</v>
          </cell>
          <cell r="O65" t="str">
            <v>_PRE2013</v>
          </cell>
          <cell r="P65" t="str">
            <v>_PRE2013</v>
          </cell>
          <cell r="Q65" t="str">
            <v>_PRE2013</v>
          </cell>
          <cell r="R65" t="str">
            <v>_PRE2013</v>
          </cell>
          <cell r="S65" t="str">
            <v>_PRE2013</v>
          </cell>
          <cell r="T65" t="str">
            <v>_PRE2013</v>
          </cell>
          <cell r="W65" t="str">
            <v>_PRE2013</v>
          </cell>
          <cell r="X65" t="str">
            <v>NR</v>
          </cell>
          <cell r="Y65" t="str">
            <v>_PRE2013</v>
          </cell>
        </row>
        <row r="66">
          <cell r="B66" t="str">
            <v>Exterior Building Lighting-New</v>
          </cell>
          <cell r="C66" t="str">
            <v>POST2013</v>
          </cell>
          <cell r="D66" t="str">
            <v>POST2013</v>
          </cell>
          <cell r="E66" t="str">
            <v>POST2013</v>
          </cell>
          <cell r="F66" t="str">
            <v>POST2013</v>
          </cell>
          <cell r="G66" t="str">
            <v>POST2013</v>
          </cell>
          <cell r="H66" t="str">
            <v>POST2013</v>
          </cell>
          <cell r="I66" t="str">
            <v>POST2013</v>
          </cell>
          <cell r="J66" t="str">
            <v>POST2013</v>
          </cell>
          <cell r="K66" t="str">
            <v>POST2013</v>
          </cell>
          <cell r="L66" t="str">
            <v>POST2013</v>
          </cell>
          <cell r="M66" t="str">
            <v>POST2013</v>
          </cell>
          <cell r="N66" t="str">
            <v>POST2013</v>
          </cell>
          <cell r="O66" t="str">
            <v>POST2013</v>
          </cell>
          <cell r="P66" t="str">
            <v>POST2013</v>
          </cell>
          <cell r="Q66" t="str">
            <v>POST2013</v>
          </cell>
          <cell r="R66" t="str">
            <v>POST2013</v>
          </cell>
          <cell r="S66" t="str">
            <v>POST2013</v>
          </cell>
          <cell r="T66" t="str">
            <v>POST2013</v>
          </cell>
          <cell r="W66" t="str">
            <v>POST2013</v>
          </cell>
          <cell r="X66" t="str">
            <v>New</v>
          </cell>
          <cell r="Y66" t="str">
            <v>POST2013</v>
          </cell>
        </row>
        <row r="67">
          <cell r="B67" t="str">
            <v>Exterior Building Lighting-NR</v>
          </cell>
          <cell r="C67" t="str">
            <v>POST2013</v>
          </cell>
          <cell r="D67" t="str">
            <v>POST2013</v>
          </cell>
          <cell r="E67" t="str">
            <v>POST2013</v>
          </cell>
          <cell r="F67" t="str">
            <v>POST2013</v>
          </cell>
          <cell r="G67" t="str">
            <v>POST2013</v>
          </cell>
          <cell r="H67" t="str">
            <v>POST2013</v>
          </cell>
          <cell r="I67" t="str">
            <v>POST2013</v>
          </cell>
          <cell r="J67" t="str">
            <v>POST2013</v>
          </cell>
          <cell r="K67" t="str">
            <v>POST2013</v>
          </cell>
          <cell r="L67" t="str">
            <v>POST2013</v>
          </cell>
          <cell r="M67" t="str">
            <v>POST2013</v>
          </cell>
          <cell r="N67" t="str">
            <v>POST2013</v>
          </cell>
          <cell r="O67" t="str">
            <v>POST2013</v>
          </cell>
          <cell r="P67" t="str">
            <v>POST2013</v>
          </cell>
          <cell r="Q67" t="str">
            <v>POST2013</v>
          </cell>
          <cell r="R67" t="str">
            <v>POST2013</v>
          </cell>
          <cell r="S67" t="str">
            <v>POST2013</v>
          </cell>
          <cell r="T67" t="str">
            <v>POST2013</v>
          </cell>
          <cell r="W67" t="str">
            <v>POST2013</v>
          </cell>
          <cell r="X67" t="str">
            <v>NR</v>
          </cell>
          <cell r="Y67" t="str">
            <v>POST2013</v>
          </cell>
        </row>
        <row r="68">
          <cell r="B68" t="str">
            <v>Street and Roadway Lighting-New</v>
          </cell>
          <cell r="C68" t="str">
            <v>POST2013</v>
          </cell>
          <cell r="D68" t="str">
            <v>POST2013</v>
          </cell>
          <cell r="E68" t="str">
            <v>POST2013</v>
          </cell>
          <cell r="F68" t="str">
            <v>POST2013</v>
          </cell>
          <cell r="G68" t="str">
            <v>POST2013</v>
          </cell>
          <cell r="H68" t="str">
            <v>POST2013</v>
          </cell>
          <cell r="I68" t="str">
            <v>POST2013</v>
          </cell>
          <cell r="J68" t="str">
            <v>POST2013</v>
          </cell>
          <cell r="K68" t="str">
            <v>POST2013</v>
          </cell>
          <cell r="L68" t="str">
            <v>POST2013</v>
          </cell>
          <cell r="M68" t="str">
            <v>POST2013</v>
          </cell>
          <cell r="N68" t="str">
            <v>POST2013</v>
          </cell>
          <cell r="O68" t="str">
            <v>POST2013</v>
          </cell>
          <cell r="P68" t="str">
            <v>POST2013</v>
          </cell>
          <cell r="Q68" t="str">
            <v>POST2013</v>
          </cell>
          <cell r="R68" t="str">
            <v>POST2013</v>
          </cell>
          <cell r="S68" t="str">
            <v>POST2013</v>
          </cell>
          <cell r="T68" t="str">
            <v>POST2013</v>
          </cell>
          <cell r="W68" t="str">
            <v>POST2013</v>
          </cell>
          <cell r="X68" t="str">
            <v>New</v>
          </cell>
          <cell r="Y68" t="str">
            <v>POST2013</v>
          </cell>
        </row>
        <row r="69">
          <cell r="B69" t="str">
            <v>Street and Roadway Lighting-NR</v>
          </cell>
          <cell r="C69" t="str">
            <v>POST2013</v>
          </cell>
          <cell r="D69" t="str">
            <v>POST2013</v>
          </cell>
          <cell r="E69" t="str">
            <v>POST2013</v>
          </cell>
          <cell r="F69" t="str">
            <v>POST2013</v>
          </cell>
          <cell r="G69" t="str">
            <v>POST2013</v>
          </cell>
          <cell r="H69" t="str">
            <v>POST2013</v>
          </cell>
          <cell r="I69" t="str">
            <v>POST2013</v>
          </cell>
          <cell r="J69" t="str">
            <v>POST2013</v>
          </cell>
          <cell r="K69" t="str">
            <v>POST2013</v>
          </cell>
          <cell r="L69" t="str">
            <v>POST2013</v>
          </cell>
          <cell r="M69" t="str">
            <v>POST2013</v>
          </cell>
          <cell r="N69" t="str">
            <v>POST2013</v>
          </cell>
          <cell r="O69" t="str">
            <v>POST2013</v>
          </cell>
          <cell r="P69" t="str">
            <v>POST2013</v>
          </cell>
          <cell r="Q69" t="str">
            <v>POST2013</v>
          </cell>
          <cell r="R69" t="str">
            <v>POST2013</v>
          </cell>
          <cell r="S69" t="str">
            <v>POST2013</v>
          </cell>
          <cell r="T69" t="str">
            <v>POST2013</v>
          </cell>
          <cell r="W69" t="str">
            <v>POST2013</v>
          </cell>
          <cell r="X69" t="str">
            <v>NR</v>
          </cell>
          <cell r="Y69" t="str">
            <v>POST2013</v>
          </cell>
        </row>
        <row r="70">
          <cell r="B70" t="str">
            <v>Parking Lighting-New</v>
          </cell>
          <cell r="C70" t="str">
            <v>POST2013</v>
          </cell>
          <cell r="D70" t="str">
            <v>POST2013</v>
          </cell>
          <cell r="E70" t="str">
            <v>POST2013</v>
          </cell>
          <cell r="F70" t="str">
            <v>POST2013</v>
          </cell>
          <cell r="G70" t="str">
            <v>POST2013</v>
          </cell>
          <cell r="H70" t="str">
            <v>POST2013</v>
          </cell>
          <cell r="I70" t="str">
            <v>POST2013</v>
          </cell>
          <cell r="J70" t="str">
            <v>POST2013</v>
          </cell>
          <cell r="K70" t="str">
            <v>POST2013</v>
          </cell>
          <cell r="L70" t="str">
            <v>POST2013</v>
          </cell>
          <cell r="M70" t="str">
            <v>POST2013</v>
          </cell>
          <cell r="N70" t="str">
            <v>POST2013</v>
          </cell>
          <cell r="O70" t="str">
            <v>POST2013</v>
          </cell>
          <cell r="P70" t="str">
            <v>POST2013</v>
          </cell>
          <cell r="Q70" t="str">
            <v>POST2013</v>
          </cell>
          <cell r="R70" t="str">
            <v>POST2013</v>
          </cell>
          <cell r="S70" t="str">
            <v>POST2013</v>
          </cell>
          <cell r="T70" t="str">
            <v>POST2013</v>
          </cell>
          <cell r="W70" t="str">
            <v>POST2013</v>
          </cell>
          <cell r="X70" t="str">
            <v>New</v>
          </cell>
          <cell r="Y70" t="str">
            <v>POST2013</v>
          </cell>
        </row>
        <row r="71">
          <cell r="B71" t="str">
            <v>Parking Lighting-NR</v>
          </cell>
          <cell r="C71" t="str">
            <v>POST2013</v>
          </cell>
          <cell r="D71" t="str">
            <v>POST2013</v>
          </cell>
          <cell r="E71" t="str">
            <v>POST2013</v>
          </cell>
          <cell r="F71" t="str">
            <v>POST2013</v>
          </cell>
          <cell r="G71" t="str">
            <v>POST2013</v>
          </cell>
          <cell r="H71" t="str">
            <v>POST2013</v>
          </cell>
          <cell r="I71" t="str">
            <v>POST2013</v>
          </cell>
          <cell r="J71" t="str">
            <v>POST2013</v>
          </cell>
          <cell r="K71" t="str">
            <v>POST2013</v>
          </cell>
          <cell r="L71" t="str">
            <v>POST2013</v>
          </cell>
          <cell r="M71" t="str">
            <v>POST2013</v>
          </cell>
          <cell r="N71" t="str">
            <v>POST2013</v>
          </cell>
          <cell r="O71" t="str">
            <v>POST2013</v>
          </cell>
          <cell r="P71" t="str">
            <v>POST2013</v>
          </cell>
          <cell r="Q71" t="str">
            <v>POST2013</v>
          </cell>
          <cell r="R71" t="str">
            <v>POST2013</v>
          </cell>
          <cell r="S71" t="str">
            <v>POST2013</v>
          </cell>
          <cell r="T71" t="str">
            <v>POST2013</v>
          </cell>
          <cell r="W71" t="str">
            <v>POST2013</v>
          </cell>
          <cell r="X71" t="str">
            <v>NR</v>
          </cell>
          <cell r="Y71" t="str">
            <v>POST2013</v>
          </cell>
        </row>
        <row r="72">
          <cell r="B72" t="str">
            <v>Luminaire Level Lighting Controls-Retro</v>
          </cell>
          <cell r="C72" t="str">
            <v>_PRE2013</v>
          </cell>
          <cell r="D72" t="str">
            <v>_PRE2013</v>
          </cell>
          <cell r="E72" t="str">
            <v>_PRE2013</v>
          </cell>
          <cell r="F72" t="str">
            <v>_PRE2013</v>
          </cell>
          <cell r="G72" t="str">
            <v>_PRE2013</v>
          </cell>
          <cell r="H72" t="str">
            <v>_PRE2013</v>
          </cell>
          <cell r="I72" t="str">
            <v>_PRE2013</v>
          </cell>
          <cell r="J72" t="str">
            <v>_PRE2013</v>
          </cell>
          <cell r="K72" t="str">
            <v>_PRE2013</v>
          </cell>
          <cell r="L72" t="str">
            <v>_PRE2013</v>
          </cell>
          <cell r="M72" t="str">
            <v>_PRE2013</v>
          </cell>
          <cell r="N72" t="str">
            <v>_PRE2013</v>
          </cell>
          <cell r="O72" t="str">
            <v>_PRE2013</v>
          </cell>
          <cell r="P72" t="str">
            <v>_PRE2013</v>
          </cell>
          <cell r="Q72" t="str">
            <v>_PRE2013</v>
          </cell>
          <cell r="R72" t="str">
            <v>_PRE2013</v>
          </cell>
          <cell r="S72" t="str">
            <v>_PRE2013</v>
          </cell>
          <cell r="T72" t="str">
            <v>_PRE2013</v>
          </cell>
          <cell r="W72" t="str">
            <v>_PRE2013</v>
          </cell>
          <cell r="X72" t="str">
            <v>Retro</v>
          </cell>
          <cell r="Y72" t="str">
            <v>_PRE2013</v>
          </cell>
        </row>
        <row r="73">
          <cell r="B73" t="str">
            <v>ECM-VAV-New</v>
          </cell>
          <cell r="C73" t="str">
            <v>POST2013</v>
          </cell>
          <cell r="D73" t="str">
            <v>POST2013</v>
          </cell>
          <cell r="E73" t="str">
            <v>POST2013</v>
          </cell>
          <cell r="F73" t="str">
            <v>POST2013</v>
          </cell>
          <cell r="G73" t="str">
            <v>POST2013</v>
          </cell>
          <cell r="H73" t="str">
            <v>POST2013</v>
          </cell>
          <cell r="I73" t="str">
            <v>POST2013</v>
          </cell>
          <cell r="J73" t="str">
            <v>POST2013</v>
          </cell>
          <cell r="K73" t="str">
            <v>POST2013</v>
          </cell>
          <cell r="L73" t="str">
            <v>POST2013</v>
          </cell>
          <cell r="M73" t="str">
            <v>POST2013</v>
          </cell>
          <cell r="N73" t="str">
            <v>POST2013</v>
          </cell>
          <cell r="O73" t="str">
            <v>POST2013</v>
          </cell>
          <cell r="P73" t="str">
            <v>POST2013</v>
          </cell>
          <cell r="Q73" t="str">
            <v>POST2013</v>
          </cell>
          <cell r="R73" t="str">
            <v>POST2013</v>
          </cell>
          <cell r="S73" t="str">
            <v>POST2013</v>
          </cell>
          <cell r="T73" t="str">
            <v>POST2013</v>
          </cell>
          <cell r="W73" t="str">
            <v>POST2013</v>
          </cell>
          <cell r="X73" t="str">
            <v>New</v>
          </cell>
          <cell r="Y73" t="str">
            <v>POST2013</v>
          </cell>
        </row>
        <row r="74">
          <cell r="B74" t="str">
            <v>ECM-VAV-NR</v>
          </cell>
          <cell r="C74" t="str">
            <v>POST2013</v>
          </cell>
          <cell r="D74" t="str">
            <v>POST2013</v>
          </cell>
          <cell r="E74" t="str">
            <v>POST2013</v>
          </cell>
          <cell r="F74" t="str">
            <v>POST2013</v>
          </cell>
          <cell r="G74" t="str">
            <v>POST2013</v>
          </cell>
          <cell r="H74" t="str">
            <v>POST2013</v>
          </cell>
          <cell r="I74" t="str">
            <v>POST2013</v>
          </cell>
          <cell r="J74" t="str">
            <v>POST2013</v>
          </cell>
          <cell r="K74" t="str">
            <v>POST2013</v>
          </cell>
          <cell r="L74" t="str">
            <v>POST2013</v>
          </cell>
          <cell r="M74" t="str">
            <v>POST2013</v>
          </cell>
          <cell r="N74" t="str">
            <v>POST2013</v>
          </cell>
          <cell r="O74" t="str">
            <v>POST2013</v>
          </cell>
          <cell r="P74" t="str">
            <v>POST2013</v>
          </cell>
          <cell r="Q74" t="str">
            <v>POST2013</v>
          </cell>
          <cell r="R74" t="str">
            <v>POST2013</v>
          </cell>
          <cell r="S74" t="str">
            <v>POST2013</v>
          </cell>
          <cell r="T74" t="str">
            <v>POST2013</v>
          </cell>
          <cell r="W74" t="str">
            <v>POST2013</v>
          </cell>
          <cell r="X74" t="str">
            <v>NR</v>
          </cell>
          <cell r="Y74" t="str">
            <v>POST2013</v>
          </cell>
        </row>
        <row r="75">
          <cell r="B75" t="str">
            <v>Pool pumps-Retro</v>
          </cell>
          <cell r="C75" t="str">
            <v>_PRE2013</v>
          </cell>
          <cell r="D75" t="str">
            <v>_PRE2013</v>
          </cell>
          <cell r="E75" t="str">
            <v>_PRE2013</v>
          </cell>
          <cell r="F75" t="str">
            <v>_PRE2013</v>
          </cell>
          <cell r="G75" t="str">
            <v>_PRE2013</v>
          </cell>
          <cell r="H75" t="str">
            <v>_PRE2013</v>
          </cell>
          <cell r="I75" t="str">
            <v>_PRE2013</v>
          </cell>
          <cell r="J75" t="str">
            <v>_PRE2013</v>
          </cell>
          <cell r="K75" t="str">
            <v>_PRE2013</v>
          </cell>
          <cell r="L75" t="str">
            <v>_PRE2013</v>
          </cell>
          <cell r="M75" t="str">
            <v>_PRE2013</v>
          </cell>
          <cell r="N75" t="str">
            <v>_PRE2013</v>
          </cell>
          <cell r="O75" t="str">
            <v>_PRE2013</v>
          </cell>
          <cell r="P75" t="str">
            <v>_PRE2013</v>
          </cell>
          <cell r="Q75" t="str">
            <v>_PRE2013</v>
          </cell>
          <cell r="R75" t="str">
            <v>_PRE2013</v>
          </cell>
          <cell r="S75" t="str">
            <v>_PRE2013</v>
          </cell>
          <cell r="T75" t="str">
            <v>_PRE2013</v>
          </cell>
          <cell r="W75" t="str">
            <v>_PRE2013</v>
          </cell>
          <cell r="X75" t="str">
            <v>Retro</v>
          </cell>
          <cell r="Y75" t="str">
            <v>_PRE2013</v>
          </cell>
        </row>
        <row r="76">
          <cell r="B76" t="str">
            <v>MotorsRewind-New</v>
          </cell>
          <cell r="C76" t="str">
            <v>_PRE2013</v>
          </cell>
          <cell r="D76" t="str">
            <v>_PRE2013</v>
          </cell>
          <cell r="E76" t="str">
            <v>_PRE2013</v>
          </cell>
          <cell r="F76" t="str">
            <v>_PRE2013</v>
          </cell>
          <cell r="G76" t="str">
            <v>_PRE2013</v>
          </cell>
          <cell r="H76" t="str">
            <v>_PRE2013</v>
          </cell>
          <cell r="I76" t="str">
            <v>_PRE2013</v>
          </cell>
          <cell r="J76" t="str">
            <v>_PRE2013</v>
          </cell>
          <cell r="K76" t="str">
            <v>_PRE2013</v>
          </cell>
          <cell r="L76" t="str">
            <v>_PRE2013</v>
          </cell>
          <cell r="M76" t="str">
            <v>_PRE2013</v>
          </cell>
          <cell r="N76" t="str">
            <v>_PRE2013</v>
          </cell>
          <cell r="O76" t="str">
            <v>_PRE2013</v>
          </cell>
          <cell r="P76" t="str">
            <v>_PRE2013</v>
          </cell>
          <cell r="Q76" t="str">
            <v>_PRE2013</v>
          </cell>
          <cell r="R76" t="str">
            <v>_PRE2013</v>
          </cell>
          <cell r="S76" t="str">
            <v>_PRE2013</v>
          </cell>
          <cell r="T76" t="str">
            <v>_PRE2013</v>
          </cell>
          <cell r="W76" t="str">
            <v>_PRE2013</v>
          </cell>
          <cell r="X76" t="str">
            <v>New</v>
          </cell>
          <cell r="Y76" t="str">
            <v>POST2013</v>
          </cell>
        </row>
        <row r="77">
          <cell r="B77" t="str">
            <v>MotorsRewind-NR</v>
          </cell>
          <cell r="C77" t="str">
            <v>POST2013</v>
          </cell>
          <cell r="D77" t="str">
            <v>POST2013</v>
          </cell>
          <cell r="E77" t="str">
            <v>POST2013</v>
          </cell>
          <cell r="F77" t="str">
            <v>POST2013</v>
          </cell>
          <cell r="G77" t="str">
            <v>POST2013</v>
          </cell>
          <cell r="H77" t="str">
            <v>POST2013</v>
          </cell>
          <cell r="I77" t="str">
            <v>POST2013</v>
          </cell>
          <cell r="J77" t="str">
            <v>POST2013</v>
          </cell>
          <cell r="K77" t="str">
            <v>POST2013</v>
          </cell>
          <cell r="L77" t="str">
            <v>POST2013</v>
          </cell>
          <cell r="M77" t="str">
            <v>POST2013</v>
          </cell>
          <cell r="N77" t="str">
            <v>POST2013</v>
          </cell>
          <cell r="O77" t="str">
            <v>POST2013</v>
          </cell>
          <cell r="P77" t="str">
            <v>POST2013</v>
          </cell>
          <cell r="Q77" t="str">
            <v>POST2013</v>
          </cell>
          <cell r="R77" t="str">
            <v>POST2013</v>
          </cell>
          <cell r="S77" t="str">
            <v>POST2013</v>
          </cell>
          <cell r="T77" t="str">
            <v>POST2013</v>
          </cell>
          <cell r="W77" t="str">
            <v>POST2013</v>
          </cell>
          <cell r="X77" t="str">
            <v>NR</v>
          </cell>
          <cell r="Y77" t="str">
            <v>POST2013</v>
          </cell>
        </row>
        <row r="78">
          <cell r="B78" t="str">
            <v>Municipal Sewage Treatment-Retro</v>
          </cell>
          <cell r="C78" t="str">
            <v>_PRE2013</v>
          </cell>
          <cell r="D78" t="str">
            <v>_PRE2013</v>
          </cell>
          <cell r="E78" t="str">
            <v>_PRE2013</v>
          </cell>
          <cell r="F78" t="str">
            <v>_PRE2013</v>
          </cell>
          <cell r="G78" t="str">
            <v>_PRE2013</v>
          </cell>
          <cell r="H78" t="str">
            <v>_PRE2013</v>
          </cell>
          <cell r="I78" t="str">
            <v>_PRE2013</v>
          </cell>
          <cell r="J78" t="str">
            <v>_PRE2013</v>
          </cell>
          <cell r="K78" t="str">
            <v>_PRE2013</v>
          </cell>
          <cell r="L78" t="str">
            <v>_PRE2013</v>
          </cell>
          <cell r="M78" t="str">
            <v>_PRE2013</v>
          </cell>
          <cell r="N78" t="str">
            <v>_PRE2013</v>
          </cell>
          <cell r="O78" t="str">
            <v>_PRE2013</v>
          </cell>
          <cell r="P78" t="str">
            <v>_PRE2013</v>
          </cell>
          <cell r="Q78" t="str">
            <v>_PRE2013</v>
          </cell>
          <cell r="R78" t="str">
            <v>_PRE2013</v>
          </cell>
          <cell r="S78" t="str">
            <v>_PRE2013</v>
          </cell>
          <cell r="T78" t="str">
            <v>_PRE2013</v>
          </cell>
          <cell r="W78" t="str">
            <v>_PRE2013</v>
          </cell>
          <cell r="X78" t="str">
            <v>Retro</v>
          </cell>
          <cell r="Y78" t="str">
            <v>_PRE2013</v>
          </cell>
        </row>
        <row r="79">
          <cell r="B79" t="str">
            <v>Municipal Water Supply-Retro</v>
          </cell>
          <cell r="C79" t="str">
            <v>_PRE2013</v>
          </cell>
          <cell r="D79" t="str">
            <v>_PRE2013</v>
          </cell>
          <cell r="E79" t="str">
            <v>_PRE2013</v>
          </cell>
          <cell r="F79" t="str">
            <v>_PRE2013</v>
          </cell>
          <cell r="G79" t="str">
            <v>_PRE2013</v>
          </cell>
          <cell r="H79" t="str">
            <v>_PRE2013</v>
          </cell>
          <cell r="I79" t="str">
            <v>_PRE2013</v>
          </cell>
          <cell r="J79" t="str">
            <v>_PRE2013</v>
          </cell>
          <cell r="K79" t="str">
            <v>_PRE2013</v>
          </cell>
          <cell r="L79" t="str">
            <v>_PRE2013</v>
          </cell>
          <cell r="M79" t="str">
            <v>_PRE2013</v>
          </cell>
          <cell r="N79" t="str">
            <v>_PRE2013</v>
          </cell>
          <cell r="O79" t="str">
            <v>_PRE2013</v>
          </cell>
          <cell r="P79" t="str">
            <v>_PRE2013</v>
          </cell>
          <cell r="Q79" t="str">
            <v>_PRE2013</v>
          </cell>
          <cell r="R79" t="str">
            <v>_PRE2013</v>
          </cell>
          <cell r="S79" t="str">
            <v>_PRE2013</v>
          </cell>
          <cell r="T79" t="str">
            <v>_PRE2013</v>
          </cell>
          <cell r="W79" t="str">
            <v>_PRE2013</v>
          </cell>
          <cell r="X79" t="str">
            <v>Retro</v>
          </cell>
          <cell r="Y79" t="str">
            <v>_PRE2013</v>
          </cell>
        </row>
        <row r="80">
          <cell r="B80" t="str">
            <v>Engine Generator Block Heaters-Retro</v>
          </cell>
          <cell r="C80" t="str">
            <v>_PRE2013</v>
          </cell>
          <cell r="D80" t="str">
            <v>_PRE2013</v>
          </cell>
          <cell r="E80" t="str">
            <v>_PRE2013</v>
          </cell>
          <cell r="F80" t="str">
            <v>_PRE2013</v>
          </cell>
          <cell r="G80" t="str">
            <v>_PRE2013</v>
          </cell>
          <cell r="H80" t="str">
            <v>_PRE2013</v>
          </cell>
          <cell r="I80" t="str">
            <v>_PRE2013</v>
          </cell>
          <cell r="J80" t="str">
            <v>_PRE2013</v>
          </cell>
          <cell r="K80" t="str">
            <v>_PRE2013</v>
          </cell>
          <cell r="L80" t="str">
            <v>_PRE2013</v>
          </cell>
          <cell r="M80" t="str">
            <v>_PRE2013</v>
          </cell>
          <cell r="N80" t="str">
            <v>_PRE2013</v>
          </cell>
          <cell r="O80" t="str">
            <v>_PRE2013</v>
          </cell>
          <cell r="P80" t="str">
            <v>_PRE2013</v>
          </cell>
          <cell r="Q80" t="str">
            <v>_PRE2013</v>
          </cell>
          <cell r="R80" t="str">
            <v>_PRE2013</v>
          </cell>
          <cell r="S80" t="str">
            <v>_PRE2013</v>
          </cell>
          <cell r="T80" t="str">
            <v>_PRE2013</v>
          </cell>
          <cell r="W80" t="str">
            <v>_PRE2013</v>
          </cell>
          <cell r="X80" t="str">
            <v>Retro</v>
          </cell>
          <cell r="Y80" t="str">
            <v>_PRE2013</v>
          </cell>
        </row>
        <row r="81">
          <cell r="B81" t="str">
            <v>Grocery Refrigeration Bundle-Retro</v>
          </cell>
          <cell r="C81" t="str">
            <v>_PRE2013</v>
          </cell>
          <cell r="D81" t="str">
            <v>_PRE2013</v>
          </cell>
          <cell r="E81" t="str">
            <v>_PRE2013</v>
          </cell>
          <cell r="F81" t="str">
            <v>_PRE2013</v>
          </cell>
          <cell r="G81" t="str">
            <v>_PRE2013</v>
          </cell>
          <cell r="H81" t="str">
            <v>_PRE2013</v>
          </cell>
          <cell r="I81" t="str">
            <v>_PRE2013</v>
          </cell>
          <cell r="J81" t="str">
            <v>_PRE2013</v>
          </cell>
          <cell r="K81" t="str">
            <v>_PRE2013</v>
          </cell>
          <cell r="L81" t="str">
            <v>_PRE2013</v>
          </cell>
          <cell r="M81" t="str">
            <v>_PRE2013</v>
          </cell>
          <cell r="N81" t="str">
            <v>_PRE2013</v>
          </cell>
          <cell r="O81" t="str">
            <v>_PRE2013</v>
          </cell>
          <cell r="P81" t="str">
            <v>_PRE2013</v>
          </cell>
          <cell r="Q81" t="str">
            <v>_PRE2013</v>
          </cell>
          <cell r="R81" t="str">
            <v>_PRE2013</v>
          </cell>
          <cell r="S81" t="str">
            <v>_PRE2013</v>
          </cell>
          <cell r="T81" t="str">
            <v>_PRE2013</v>
          </cell>
          <cell r="W81" t="str">
            <v>_PRE2013</v>
          </cell>
          <cell r="X81" t="str">
            <v>Retro</v>
          </cell>
          <cell r="Y81" t="str">
            <v>_PRE2013</v>
          </cell>
        </row>
        <row r="82">
          <cell r="B82" t="str">
            <v>Packaged Refrigeration Equipment-New</v>
          </cell>
          <cell r="C82" t="str">
            <v>POST2013</v>
          </cell>
          <cell r="D82" t="str">
            <v>POST2013</v>
          </cell>
          <cell r="E82" t="str">
            <v>POST2013</v>
          </cell>
          <cell r="F82" t="str">
            <v>POST2013</v>
          </cell>
          <cell r="G82" t="str">
            <v>POST2013</v>
          </cell>
          <cell r="H82" t="str">
            <v>POST2013</v>
          </cell>
          <cell r="I82" t="str">
            <v>POST2013</v>
          </cell>
          <cell r="J82" t="str">
            <v>POST2013</v>
          </cell>
          <cell r="K82" t="str">
            <v>POST2013</v>
          </cell>
          <cell r="L82" t="str">
            <v>POST2013</v>
          </cell>
          <cell r="M82" t="str">
            <v>POST2013</v>
          </cell>
          <cell r="N82" t="str">
            <v>POST2013</v>
          </cell>
          <cell r="O82" t="str">
            <v>POST2013</v>
          </cell>
          <cell r="P82" t="str">
            <v>POST2013</v>
          </cell>
          <cell r="Q82" t="str">
            <v>POST2013</v>
          </cell>
          <cell r="R82" t="str">
            <v>POST2013</v>
          </cell>
          <cell r="S82" t="str">
            <v>POST2013</v>
          </cell>
          <cell r="T82" t="str">
            <v>POST2013</v>
          </cell>
          <cell r="W82" t="str">
            <v>POST2013</v>
          </cell>
          <cell r="X82" t="str">
            <v>New</v>
          </cell>
          <cell r="Y82" t="str">
            <v>POST2013</v>
          </cell>
        </row>
        <row r="83">
          <cell r="B83" t="str">
            <v>Appliances - Freezers-NR</v>
          </cell>
          <cell r="C83" t="str">
            <v>POST2013</v>
          </cell>
          <cell r="D83" t="str">
            <v>POST2013</v>
          </cell>
          <cell r="E83" t="str">
            <v>POST2013</v>
          </cell>
          <cell r="F83" t="str">
            <v>POST2013</v>
          </cell>
          <cell r="G83" t="str">
            <v>POST2013</v>
          </cell>
          <cell r="H83" t="str">
            <v>POST2013</v>
          </cell>
          <cell r="I83" t="str">
            <v>POST2013</v>
          </cell>
          <cell r="J83" t="str">
            <v>POST2013</v>
          </cell>
          <cell r="K83" t="str">
            <v>POST2013</v>
          </cell>
          <cell r="L83" t="str">
            <v>POST2013</v>
          </cell>
          <cell r="M83" t="str">
            <v>POST2013</v>
          </cell>
          <cell r="N83" t="str">
            <v>POST2013</v>
          </cell>
          <cell r="O83" t="str">
            <v>POST2013</v>
          </cell>
          <cell r="P83" t="str">
            <v>POST2013</v>
          </cell>
          <cell r="Q83" t="str">
            <v>POST2013</v>
          </cell>
          <cell r="R83" t="str">
            <v>POST2013</v>
          </cell>
          <cell r="S83" t="str">
            <v>POST2013</v>
          </cell>
          <cell r="T83" t="str">
            <v>POST2013</v>
          </cell>
          <cell r="W83" t="str">
            <v>POST2013</v>
          </cell>
          <cell r="X83" t="str">
            <v>NR</v>
          </cell>
          <cell r="Y83" t="str">
            <v>POST2013</v>
          </cell>
        </row>
        <row r="84">
          <cell r="B84" t="str">
            <v>Appliances - Refrigerators-NR</v>
          </cell>
          <cell r="C84" t="str">
            <v>POST2013</v>
          </cell>
          <cell r="D84" t="str">
            <v>POST2013</v>
          </cell>
          <cell r="E84" t="str">
            <v>POST2013</v>
          </cell>
          <cell r="F84" t="str">
            <v>POST2013</v>
          </cell>
          <cell r="G84" t="str">
            <v>POST2013</v>
          </cell>
          <cell r="H84" t="str">
            <v>POST2013</v>
          </cell>
          <cell r="I84" t="str">
            <v>POST2013</v>
          </cell>
          <cell r="J84" t="str">
            <v>POST2013</v>
          </cell>
          <cell r="K84" t="str">
            <v>POST2013</v>
          </cell>
          <cell r="L84" t="str">
            <v>POST2013</v>
          </cell>
          <cell r="M84" t="str">
            <v>POST2013</v>
          </cell>
          <cell r="N84" t="str">
            <v>POST2013</v>
          </cell>
          <cell r="O84" t="str">
            <v>POST2013</v>
          </cell>
          <cell r="P84" t="str">
            <v>POST2013</v>
          </cell>
          <cell r="Q84" t="str">
            <v>POST2013</v>
          </cell>
          <cell r="R84" t="str">
            <v>POST2013</v>
          </cell>
          <cell r="S84" t="str">
            <v>POST2013</v>
          </cell>
          <cell r="T84" t="str">
            <v>POST2013</v>
          </cell>
          <cell r="W84" t="str">
            <v>POST2013</v>
          </cell>
          <cell r="X84" t="str">
            <v>NR</v>
          </cell>
          <cell r="Y84" t="str">
            <v>POST2013</v>
          </cell>
        </row>
        <row r="85">
          <cell r="B85" t="str">
            <v>Water Cooler Controls-Retro</v>
          </cell>
          <cell r="C85" t="str">
            <v>_PRE2013</v>
          </cell>
          <cell r="D85" t="str">
            <v>_PRE2013</v>
          </cell>
          <cell r="E85" t="str">
            <v>_PRE2013</v>
          </cell>
          <cell r="F85" t="str">
            <v>_PRE2013</v>
          </cell>
          <cell r="G85" t="str">
            <v>_PRE2013</v>
          </cell>
          <cell r="H85" t="str">
            <v>_PRE2013</v>
          </cell>
          <cell r="I85" t="str">
            <v>_PRE2013</v>
          </cell>
          <cell r="J85" t="str">
            <v>_PRE2013</v>
          </cell>
          <cell r="K85" t="str">
            <v>_PRE2013</v>
          </cell>
          <cell r="L85" t="str">
            <v>_PRE2013</v>
          </cell>
          <cell r="M85" t="str">
            <v>_PRE2013</v>
          </cell>
          <cell r="N85" t="str">
            <v>_PRE2013</v>
          </cell>
          <cell r="O85" t="str">
            <v>_PRE2013</v>
          </cell>
          <cell r="P85" t="str">
            <v>_PRE2013</v>
          </cell>
          <cell r="Q85" t="str">
            <v>_PRE2013</v>
          </cell>
          <cell r="R85" t="str">
            <v>_PRE2013</v>
          </cell>
          <cell r="S85" t="str">
            <v>_PRE2013</v>
          </cell>
          <cell r="T85" t="str">
            <v>_PRE2013</v>
          </cell>
          <cell r="W85" t="str">
            <v>_PRE2013</v>
          </cell>
          <cell r="X85" t="str">
            <v>Retro</v>
          </cell>
          <cell r="Y85" t="str">
            <v>_PRE2013</v>
          </cell>
        </row>
        <row r="86">
          <cell r="B86" t="str">
            <v>WHTanks-New</v>
          </cell>
          <cell r="C86" t="str">
            <v>POST2013</v>
          </cell>
          <cell r="D86" t="str">
            <v>POST2013</v>
          </cell>
          <cell r="E86" t="str">
            <v>POST2013</v>
          </cell>
          <cell r="F86" t="str">
            <v>POST2013</v>
          </cell>
          <cell r="G86" t="str">
            <v>POST2013</v>
          </cell>
          <cell r="H86" t="str">
            <v>POST2013</v>
          </cell>
          <cell r="I86" t="str">
            <v>POST2013</v>
          </cell>
          <cell r="J86" t="str">
            <v>POST2013</v>
          </cell>
          <cell r="K86" t="str">
            <v>POST2013</v>
          </cell>
          <cell r="L86" t="str">
            <v>POST2013</v>
          </cell>
          <cell r="M86" t="str">
            <v>POST2013</v>
          </cell>
          <cell r="N86" t="str">
            <v>POST2013</v>
          </cell>
          <cell r="O86" t="str">
            <v>POST2013</v>
          </cell>
          <cell r="P86" t="str">
            <v>POST2013</v>
          </cell>
          <cell r="Q86" t="str">
            <v>POST2013</v>
          </cell>
          <cell r="R86" t="str">
            <v>POST2013</v>
          </cell>
          <cell r="S86" t="str">
            <v>POST2013</v>
          </cell>
          <cell r="T86" t="str">
            <v>POST2013</v>
          </cell>
          <cell r="W86" t="str">
            <v>POST2013</v>
          </cell>
          <cell r="X86" t="str">
            <v>New</v>
          </cell>
          <cell r="Y86" t="str">
            <v>POST2013</v>
          </cell>
        </row>
        <row r="87">
          <cell r="B87" t="str">
            <v>WHTanks-NR</v>
          </cell>
          <cell r="C87" t="str">
            <v>_PRE2013</v>
          </cell>
          <cell r="D87" t="str">
            <v>_PRE2013</v>
          </cell>
          <cell r="E87" t="str">
            <v>_PRE2013</v>
          </cell>
          <cell r="F87" t="str">
            <v>_PRE2013</v>
          </cell>
          <cell r="G87" t="str">
            <v>_PRE2013</v>
          </cell>
          <cell r="H87" t="str">
            <v>_PRE2013</v>
          </cell>
          <cell r="I87" t="str">
            <v>_PRE2013</v>
          </cell>
          <cell r="J87" t="str">
            <v>_PRE2013</v>
          </cell>
          <cell r="K87" t="str">
            <v>_PRE2013</v>
          </cell>
          <cell r="L87" t="str">
            <v>_PRE2013</v>
          </cell>
          <cell r="M87" t="str">
            <v>_PRE2013</v>
          </cell>
          <cell r="N87" t="str">
            <v>_PRE2013</v>
          </cell>
          <cell r="O87" t="str">
            <v>_PRE2013</v>
          </cell>
          <cell r="P87" t="str">
            <v>_PRE2013</v>
          </cell>
          <cell r="Q87" t="str">
            <v>_PRE2013</v>
          </cell>
          <cell r="R87" t="str">
            <v>_PRE2013</v>
          </cell>
          <cell r="S87" t="str">
            <v>_PRE2013</v>
          </cell>
          <cell r="T87" t="str">
            <v>_PRE2013</v>
          </cell>
          <cell r="W87" t="str">
            <v>_PRE2013</v>
          </cell>
          <cell r="X87" t="str">
            <v>NR</v>
          </cell>
          <cell r="Y87" t="str">
            <v>POST2013</v>
          </cell>
        </row>
        <row r="88">
          <cell r="B88" t="str">
            <v>Appliances - Clothes Washers-NR</v>
          </cell>
          <cell r="C88" t="str">
            <v>POST2013</v>
          </cell>
          <cell r="D88" t="str">
            <v>POST2013</v>
          </cell>
          <cell r="E88" t="str">
            <v>POST2013</v>
          </cell>
          <cell r="F88" t="str">
            <v>POST2013</v>
          </cell>
          <cell r="G88" t="str">
            <v>POST2013</v>
          </cell>
          <cell r="H88" t="str">
            <v>POST2013</v>
          </cell>
          <cell r="I88" t="str">
            <v>POST2013</v>
          </cell>
          <cell r="J88" t="str">
            <v>POST2013</v>
          </cell>
          <cell r="K88" t="str">
            <v>POST2013</v>
          </cell>
          <cell r="L88" t="str">
            <v>POST2013</v>
          </cell>
          <cell r="M88" t="str">
            <v>POST2013</v>
          </cell>
          <cell r="N88" t="str">
            <v>POST2013</v>
          </cell>
          <cell r="O88" t="str">
            <v>POST2013</v>
          </cell>
          <cell r="P88" t="str">
            <v>POST2013</v>
          </cell>
          <cell r="Q88" t="str">
            <v>POST2013</v>
          </cell>
          <cell r="R88" t="str">
            <v>POST2013</v>
          </cell>
          <cell r="S88" t="str">
            <v>POST2013</v>
          </cell>
          <cell r="T88" t="str">
            <v>POST2013</v>
          </cell>
          <cell r="W88" t="str">
            <v>POST2013</v>
          </cell>
          <cell r="X88" t="str">
            <v>NR</v>
          </cell>
          <cell r="Y88" t="str">
            <v>POST2013</v>
          </cell>
        </row>
        <row r="89">
          <cell r="B89" t="str">
            <v>Showerheads-Retro</v>
          </cell>
          <cell r="C89" t="str">
            <v>_PRE2013</v>
          </cell>
          <cell r="D89" t="str">
            <v>_PRE2013</v>
          </cell>
          <cell r="E89" t="str">
            <v>_PRE2013</v>
          </cell>
          <cell r="F89" t="str">
            <v>_PRE2013</v>
          </cell>
          <cell r="G89" t="str">
            <v>_PRE2013</v>
          </cell>
          <cell r="H89" t="str">
            <v>_PRE2013</v>
          </cell>
          <cell r="I89" t="str">
            <v>_PRE2013</v>
          </cell>
          <cell r="J89" t="str">
            <v>_PRE2013</v>
          </cell>
          <cell r="K89" t="str">
            <v>_PRE2013</v>
          </cell>
          <cell r="L89" t="str">
            <v>_PRE2013</v>
          </cell>
          <cell r="M89" t="str">
            <v>_PRE2013</v>
          </cell>
          <cell r="N89" t="str">
            <v>_PRE2013</v>
          </cell>
          <cell r="O89" t="str">
            <v>_PRE2013</v>
          </cell>
          <cell r="P89" t="str">
            <v>_PRE2013</v>
          </cell>
          <cell r="Q89" t="str">
            <v>_PRE2013</v>
          </cell>
          <cell r="R89" t="str">
            <v>_PRE2013</v>
          </cell>
          <cell r="S89" t="str">
            <v>_PRE2013</v>
          </cell>
          <cell r="T89" t="str">
            <v>_PRE2013</v>
          </cell>
          <cell r="W89" t="str">
            <v>_PRE2013</v>
          </cell>
          <cell r="X89" t="str">
            <v>Retro</v>
          </cell>
          <cell r="Y89" t="str">
            <v>_PRE2013</v>
          </cell>
        </row>
        <row r="90">
          <cell r="B90" t="str">
            <v>Water Heating - GFHX-New</v>
          </cell>
          <cell r="C90" t="str">
            <v>POST2013</v>
          </cell>
          <cell r="D90" t="str">
            <v>POST2013</v>
          </cell>
          <cell r="E90" t="str">
            <v>POST2013</v>
          </cell>
          <cell r="F90" t="str">
            <v>POST2013</v>
          </cell>
          <cell r="G90" t="str">
            <v>POST2013</v>
          </cell>
          <cell r="H90" t="str">
            <v>POST2013</v>
          </cell>
          <cell r="I90" t="str">
            <v>POST2013</v>
          </cell>
          <cell r="J90" t="str">
            <v>POST2013</v>
          </cell>
          <cell r="K90" t="str">
            <v>POST2013</v>
          </cell>
          <cell r="L90" t="str">
            <v>POST2013</v>
          </cell>
          <cell r="M90" t="str">
            <v>POST2013</v>
          </cell>
          <cell r="N90" t="str">
            <v>POST2013</v>
          </cell>
          <cell r="O90" t="str">
            <v>POST2013</v>
          </cell>
          <cell r="P90" t="str">
            <v>POST2013</v>
          </cell>
          <cell r="Q90" t="str">
            <v>POST2013</v>
          </cell>
          <cell r="R90" t="str">
            <v>POST2013</v>
          </cell>
          <cell r="S90" t="str">
            <v>POST2013</v>
          </cell>
          <cell r="T90" t="str">
            <v>POST2013</v>
          </cell>
          <cell r="W90" t="str">
            <v>POST2013</v>
          </cell>
          <cell r="X90" t="str">
            <v>New</v>
          </cell>
          <cell r="Y90" t="str">
            <v>POST2013</v>
          </cell>
        </row>
        <row r="91">
          <cell r="B91" t="str">
            <v>Demand Control Circulating system DHW-Retro</v>
          </cell>
          <cell r="C91" t="str">
            <v>_PRE2013</v>
          </cell>
          <cell r="D91" t="str">
            <v>_PRE2013</v>
          </cell>
          <cell r="E91" t="str">
            <v>_PRE2013</v>
          </cell>
          <cell r="F91" t="str">
            <v>_PRE2013</v>
          </cell>
          <cell r="G91" t="str">
            <v>_PRE2013</v>
          </cell>
          <cell r="H91" t="str">
            <v>_PRE2013</v>
          </cell>
          <cell r="I91" t="str">
            <v>_PRE2013</v>
          </cell>
          <cell r="J91" t="str">
            <v>_PRE2013</v>
          </cell>
          <cell r="K91" t="str">
            <v>_PRE2013</v>
          </cell>
          <cell r="L91" t="str">
            <v>_PRE2013</v>
          </cell>
          <cell r="M91" t="str">
            <v>_PRE2013</v>
          </cell>
          <cell r="N91" t="str">
            <v>_PRE2013</v>
          </cell>
          <cell r="O91" t="str">
            <v>_PRE2013</v>
          </cell>
          <cell r="P91" t="str">
            <v>_PRE2013</v>
          </cell>
          <cell r="Q91" t="str">
            <v>_PRE2013</v>
          </cell>
          <cell r="R91" t="str">
            <v>_PRE2013</v>
          </cell>
          <cell r="S91" t="str">
            <v>_PRE2013</v>
          </cell>
          <cell r="T91" t="str">
            <v>_PRE2013</v>
          </cell>
          <cell r="W91" t="str">
            <v>_PRE2013</v>
          </cell>
          <cell r="X91" t="str">
            <v>Retro</v>
          </cell>
          <cell r="Y91" t="str">
            <v>_PRE2013</v>
          </cell>
        </row>
        <row r="92">
          <cell r="B92" t="str">
            <v>Central HPWH MF-Retro</v>
          </cell>
          <cell r="C92" t="str">
            <v>_PRE2013</v>
          </cell>
          <cell r="D92" t="str">
            <v>_PRE2013</v>
          </cell>
          <cell r="E92" t="str">
            <v>_PRE2013</v>
          </cell>
          <cell r="F92" t="str">
            <v>_PRE2013</v>
          </cell>
          <cell r="G92" t="str">
            <v>_PRE2013</v>
          </cell>
          <cell r="H92" t="str">
            <v>_PRE2013</v>
          </cell>
          <cell r="I92" t="str">
            <v>_PRE2013</v>
          </cell>
          <cell r="J92" t="str">
            <v>_PRE2013</v>
          </cell>
          <cell r="K92" t="str">
            <v>_PRE2013</v>
          </cell>
          <cell r="L92" t="str">
            <v>_PRE2013</v>
          </cell>
          <cell r="M92" t="str">
            <v>_PRE2013</v>
          </cell>
          <cell r="N92" t="str">
            <v>_PRE2013</v>
          </cell>
          <cell r="O92" t="str">
            <v>_PRE2013</v>
          </cell>
          <cell r="P92" t="str">
            <v>_PRE2013</v>
          </cell>
          <cell r="Q92" t="str">
            <v>_PRE2013</v>
          </cell>
          <cell r="R92" t="str">
            <v>_PRE2013</v>
          </cell>
          <cell r="S92" t="str">
            <v>_PRE2013</v>
          </cell>
          <cell r="T92" t="str">
            <v>_PRE2013</v>
          </cell>
          <cell r="W92" t="str">
            <v>_PRE2013</v>
          </cell>
          <cell r="X92" t="str">
            <v>Retro</v>
          </cell>
          <cell r="Y92" t="str">
            <v>_PRE2013</v>
          </cell>
        </row>
        <row r="93">
          <cell r="B93" t="str">
            <v>Ultra Low Energy Building-New</v>
          </cell>
          <cell r="C93" t="str">
            <v>POST2013</v>
          </cell>
          <cell r="D93" t="str">
            <v>POST2013</v>
          </cell>
          <cell r="E93" t="str">
            <v>POST2013</v>
          </cell>
          <cell r="F93" t="str">
            <v>POST2013</v>
          </cell>
          <cell r="G93" t="str">
            <v>POST2013</v>
          </cell>
          <cell r="H93" t="str">
            <v>POST2013</v>
          </cell>
          <cell r="I93" t="str">
            <v>POST2013</v>
          </cell>
          <cell r="J93" t="str">
            <v>POST2013</v>
          </cell>
          <cell r="K93" t="str">
            <v>POST2013</v>
          </cell>
          <cell r="L93" t="str">
            <v>POST2013</v>
          </cell>
          <cell r="M93" t="str">
            <v>POST2013</v>
          </cell>
          <cell r="N93" t="str">
            <v>POST2013</v>
          </cell>
          <cell r="O93" t="str">
            <v>POST2013</v>
          </cell>
          <cell r="P93" t="str">
            <v>POST2013</v>
          </cell>
          <cell r="Q93" t="str">
            <v>POST2013</v>
          </cell>
          <cell r="R93" t="str">
            <v>POST2013</v>
          </cell>
          <cell r="S93" t="str">
            <v>POST2013</v>
          </cell>
          <cell r="T93" t="str">
            <v>POST2013</v>
          </cell>
          <cell r="W93" t="str">
            <v>POST2013</v>
          </cell>
          <cell r="X93" t="str">
            <v>New</v>
          </cell>
          <cell r="Y93" t="str">
            <v>POST2013</v>
          </cell>
        </row>
        <row r="94">
          <cell r="B94" t="str">
            <v>HPLowPowerGSFL-NR</v>
          </cell>
          <cell r="C94" t="str">
            <v>_PRE2013</v>
          </cell>
          <cell r="D94" t="str">
            <v>_PRE2013</v>
          </cell>
          <cell r="W94" t="str">
            <v>_PRE2013</v>
          </cell>
          <cell r="X94" t="str">
            <v>Retro</v>
          </cell>
          <cell r="Y94" t="str">
            <v>_PRE2013</v>
          </cell>
        </row>
      </sheetData>
      <sheetData sheetId="6">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row>
        <row r="13">
          <cell r="B13" t="str">
            <v>Compressed Air-NR</v>
          </cell>
        </row>
        <row r="14">
          <cell r="B14" t="str">
            <v>Network PC Power Management-Retro</v>
          </cell>
        </row>
        <row r="15">
          <cell r="B15" t="str">
            <v>Computer Servers and IT-Retro</v>
          </cell>
        </row>
        <row r="16">
          <cell r="B16" t="str">
            <v>Smart Plug Power Strips-Retro</v>
          </cell>
          <cell r="U16">
            <v>0.2</v>
          </cell>
        </row>
        <row r="17">
          <cell r="B17" t="str">
            <v>Data Centers-NR</v>
          </cell>
          <cell r="U17">
            <v>0.2</v>
          </cell>
        </row>
        <row r="18">
          <cell r="B18" t="str">
            <v>Commercial Computer Monitor-NR</v>
          </cell>
          <cell r="U18">
            <v>0.2</v>
          </cell>
        </row>
        <row r="19">
          <cell r="B19" t="str">
            <v>Commercial Computer Desktop-NR</v>
          </cell>
          <cell r="U19">
            <v>0.25</v>
          </cell>
        </row>
        <row r="20">
          <cell r="B20" t="str">
            <v>Pre-Rinse Spray Valve-Retro</v>
          </cell>
          <cell r="U20">
            <v>0.2</v>
          </cell>
        </row>
        <row r="21">
          <cell r="B21" t="str">
            <v>Cooking Equipment-NR</v>
          </cell>
          <cell r="U21">
            <v>0.08</v>
          </cell>
        </row>
        <row r="22">
          <cell r="B22" t="str">
            <v>Premium HVAC Equipment-New</v>
          </cell>
          <cell r="C22">
            <v>3.3333333333333333E-2</v>
          </cell>
          <cell r="D22">
            <v>0.04</v>
          </cell>
          <cell r="E22">
            <v>0.05</v>
          </cell>
          <cell r="F22">
            <v>0.05</v>
          </cell>
          <cell r="G22">
            <v>0.05</v>
          </cell>
          <cell r="H22">
            <v>0.05</v>
          </cell>
          <cell r="I22">
            <v>3.3333333333333333E-2</v>
          </cell>
          <cell r="J22">
            <v>3.3333333333333333E-2</v>
          </cell>
          <cell r="K22">
            <v>3.3333333333333333E-2</v>
          </cell>
          <cell r="L22">
            <v>0.05</v>
          </cell>
          <cell r="M22">
            <v>0.05</v>
          </cell>
          <cell r="N22">
            <v>0.05</v>
          </cell>
          <cell r="O22">
            <v>0.05</v>
          </cell>
          <cell r="P22">
            <v>0.05</v>
          </cell>
          <cell r="Q22">
            <v>0.04</v>
          </cell>
          <cell r="R22">
            <v>0.04</v>
          </cell>
          <cell r="S22">
            <v>0.04</v>
          </cell>
          <cell r="T22">
            <v>0.04</v>
          </cell>
          <cell r="V22" t="str">
            <v>20, 25 or 30 year equipment life</v>
          </cell>
        </row>
        <row r="23">
          <cell r="B23" t="str">
            <v>Premium HVAC Equipment-NR</v>
          </cell>
          <cell r="C23">
            <v>3.3333333333333333E-2</v>
          </cell>
          <cell r="D23">
            <v>0.04</v>
          </cell>
          <cell r="E23">
            <v>0.05</v>
          </cell>
          <cell r="F23">
            <v>0.05</v>
          </cell>
          <cell r="G23">
            <v>0.05</v>
          </cell>
          <cell r="H23">
            <v>0.05</v>
          </cell>
          <cell r="I23">
            <v>3.3333333333333333E-2</v>
          </cell>
          <cell r="J23">
            <v>3.3333333333333333E-2</v>
          </cell>
          <cell r="K23">
            <v>3.3333333333333333E-2</v>
          </cell>
          <cell r="L23">
            <v>0.05</v>
          </cell>
          <cell r="M23">
            <v>0.05</v>
          </cell>
          <cell r="N23">
            <v>0.05</v>
          </cell>
          <cell r="O23">
            <v>0.05</v>
          </cell>
          <cell r="P23">
            <v>0.05</v>
          </cell>
          <cell r="Q23">
            <v>0.04</v>
          </cell>
          <cell r="R23">
            <v>0.04</v>
          </cell>
          <cell r="S23">
            <v>0.04</v>
          </cell>
          <cell r="T23">
            <v>0.04</v>
          </cell>
          <cell r="V23" t="str">
            <v>20, 25 or 30 year equipment life</v>
          </cell>
        </row>
        <row r="24">
          <cell r="B24" t="str">
            <v>Glass-New</v>
          </cell>
        </row>
        <row r="25">
          <cell r="B25" t="str">
            <v>Glass-NR</v>
          </cell>
        </row>
        <row r="26">
          <cell r="B26" t="str">
            <v>Glass-Retro</v>
          </cell>
        </row>
        <row r="27">
          <cell r="B27" t="str">
            <v>Advanced Rooftop Controller-New</v>
          </cell>
          <cell r="C27">
            <v>6.6666666666666666E-2</v>
          </cell>
          <cell r="D27">
            <v>6.6666666666666666E-2</v>
          </cell>
          <cell r="E27">
            <v>6.6666666666666666E-2</v>
          </cell>
          <cell r="F27">
            <v>6.6666666666666666E-2</v>
          </cell>
          <cell r="G27">
            <v>6.6666666666666666E-2</v>
          </cell>
          <cell r="H27">
            <v>6.6666666666666666E-2</v>
          </cell>
          <cell r="I27">
            <v>6.6666666666666666E-2</v>
          </cell>
          <cell r="J27">
            <v>6.6666666666666666E-2</v>
          </cell>
          <cell r="K27">
            <v>6.6666666666666666E-2</v>
          </cell>
          <cell r="L27">
            <v>6.6666666666666666E-2</v>
          </cell>
          <cell r="M27">
            <v>6.6666666666666666E-2</v>
          </cell>
          <cell r="N27">
            <v>6.6666666666666666E-2</v>
          </cell>
          <cell r="O27">
            <v>6.6666666666666666E-2</v>
          </cell>
          <cell r="P27">
            <v>6.6666666666666666E-2</v>
          </cell>
          <cell r="Q27">
            <v>6.6666666666666666E-2</v>
          </cell>
          <cell r="R27">
            <v>6.6666666666666666E-2</v>
          </cell>
          <cell r="S27">
            <v>6.6666666666666666E-2</v>
          </cell>
          <cell r="T27">
            <v>6.6666666666666666E-2</v>
          </cell>
        </row>
        <row r="28">
          <cell r="B28" t="str">
            <v>Advanced Rooftop Controller-NR</v>
          </cell>
          <cell r="C28">
            <v>6.6666666666666666E-2</v>
          </cell>
          <cell r="D28">
            <v>6.6666666666666666E-2</v>
          </cell>
          <cell r="E28">
            <v>6.6666666666666666E-2</v>
          </cell>
          <cell r="F28">
            <v>6.6666666666666666E-2</v>
          </cell>
          <cell r="G28">
            <v>6.6666666666666666E-2</v>
          </cell>
          <cell r="H28">
            <v>6.6666666666666666E-2</v>
          </cell>
          <cell r="I28">
            <v>6.6666666666666666E-2</v>
          </cell>
          <cell r="J28">
            <v>6.6666666666666666E-2</v>
          </cell>
          <cell r="K28">
            <v>6.6666666666666666E-2</v>
          </cell>
          <cell r="L28">
            <v>6.6666666666666666E-2</v>
          </cell>
          <cell r="M28">
            <v>6.6666666666666666E-2</v>
          </cell>
          <cell r="N28">
            <v>6.6666666666666666E-2</v>
          </cell>
          <cell r="O28">
            <v>6.6666666666666666E-2</v>
          </cell>
          <cell r="P28">
            <v>6.6666666666666666E-2</v>
          </cell>
          <cell r="Q28">
            <v>6.6666666666666666E-2</v>
          </cell>
          <cell r="R28">
            <v>6.6666666666666666E-2</v>
          </cell>
          <cell r="S28">
            <v>6.6666666666666666E-2</v>
          </cell>
          <cell r="T28">
            <v>6.6666666666666666E-2</v>
          </cell>
        </row>
        <row r="29">
          <cell r="B29" t="str">
            <v>Advanced Rooftop Controller-Retro</v>
          </cell>
          <cell r="C29">
            <v>6.6666666666666666E-2</v>
          </cell>
          <cell r="D29">
            <v>6.6666666666666666E-2</v>
          </cell>
          <cell r="E29">
            <v>6.6666666666666666E-2</v>
          </cell>
          <cell r="F29">
            <v>6.6666666666666666E-2</v>
          </cell>
          <cell r="G29">
            <v>6.6666666666666666E-2</v>
          </cell>
          <cell r="H29">
            <v>6.6666666666666666E-2</v>
          </cell>
          <cell r="I29">
            <v>6.6666666666666666E-2</v>
          </cell>
          <cell r="J29">
            <v>6.6666666666666666E-2</v>
          </cell>
          <cell r="K29">
            <v>6.6666666666666666E-2</v>
          </cell>
          <cell r="L29">
            <v>6.6666666666666666E-2</v>
          </cell>
          <cell r="M29">
            <v>6.6666666666666666E-2</v>
          </cell>
          <cell r="N29">
            <v>6.6666666666666666E-2</v>
          </cell>
          <cell r="O29">
            <v>6.6666666666666666E-2</v>
          </cell>
          <cell r="P29">
            <v>6.6666666666666666E-2</v>
          </cell>
          <cell r="Q29">
            <v>6.6666666666666666E-2</v>
          </cell>
          <cell r="R29">
            <v>6.6666666666666666E-2</v>
          </cell>
          <cell r="S29">
            <v>6.6666666666666666E-2</v>
          </cell>
          <cell r="T29">
            <v>6.6666666666666666E-2</v>
          </cell>
        </row>
        <row r="30">
          <cell r="B30" t="str">
            <v>Variable Speed Chiller-New</v>
          </cell>
        </row>
        <row r="31">
          <cell r="B31" t="str">
            <v>Variable Speed Chiller-NR</v>
          </cell>
        </row>
        <row r="32">
          <cell r="B32" t="str">
            <v>Commercial EM-New</v>
          </cell>
          <cell r="C32">
            <v>0.15</v>
          </cell>
          <cell r="D32">
            <v>0.15</v>
          </cell>
          <cell r="E32">
            <v>0.15</v>
          </cell>
          <cell r="F32">
            <v>0.15</v>
          </cell>
          <cell r="G32">
            <v>0.15</v>
          </cell>
          <cell r="H32">
            <v>0.15</v>
          </cell>
          <cell r="I32">
            <v>0.15</v>
          </cell>
          <cell r="J32">
            <v>0.15</v>
          </cell>
          <cell r="K32">
            <v>0.15</v>
          </cell>
          <cell r="L32">
            <v>0.15</v>
          </cell>
          <cell r="M32">
            <v>0.15</v>
          </cell>
          <cell r="N32">
            <v>0.15</v>
          </cell>
          <cell r="O32">
            <v>0.15</v>
          </cell>
          <cell r="P32">
            <v>0.15</v>
          </cell>
          <cell r="Q32">
            <v>0.15</v>
          </cell>
          <cell r="R32">
            <v>0.15</v>
          </cell>
          <cell r="S32">
            <v>0.15</v>
          </cell>
          <cell r="T32">
            <v>0.15</v>
          </cell>
        </row>
        <row r="33">
          <cell r="B33" t="str">
            <v>Commercial EM-NR</v>
          </cell>
          <cell r="C33">
            <v>0.15</v>
          </cell>
          <cell r="D33">
            <v>0.15</v>
          </cell>
          <cell r="E33">
            <v>0.15</v>
          </cell>
          <cell r="F33">
            <v>0.15</v>
          </cell>
          <cell r="G33">
            <v>0.15</v>
          </cell>
          <cell r="H33">
            <v>0.15</v>
          </cell>
          <cell r="I33">
            <v>0.15</v>
          </cell>
          <cell r="J33">
            <v>0.15</v>
          </cell>
          <cell r="K33">
            <v>0.15</v>
          </cell>
          <cell r="L33">
            <v>0.15</v>
          </cell>
          <cell r="M33">
            <v>0.15</v>
          </cell>
          <cell r="N33">
            <v>0.15</v>
          </cell>
          <cell r="O33">
            <v>0.15</v>
          </cell>
          <cell r="P33">
            <v>0.15</v>
          </cell>
          <cell r="Q33">
            <v>0.15</v>
          </cell>
          <cell r="R33">
            <v>0.15</v>
          </cell>
          <cell r="S33">
            <v>0.15</v>
          </cell>
          <cell r="T33">
            <v>0.15</v>
          </cell>
        </row>
        <row r="34">
          <cell r="B34" t="str">
            <v>Commercial EM-Retro</v>
          </cell>
          <cell r="C34">
            <v>0.15</v>
          </cell>
          <cell r="D34">
            <v>0.15</v>
          </cell>
          <cell r="E34">
            <v>0.15</v>
          </cell>
          <cell r="F34">
            <v>0.15</v>
          </cell>
          <cell r="G34">
            <v>0.15</v>
          </cell>
          <cell r="H34">
            <v>0.15</v>
          </cell>
          <cell r="I34">
            <v>0.15</v>
          </cell>
          <cell r="J34">
            <v>0.15</v>
          </cell>
          <cell r="K34">
            <v>0.15</v>
          </cell>
          <cell r="L34">
            <v>0.15</v>
          </cell>
          <cell r="M34">
            <v>0.15</v>
          </cell>
          <cell r="N34">
            <v>0.15</v>
          </cell>
          <cell r="O34">
            <v>0.15</v>
          </cell>
          <cell r="P34">
            <v>0.15</v>
          </cell>
          <cell r="Q34">
            <v>0.15</v>
          </cell>
          <cell r="R34">
            <v>0.15</v>
          </cell>
          <cell r="S34">
            <v>0.15</v>
          </cell>
          <cell r="T34">
            <v>0.15</v>
          </cell>
        </row>
        <row r="35">
          <cell r="B35" t="str">
            <v>Evaporative Assist Cooling-New</v>
          </cell>
        </row>
        <row r="36">
          <cell r="B36" t="str">
            <v>Evaporative Assist Cooling-NR</v>
          </cell>
        </row>
        <row r="37">
          <cell r="B37" t="str">
            <v>Low Pressure Distribution Complex HVAC-New</v>
          </cell>
        </row>
        <row r="38">
          <cell r="B38" t="str">
            <v>Demand Control Ventilation-New</v>
          </cell>
        </row>
        <row r="39">
          <cell r="B39" t="str">
            <v>Demand Control Ventilation-NR</v>
          </cell>
        </row>
        <row r="40">
          <cell r="B40" t="str">
            <v>Demand Control Ventilation-Retro</v>
          </cell>
        </row>
        <row r="41">
          <cell r="B41" t="str">
            <v>Premium Fume Hood-NR</v>
          </cell>
          <cell r="C41">
            <v>0.06</v>
          </cell>
          <cell r="D41">
            <v>0.06</v>
          </cell>
          <cell r="E41">
            <v>0.06</v>
          </cell>
          <cell r="F41">
            <v>0.06</v>
          </cell>
          <cell r="G41">
            <v>0.06</v>
          </cell>
          <cell r="H41">
            <v>0.06</v>
          </cell>
          <cell r="I41">
            <v>0.06</v>
          </cell>
          <cell r="J41">
            <v>0.06</v>
          </cell>
          <cell r="K41">
            <v>0.06</v>
          </cell>
          <cell r="L41">
            <v>0.06</v>
          </cell>
          <cell r="M41">
            <v>0.06</v>
          </cell>
          <cell r="N41">
            <v>0.06</v>
          </cell>
          <cell r="O41">
            <v>0.06</v>
          </cell>
          <cell r="P41">
            <v>0.06</v>
          </cell>
          <cell r="Q41">
            <v>0.06</v>
          </cell>
          <cell r="R41">
            <v>0.06</v>
          </cell>
          <cell r="S41">
            <v>0.06</v>
          </cell>
          <cell r="T41">
            <v>0.06</v>
          </cell>
          <cell r="U41">
            <v>0.06</v>
          </cell>
        </row>
        <row r="42">
          <cell r="B42" t="str">
            <v>DCV Restaurant Hood-Retro</v>
          </cell>
        </row>
        <row r="43">
          <cell r="B43" t="str">
            <v>DCV Parking Garage-Retro</v>
          </cell>
        </row>
        <row r="44">
          <cell r="B44" t="str">
            <v>Weatherization - School-Retro</v>
          </cell>
        </row>
        <row r="45">
          <cell r="B45" t="str">
            <v>Commercial Computer Laptop-NR</v>
          </cell>
          <cell r="U45">
            <v>0.25</v>
          </cell>
        </row>
        <row r="46">
          <cell r="B46" t="str">
            <v>AC Heat Recovery for Water Heating-NR</v>
          </cell>
        </row>
        <row r="47">
          <cell r="B47" t="str">
            <v>Room Occupancy Sensors in Lodging-Retro</v>
          </cell>
        </row>
        <row r="48">
          <cell r="B48" t="str">
            <v>Chiller - chilled water retrofit-Retro</v>
          </cell>
        </row>
        <row r="49">
          <cell r="B49" t="str">
            <v>Chiller - equip retrofits-Retro</v>
          </cell>
        </row>
        <row r="50">
          <cell r="B50" t="str">
            <v>Pool Blankets-Retro</v>
          </cell>
        </row>
        <row r="51">
          <cell r="B51" t="str">
            <v>Web-Enabled Thermostats-Retro</v>
          </cell>
        </row>
        <row r="52">
          <cell r="B52" t="str">
            <v>Garage CO2 ventilation-Retro</v>
          </cell>
        </row>
        <row r="53">
          <cell r="B53" t="str">
            <v>Circ Pump ECM and drive-Retro</v>
          </cell>
        </row>
        <row r="54">
          <cell r="B54" t="str">
            <v>VRF-New</v>
          </cell>
        </row>
        <row r="55">
          <cell r="B55" t="str">
            <v>VRF-Retro</v>
          </cell>
        </row>
        <row r="56">
          <cell r="B56" t="str">
            <v>Evaporator Roof Top HVAC-Retro</v>
          </cell>
        </row>
        <row r="57">
          <cell r="B57" t="str">
            <v>Secondary Glazing Systems-Retro</v>
          </cell>
        </row>
        <row r="58">
          <cell r="B58" t="str">
            <v>LPD Package-New</v>
          </cell>
        </row>
        <row r="59">
          <cell r="B59" t="str">
            <v>LPD Package-NR</v>
          </cell>
        </row>
        <row r="60">
          <cell r="B60" t="str">
            <v>LPD Package-Retro</v>
          </cell>
        </row>
        <row r="61">
          <cell r="B61" t="str">
            <v>Top Daylighting-New</v>
          </cell>
        </row>
        <row r="62">
          <cell r="B62" t="str">
            <v>Perimeter Daylighting Controls Advanced-New</v>
          </cell>
        </row>
        <row r="63">
          <cell r="B63" t="str">
            <v>Perimeter Daylighting Controls Advanced-NR</v>
          </cell>
        </row>
        <row r="64">
          <cell r="B64" t="str">
            <v>Lighting Controls Interior-New</v>
          </cell>
        </row>
        <row r="65">
          <cell r="B65" t="str">
            <v>Lighting Controls Interior-NR</v>
          </cell>
          <cell r="C65">
            <v>0.06</v>
          </cell>
          <cell r="D65">
            <v>0.06</v>
          </cell>
          <cell r="E65">
            <v>0.06</v>
          </cell>
          <cell r="F65">
            <v>0.06</v>
          </cell>
          <cell r="G65">
            <v>0.06</v>
          </cell>
          <cell r="H65">
            <v>0.06</v>
          </cell>
          <cell r="I65">
            <v>0.06</v>
          </cell>
          <cell r="J65">
            <v>0.06</v>
          </cell>
          <cell r="K65">
            <v>0.06</v>
          </cell>
          <cell r="L65">
            <v>0.06</v>
          </cell>
          <cell r="M65">
            <v>0.06</v>
          </cell>
          <cell r="N65">
            <v>0.06</v>
          </cell>
          <cell r="O65">
            <v>0.06</v>
          </cell>
          <cell r="P65">
            <v>0.06</v>
          </cell>
          <cell r="Q65">
            <v>0.06</v>
          </cell>
          <cell r="R65">
            <v>0.06</v>
          </cell>
          <cell r="S65">
            <v>0.06</v>
          </cell>
          <cell r="T65">
            <v>0.06</v>
          </cell>
          <cell r="V65" t="str">
            <v>Fixture or Ballast Replacement Cycle</v>
          </cell>
        </row>
        <row r="66">
          <cell r="B66" t="str">
            <v>Exterior Building Lighting-New</v>
          </cell>
          <cell r="U66">
            <v>0.2</v>
          </cell>
          <cell r="V66" t="str">
            <v xml:space="preserve">5-year cycle (lamp cycle) for luminiares requiring bucket truck.  </v>
          </cell>
        </row>
        <row r="67">
          <cell r="B67" t="str">
            <v>Exterior Building Lighting-NR</v>
          </cell>
          <cell r="U67">
            <v>0.2</v>
          </cell>
          <cell r="V67" t="str">
            <v>20-Year Fixture Life from CBSA REN RATE</v>
          </cell>
        </row>
        <row r="68">
          <cell r="B68" t="str">
            <v>Street and Roadway Lighting-New</v>
          </cell>
          <cell r="U68">
            <v>0.2</v>
          </cell>
          <cell r="V68" t="str">
            <v>Five year cycle for streetlight relamp (DOE &amp; Tarioffs)</v>
          </cell>
        </row>
        <row r="69">
          <cell r="B69" t="str">
            <v>Street and Roadway Lighting-NR</v>
          </cell>
          <cell r="U69">
            <v>0.2</v>
          </cell>
          <cell r="V69" t="str">
            <v>Five year cycle for streetlight relamp (DOE &amp; Tarioffs)</v>
          </cell>
        </row>
        <row r="70">
          <cell r="B70" t="str">
            <v>Parking Lighting-New</v>
          </cell>
        </row>
        <row r="71">
          <cell r="B71" t="str">
            <v>Parking Lighting-NR</v>
          </cell>
        </row>
        <row r="72">
          <cell r="B72" t="str">
            <v>Luminaire Level Lighting Controls-Retro</v>
          </cell>
        </row>
        <row r="73">
          <cell r="B73" t="str">
            <v>ECM-VAV-New</v>
          </cell>
        </row>
        <row r="74">
          <cell r="B74" t="str">
            <v>ECM-VAV-NR</v>
          </cell>
        </row>
        <row r="75">
          <cell r="B75" t="str">
            <v>Pool pumps-Retro</v>
          </cell>
        </row>
        <row r="76">
          <cell r="B76" t="str">
            <v>MotorsRewind-New</v>
          </cell>
        </row>
        <row r="77">
          <cell r="B77" t="str">
            <v>MotorsRewind-NR</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row>
        <row r="80">
          <cell r="B80" t="str">
            <v>Engine Generator Block Heaters-Retro</v>
          </cell>
        </row>
        <row r="81">
          <cell r="B81" t="str">
            <v>Grocery Refrigeration Bundle-Retro</v>
          </cell>
        </row>
        <row r="82">
          <cell r="B82" t="str">
            <v>Packaged Refrigeration Equipment-New</v>
          </cell>
        </row>
        <row r="83">
          <cell r="B83" t="str">
            <v>Appliances - Freezers-NR</v>
          </cell>
        </row>
        <row r="84">
          <cell r="B84" t="str">
            <v>Appliances - Refrigerators-NR</v>
          </cell>
        </row>
        <row r="85">
          <cell r="B85" t="str">
            <v>Water Cooler Controls-Retro</v>
          </cell>
        </row>
        <row r="86">
          <cell r="B86" t="str">
            <v>WHTanks-New</v>
          </cell>
        </row>
        <row r="87">
          <cell r="B87" t="str">
            <v>WHTanks-NR</v>
          </cell>
        </row>
        <row r="88">
          <cell r="B88" t="str">
            <v>Appliances - Clothes Washers-NR</v>
          </cell>
        </row>
        <row r="89">
          <cell r="B89" t="str">
            <v>Showerheads-Retro</v>
          </cell>
        </row>
        <row r="90">
          <cell r="B90" t="str">
            <v>Water Heating - GFHX-New</v>
          </cell>
        </row>
        <row r="91">
          <cell r="B91" t="str">
            <v>Demand Control Circulating system DHW-Retro</v>
          </cell>
        </row>
        <row r="92">
          <cell r="B92" t="str">
            <v>Central HPWH MF-Retro</v>
          </cell>
        </row>
        <row r="93">
          <cell r="B93" t="str">
            <v>Ultra Low Energy Building-New</v>
          </cell>
        </row>
        <row r="94">
          <cell r="B94" t="str">
            <v>HPLowPowerGSFL-NR</v>
          </cell>
        </row>
      </sheetData>
      <sheetData sheetId="7">
        <row r="11">
          <cell r="C11" t="str">
            <v>LO1Slow</v>
          </cell>
          <cell r="D11">
            <v>2.5643970768378654E-3</v>
          </cell>
          <cell r="E11">
            <v>7.6904586297764643E-3</v>
          </cell>
          <cell r="F11">
            <v>1.6792013047419844E-2</v>
          </cell>
          <cell r="G11">
            <v>3.15969387774655E-2</v>
          </cell>
          <cell r="H11">
            <v>5.406874819795171E-2</v>
          </cell>
          <cell r="I11">
            <v>8.6253181011834101E-2</v>
          </cell>
          <cell r="J11">
            <v>0.1300328481838382</v>
          </cell>
          <cell r="K11">
            <v>0.18678710893858319</v>
          </cell>
          <cell r="L11">
            <v>0.2569823480072907</v>
          </cell>
          <cell r="M11">
            <v>0.33975920985004748</v>
          </cell>
          <cell r="N11">
            <v>0.43262946935754232</v>
          </cell>
          <cell r="O11">
            <v>0.53142594003645804</v>
          </cell>
          <cell r="P11">
            <v>0.63063487292644704</v>
          </cell>
          <cell r="Q11">
            <v>0.7241560234206913</v>
          </cell>
          <cell r="R11">
            <v>0.80638203131755359</v>
          </cell>
          <cell r="S11">
            <v>0.87331559734491926</v>
          </cell>
          <cell r="T11">
            <v>0.92334516248836807</v>
          </cell>
          <cell r="U11">
            <v>0.95737002770730018</v>
          </cell>
        </row>
        <row r="12">
          <cell r="C12" t="str">
            <v>LO50Fast</v>
          </cell>
          <cell r="D12">
            <v>0.45</v>
          </cell>
          <cell r="E12">
            <v>0.66</v>
          </cell>
          <cell r="F12">
            <v>0.8</v>
          </cell>
          <cell r="G12">
            <v>0.89</v>
          </cell>
          <cell r="H12">
            <v>0.94954036260972652</v>
          </cell>
          <cell r="I12">
            <v>0.97931054391458994</v>
          </cell>
          <cell r="J12">
            <v>0.99254173560564019</v>
          </cell>
          <cell r="K12">
            <v>0.99783421228206048</v>
          </cell>
          <cell r="L12">
            <v>0.99975874925530417</v>
          </cell>
          <cell r="M12">
            <v>1.0004002615797187</v>
          </cell>
          <cell r="N12">
            <v>1.0005976499872309</v>
          </cell>
          <cell r="O12">
            <v>1.0006540466750915</v>
          </cell>
          <cell r="P12">
            <v>1.0006690857918545</v>
          </cell>
          <cell r="Q12">
            <v>1.000672845571045</v>
          </cell>
          <cell r="R12">
            <v>1.0006737302249724</v>
          </cell>
          <cell r="S12">
            <v>1.0006739268147338</v>
          </cell>
          <cell r="T12">
            <v>1.0006739682020522</v>
          </cell>
          <cell r="U12">
            <v>1.0006739764795158</v>
          </cell>
          <cell r="V12">
            <v>1.0006739780561755</v>
          </cell>
          <cell r="W12">
            <v>1.0006739783428409</v>
          </cell>
        </row>
        <row r="13">
          <cell r="C13" t="str">
            <v>LO20Fast</v>
          </cell>
          <cell r="D13">
            <v>0.22119921692859512</v>
          </cell>
          <cell r="E13">
            <v>0.37624232795148943</v>
          </cell>
          <cell r="F13">
            <v>0.48357361352878442</v>
          </cell>
          <cell r="G13">
            <v>0.56716330278444227</v>
          </cell>
          <cell r="H13">
            <v>0.64040048266456928</v>
          </cell>
          <cell r="I13">
            <v>0.70377511937632964</v>
          </cell>
          <cell r="J13">
            <v>0.7580669577441127</v>
          </cell>
          <cell r="K13">
            <v>0.80419335000071168</v>
          </cell>
          <cell r="L13">
            <v>0.84311022627788457</v>
          </cell>
          <cell r="M13">
            <v>0.87575014259103623</v>
          </cell>
          <cell r="N13">
            <v>0.90298584871682319</v>
          </cell>
          <cell r="O13">
            <v>0.92419703797508856</v>
          </cell>
          <cell r="P13">
            <v>0.94071632877930145</v>
          </cell>
          <cell r="Q13">
            <v>0.95358156539340677</v>
          </cell>
          <cell r="R13">
            <v>0.96360102174287088</v>
          </cell>
          <cell r="S13">
            <v>0.97140418219378311</v>
          </cell>
          <cell r="T13">
            <v>0.97748128966338554</v>
          </cell>
          <cell r="U13">
            <v>0.98221414571952104</v>
          </cell>
          <cell r="V13">
            <v>0.98590009772220355</v>
          </cell>
          <cell r="W13">
            <v>0.98877072002825628</v>
          </cell>
        </row>
        <row r="14">
          <cell r="C14" t="str">
            <v>LOEven20</v>
          </cell>
          <cell r="D14">
            <v>0.05</v>
          </cell>
          <cell r="E14">
            <v>0.1</v>
          </cell>
          <cell r="F14">
            <v>0.15000000000000002</v>
          </cell>
          <cell r="G14">
            <v>0.2</v>
          </cell>
          <cell r="H14">
            <v>0.25</v>
          </cell>
          <cell r="I14">
            <v>0.3</v>
          </cell>
          <cell r="J14">
            <v>0.35</v>
          </cell>
          <cell r="K14">
            <v>0.39999999999999997</v>
          </cell>
          <cell r="L14">
            <v>0.44999999999999996</v>
          </cell>
          <cell r="M14">
            <v>0.49999999999999994</v>
          </cell>
          <cell r="N14">
            <v>0.54999999999999993</v>
          </cell>
          <cell r="O14">
            <v>0.6</v>
          </cell>
          <cell r="P14">
            <v>0.65</v>
          </cell>
          <cell r="Q14">
            <v>0.70000000000000007</v>
          </cell>
          <cell r="R14">
            <v>0.75000000000000011</v>
          </cell>
          <cell r="S14">
            <v>0.80000000000000016</v>
          </cell>
          <cell r="T14">
            <v>0.8500000000000002</v>
          </cell>
          <cell r="U14">
            <v>0.90000000000000024</v>
          </cell>
          <cell r="V14">
            <v>0.95000000000000029</v>
          </cell>
          <cell r="W14">
            <v>1.0000000000000002</v>
          </cell>
        </row>
        <row r="15">
          <cell r="C15" t="str">
            <v>LOMax60</v>
          </cell>
          <cell r="D15">
            <v>0.01</v>
          </cell>
          <cell r="E15">
            <v>2.98E-2</v>
          </cell>
          <cell r="F15">
            <v>5.8906E-2</v>
          </cell>
          <cell r="G15">
            <v>9.6549759999999998E-2</v>
          </cell>
          <cell r="H15">
            <v>0.14172227199999998</v>
          </cell>
          <cell r="I15">
            <v>0.19035800991999999</v>
          </cell>
          <cell r="J15">
            <v>0.2362377226912</v>
          </cell>
          <cell r="K15">
            <v>0.279517585072032</v>
          </cell>
          <cell r="L15">
            <v>0.32034492191795017</v>
          </cell>
          <cell r="M15">
            <v>0.35885870967593297</v>
          </cell>
          <cell r="N15">
            <v>0.39519004946096342</v>
          </cell>
          <cell r="O15">
            <v>0.42946261332484215</v>
          </cell>
          <cell r="P15">
            <v>0.46179306523643443</v>
          </cell>
          <cell r="Q15">
            <v>0.49229145820636983</v>
          </cell>
          <cell r="R15">
            <v>0.5210616089080089</v>
          </cell>
          <cell r="S15">
            <v>0.54820145106988838</v>
          </cell>
          <cell r="T15">
            <v>0.57380336884259475</v>
          </cell>
          <cell r="U15">
            <v>0.59795451127484767</v>
          </cell>
          <cell r="V15">
            <v>0.62073708896927293</v>
          </cell>
          <cell r="W15">
            <v>0.6422286539276808</v>
          </cell>
        </row>
        <row r="16">
          <cell r="C16" t="str">
            <v>LO3Slow</v>
          </cell>
          <cell r="D16">
            <v>5.5320496977002724E-3</v>
          </cell>
          <cell r="E16">
            <v>1.4227918344261844E-2</v>
          </cell>
          <cell r="F16">
            <v>3.1619655637384989E-2</v>
          </cell>
          <cell r="G16">
            <v>6.2055195900350503E-2</v>
          </cell>
          <cell r="H16">
            <v>0.10939936964274129</v>
          </cell>
          <cell r="I16">
            <v>0.17568121288208835</v>
          </cell>
          <cell r="J16">
            <v>0.26003992245943919</v>
          </cell>
          <cell r="K16">
            <v>0.3584584169663485</v>
          </cell>
          <cell r="L16">
            <v>0.46444756489686617</v>
          </cell>
          <cell r="M16">
            <v>0.57043671282738384</v>
          </cell>
          <cell r="N16">
            <v>0.66935991756253377</v>
          </cell>
          <cell r="O16">
            <v>0.75591772170578986</v>
          </cell>
          <cell r="P16">
            <v>0.82720061923553012</v>
          </cell>
          <cell r="Q16">
            <v>0.88264287286977261</v>
          </cell>
          <cell r="R16">
            <v>0.92349505975816193</v>
          </cell>
          <cell r="S16">
            <v>0.95209159058003434</v>
          </cell>
          <cell r="T16">
            <v>0.97115594446128262</v>
          </cell>
          <cell r="U16">
            <v>0.98328780602207699</v>
          </cell>
          <cell r="V16">
            <v>0.99067241740690848</v>
          </cell>
          <cell r="W16">
            <v>0.99498010738139331</v>
          </cell>
        </row>
        <row r="18">
          <cell r="B18" t="str">
            <v>Measure Index Name</v>
          </cell>
          <cell r="C18" t="str">
            <v>Ramp</v>
          </cell>
          <cell r="D18">
            <v>2016</v>
          </cell>
          <cell r="E18">
            <v>2017</v>
          </cell>
          <cell r="F18">
            <v>2018</v>
          </cell>
          <cell r="G18">
            <v>2019</v>
          </cell>
          <cell r="H18">
            <v>2020</v>
          </cell>
          <cell r="I18">
            <v>2021</v>
          </cell>
          <cell r="J18">
            <v>2022</v>
          </cell>
          <cell r="K18">
            <v>2023</v>
          </cell>
          <cell r="L18">
            <v>2024</v>
          </cell>
          <cell r="M18">
            <v>2025</v>
          </cell>
          <cell r="N18">
            <v>2026</v>
          </cell>
          <cell r="O18">
            <v>2027</v>
          </cell>
          <cell r="P18">
            <v>2028</v>
          </cell>
          <cell r="Q18">
            <v>2029</v>
          </cell>
          <cell r="R18">
            <v>2030</v>
          </cell>
          <cell r="S18">
            <v>2031</v>
          </cell>
          <cell r="T18">
            <v>2032</v>
          </cell>
          <cell r="U18">
            <v>2033</v>
          </cell>
          <cell r="V18">
            <v>2034</v>
          </cell>
          <cell r="W18">
            <v>2035</v>
          </cell>
        </row>
        <row r="19">
          <cell r="B19" t="str">
            <v>Compressed Air-Retro</v>
          </cell>
          <cell r="C19" t="str">
            <v>RetroEven20</v>
          </cell>
          <cell r="D19">
            <v>0.05</v>
          </cell>
          <cell r="E19">
            <v>0.05</v>
          </cell>
          <cell r="F19">
            <v>0.05</v>
          </cell>
          <cell r="G19">
            <v>0.05</v>
          </cell>
          <cell r="H19">
            <v>0.05</v>
          </cell>
          <cell r="I19">
            <v>0.05</v>
          </cell>
          <cell r="J19">
            <v>0.05</v>
          </cell>
          <cell r="K19">
            <v>0.05</v>
          </cell>
          <cell r="L19">
            <v>0.05</v>
          </cell>
          <cell r="M19">
            <v>0.05</v>
          </cell>
          <cell r="N19">
            <v>0.05</v>
          </cell>
          <cell r="O19">
            <v>0.05</v>
          </cell>
          <cell r="P19">
            <v>0.05</v>
          </cell>
          <cell r="Q19">
            <v>0.05</v>
          </cell>
          <cell r="R19">
            <v>0.05</v>
          </cell>
          <cell r="S19">
            <v>0.05</v>
          </cell>
          <cell r="T19">
            <v>0.05</v>
          </cell>
          <cell r="U19">
            <v>0.05</v>
          </cell>
          <cell r="V19">
            <v>0.05</v>
          </cell>
          <cell r="W19">
            <v>0.05</v>
          </cell>
        </row>
        <row r="20">
          <cell r="B20" t="str">
            <v>Compressed Air-NR</v>
          </cell>
          <cell r="C20" t="str">
            <v>LOEven20</v>
          </cell>
          <cell r="D20">
            <v>0.05</v>
          </cell>
          <cell r="E20">
            <v>0.1</v>
          </cell>
          <cell r="F20">
            <v>0.15000000000000002</v>
          </cell>
          <cell r="G20">
            <v>0.2</v>
          </cell>
          <cell r="H20">
            <v>0.25</v>
          </cell>
          <cell r="I20">
            <v>0.3</v>
          </cell>
          <cell r="J20">
            <v>0.35</v>
          </cell>
          <cell r="K20">
            <v>0.39999999999999997</v>
          </cell>
          <cell r="L20">
            <v>0.44999999999999996</v>
          </cell>
          <cell r="M20">
            <v>0.49999999999999994</v>
          </cell>
          <cell r="N20">
            <v>0.54999999999999993</v>
          </cell>
          <cell r="O20">
            <v>0.6</v>
          </cell>
          <cell r="P20">
            <v>0.65</v>
          </cell>
          <cell r="Q20">
            <v>0.70000000000000007</v>
          </cell>
          <cell r="R20">
            <v>0.75000000000000011</v>
          </cell>
          <cell r="S20">
            <v>0.80000000000000016</v>
          </cell>
          <cell r="T20">
            <v>0.8500000000000002</v>
          </cell>
          <cell r="U20">
            <v>0.90000000000000024</v>
          </cell>
          <cell r="V20">
            <v>0.95000000000000029</v>
          </cell>
          <cell r="W20">
            <v>1.0000000000000002</v>
          </cell>
        </row>
        <row r="21">
          <cell r="B21" t="str">
            <v>Network PC Power Management-Retro</v>
          </cell>
          <cell r="C21" t="str">
            <v>Retro20Fast</v>
          </cell>
          <cell r="D21">
            <v>0.22119921692859512</v>
          </cell>
          <cell r="E21">
            <v>0.15504311102289431</v>
          </cell>
          <cell r="F21">
            <v>0.10733128557729499</v>
          </cell>
          <cell r="G21">
            <v>8.3589689255657879E-2</v>
          </cell>
          <cell r="H21">
            <v>7.3237179880126971E-2</v>
          </cell>
          <cell r="I21">
            <v>6.3374636711760357E-2</v>
          </cell>
          <cell r="J21">
            <v>5.4291838367783084E-2</v>
          </cell>
          <cell r="K21">
            <v>4.612639225659896E-2</v>
          </cell>
          <cell r="L21">
            <v>3.8916876277172864E-2</v>
          </cell>
          <cell r="M21">
            <v>3.2639916313151704E-2</v>
          </cell>
          <cell r="N21">
            <v>2.7235706125786907E-2</v>
          </cell>
          <cell r="O21">
            <v>2.1211189258265428E-2</v>
          </cell>
          <cell r="P21">
            <v>1.6519290804212883E-2</v>
          </cell>
          <cell r="Q21">
            <v>1.2865236614105324E-2</v>
          </cell>
          <cell r="R21">
            <v>1.0019456349464106E-2</v>
          </cell>
          <cell r="S21">
            <v>7.8031604509122832E-3</v>
          </cell>
          <cell r="T21">
            <v>6.077107469602494E-3</v>
          </cell>
          <cell r="U21">
            <v>4.7328560561354371E-3</v>
          </cell>
          <cell r="V21">
            <v>3.6859520026825132E-3</v>
          </cell>
          <cell r="W21">
            <v>2.8706223060526725E-3</v>
          </cell>
        </row>
        <row r="22">
          <cell r="B22" t="str">
            <v>Computer Servers and IT-Retro</v>
          </cell>
          <cell r="C22" t="str">
            <v>LO5Med</v>
          </cell>
          <cell r="D22">
            <v>4.2999999999999997E-2</v>
          </cell>
          <cell r="E22">
            <v>9.5797142280278316E-2</v>
          </cell>
          <cell r="F22">
            <v>0.16040539374775648</v>
          </cell>
          <cell r="G22">
            <v>0.23540539374775649</v>
          </cell>
          <cell r="H22">
            <v>0.32095239121809005</v>
          </cell>
          <cell r="I22">
            <v>0.42096711425629652</v>
          </cell>
          <cell r="J22">
            <v>0.53068481860864725</v>
          </cell>
          <cell r="K22">
            <v>0.642769203728351</v>
          </cell>
          <cell r="L22">
            <v>0.74839528535557953</v>
          </cell>
          <cell r="M22">
            <v>0.83918984935345187</v>
          </cell>
          <cell r="N22">
            <v>0.90945051634530116</v>
          </cell>
          <cell r="O22">
            <v>0.9576688767502457</v>
          </cell>
          <cell r="P22">
            <v>0.9865231113648858</v>
          </cell>
          <cell r="Q22">
            <v>1.0012970762896924</v>
          </cell>
          <cell r="R22">
            <v>1.0076356106578106</v>
          </cell>
          <cell r="S22">
            <v>1.0098624683774413</v>
          </cell>
          <cell r="T22">
            <v>1.0104871783970797</v>
          </cell>
          <cell r="U22">
            <v>1.010623336815976</v>
          </cell>
          <cell r="V22">
            <v>1.0106457174525985</v>
          </cell>
          <cell r="W22">
            <v>1.0106484038909742</v>
          </cell>
        </row>
        <row r="23">
          <cell r="B23" t="str">
            <v>Smart Plug Power Strips-Retro</v>
          </cell>
          <cell r="C23" t="str">
            <v>Retro12Med</v>
          </cell>
          <cell r="D23">
            <v>0.10937459468255628</v>
          </cell>
          <cell r="E23">
            <v>0.10937459468255628</v>
          </cell>
          <cell r="F23">
            <v>0.10937459468255628</v>
          </cell>
          <cell r="G23">
            <v>0.10937459468255628</v>
          </cell>
          <cell r="H23">
            <v>0.10937459468255628</v>
          </cell>
          <cell r="I23">
            <v>9.8437135214300656E-2</v>
          </cell>
          <cell r="J23">
            <v>7.874970817144053E-2</v>
          </cell>
          <cell r="K23">
            <v>6.2999766537152418E-2</v>
          </cell>
          <cell r="L23">
            <v>5.0399813229721938E-2</v>
          </cell>
          <cell r="M23">
            <v>4.0319850583777551E-2</v>
          </cell>
          <cell r="N23">
            <v>3.225588046702204E-2</v>
          </cell>
          <cell r="O23">
            <v>2.5804704373617631E-2</v>
          </cell>
          <cell r="P23">
            <v>2.0643763498894106E-2</v>
          </cell>
          <cell r="Q23">
            <v>1.6515010799115284E-2</v>
          </cell>
          <cell r="R23">
            <v>1.3212008639292228E-2</v>
          </cell>
          <cell r="S23">
            <v>1.0569606911433781E-2</v>
          </cell>
          <cell r="T23">
            <v>7.2092823794611682E-5</v>
          </cell>
          <cell r="U23">
            <v>2.5747437069512102E-5</v>
          </cell>
          <cell r="V23">
            <v>8.7775353646568632E-6</v>
          </cell>
          <cell r="W23">
            <v>2.8622397928446119E-6</v>
          </cell>
        </row>
        <row r="24">
          <cell r="B24" t="str">
            <v>Data Centers-NR</v>
          </cell>
          <cell r="C24" t="str">
            <v>LO5Med</v>
          </cell>
          <cell r="D24">
            <v>4.2999999999999997E-2</v>
          </cell>
          <cell r="E24">
            <v>9.5797142280278316E-2</v>
          </cell>
          <cell r="F24">
            <v>0.16040539374775648</v>
          </cell>
          <cell r="G24">
            <v>0.23540539374775649</v>
          </cell>
          <cell r="H24">
            <v>0.32095239121809005</v>
          </cell>
          <cell r="I24">
            <v>0.42096711425629652</v>
          </cell>
          <cell r="J24">
            <v>0.53068481860864725</v>
          </cell>
          <cell r="K24">
            <v>0.642769203728351</v>
          </cell>
          <cell r="L24">
            <v>0.74839528535557953</v>
          </cell>
          <cell r="M24">
            <v>0.83918984935345187</v>
          </cell>
          <cell r="N24">
            <v>0.90945051634530116</v>
          </cell>
          <cell r="O24">
            <v>0.9576688767502457</v>
          </cell>
          <cell r="P24">
            <v>0.9865231113648858</v>
          </cell>
          <cell r="Q24">
            <v>1.0012970762896924</v>
          </cell>
          <cell r="R24">
            <v>1.0076356106578106</v>
          </cell>
          <cell r="S24">
            <v>1.0098624683774413</v>
          </cell>
          <cell r="T24">
            <v>1.0104871783970797</v>
          </cell>
          <cell r="U24">
            <v>1.010623336815976</v>
          </cell>
          <cell r="V24">
            <v>1.0106457174525985</v>
          </cell>
          <cell r="W24">
            <v>1.0106484038909742</v>
          </cell>
        </row>
        <row r="25">
          <cell r="B25" t="str">
            <v>Commercial Computer Monitor-NR</v>
          </cell>
          <cell r="C25" t="str">
            <v>LO50Fast</v>
          </cell>
          <cell r="D25">
            <v>0.45</v>
          </cell>
          <cell r="E25">
            <v>0.66</v>
          </cell>
          <cell r="F25">
            <v>0.8</v>
          </cell>
          <cell r="G25">
            <v>0.89</v>
          </cell>
          <cell r="H25">
            <v>0.94954036260972652</v>
          </cell>
          <cell r="I25">
            <v>0.97931054391458994</v>
          </cell>
          <cell r="J25">
            <v>0.99254173560564019</v>
          </cell>
          <cell r="K25">
            <v>0.99783421228206048</v>
          </cell>
          <cell r="L25">
            <v>0.99975874925530417</v>
          </cell>
          <cell r="M25">
            <v>1.0004002615797187</v>
          </cell>
          <cell r="N25">
            <v>1.0005976499872309</v>
          </cell>
          <cell r="O25">
            <v>1.0006540466750915</v>
          </cell>
          <cell r="P25">
            <v>1.0006690857918545</v>
          </cell>
          <cell r="Q25">
            <v>1.000672845571045</v>
          </cell>
          <cell r="R25">
            <v>1.0006737302249724</v>
          </cell>
          <cell r="S25">
            <v>1.0006739268147338</v>
          </cell>
          <cell r="T25">
            <v>1.0006739682020522</v>
          </cell>
          <cell r="U25">
            <v>1.0006739764795158</v>
          </cell>
          <cell r="V25">
            <v>1.0006739780561755</v>
          </cell>
          <cell r="W25">
            <v>1.0006739783428409</v>
          </cell>
        </row>
        <row r="26">
          <cell r="B26" t="str">
            <v>Commercial Computer Desktop-NR</v>
          </cell>
          <cell r="C26" t="str">
            <v>LO50Fast</v>
          </cell>
          <cell r="D26">
            <v>0.45</v>
          </cell>
          <cell r="E26">
            <v>0.66</v>
          </cell>
          <cell r="F26">
            <v>0.8</v>
          </cell>
          <cell r="G26">
            <v>0.89</v>
          </cell>
          <cell r="H26">
            <v>0.94954036260972652</v>
          </cell>
          <cell r="I26">
            <v>0.97931054391458994</v>
          </cell>
          <cell r="J26">
            <v>0.99254173560564019</v>
          </cell>
          <cell r="K26">
            <v>0.99783421228206048</v>
          </cell>
          <cell r="L26">
            <v>0.99975874925530417</v>
          </cell>
          <cell r="M26">
            <v>1.0004002615797187</v>
          </cell>
          <cell r="N26">
            <v>1.0005976499872309</v>
          </cell>
          <cell r="O26">
            <v>1.0006540466750915</v>
          </cell>
          <cell r="P26">
            <v>1.0006690857918545</v>
          </cell>
          <cell r="Q26">
            <v>1.000672845571045</v>
          </cell>
          <cell r="R26">
            <v>1.0006737302249724</v>
          </cell>
          <cell r="S26">
            <v>1.0006739268147338</v>
          </cell>
          <cell r="T26">
            <v>1.0006739682020522</v>
          </cell>
          <cell r="U26">
            <v>1.0006739764795158</v>
          </cell>
          <cell r="V26">
            <v>1.0006739780561755</v>
          </cell>
          <cell r="W26">
            <v>1.0006739783428409</v>
          </cell>
        </row>
        <row r="27">
          <cell r="B27" t="str">
            <v>Pre-Rinse Spray Valve-Retro</v>
          </cell>
          <cell r="C27" t="str">
            <v>LO20Fast</v>
          </cell>
          <cell r="D27">
            <v>0.22119921692859512</v>
          </cell>
          <cell r="E27">
            <v>0.37624232795148943</v>
          </cell>
          <cell r="F27">
            <v>0.48357361352878442</v>
          </cell>
          <cell r="G27">
            <v>0.56716330278444227</v>
          </cell>
          <cell r="H27">
            <v>0.64040048266456928</v>
          </cell>
          <cell r="I27">
            <v>0.70377511937632964</v>
          </cell>
          <cell r="J27">
            <v>0.7580669577441127</v>
          </cell>
          <cell r="K27">
            <v>0.80419335000071168</v>
          </cell>
          <cell r="L27">
            <v>0.84311022627788457</v>
          </cell>
          <cell r="M27">
            <v>0.87575014259103623</v>
          </cell>
          <cell r="N27">
            <v>0.90298584871682319</v>
          </cell>
          <cell r="O27">
            <v>0.92419703797508856</v>
          </cell>
          <cell r="P27">
            <v>0.94071632877930145</v>
          </cell>
          <cell r="Q27">
            <v>0.95358156539340677</v>
          </cell>
          <cell r="R27">
            <v>0.96360102174287088</v>
          </cell>
          <cell r="S27">
            <v>0.97140418219378311</v>
          </cell>
          <cell r="T27">
            <v>0.97748128966338554</v>
          </cell>
          <cell r="U27">
            <v>0.98221414571952104</v>
          </cell>
          <cell r="V27">
            <v>0.98590009772220355</v>
          </cell>
          <cell r="W27">
            <v>0.98877072002825628</v>
          </cell>
        </row>
        <row r="28">
          <cell r="B28" t="str">
            <v>Cooking Equipment-NR</v>
          </cell>
          <cell r="C28" t="str">
            <v>LO5Med</v>
          </cell>
          <cell r="D28">
            <v>4.2999999999999997E-2</v>
          </cell>
          <cell r="E28">
            <v>9.5797142280278316E-2</v>
          </cell>
          <cell r="F28">
            <v>0.16040539374775648</v>
          </cell>
          <cell r="G28">
            <v>0.23540539374775649</v>
          </cell>
          <cell r="H28">
            <v>0.32095239121809005</v>
          </cell>
          <cell r="I28">
            <v>0.42096711425629652</v>
          </cell>
          <cell r="J28">
            <v>0.53068481860864725</v>
          </cell>
          <cell r="K28">
            <v>0.642769203728351</v>
          </cell>
          <cell r="L28">
            <v>0.74839528535557953</v>
          </cell>
          <cell r="M28">
            <v>0.83918984935345187</v>
          </cell>
          <cell r="N28">
            <v>0.90945051634530116</v>
          </cell>
          <cell r="O28">
            <v>0.9576688767502457</v>
          </cell>
          <cell r="P28">
            <v>0.9865231113648858</v>
          </cell>
          <cell r="Q28">
            <v>1.0012970762896924</v>
          </cell>
          <cell r="R28">
            <v>1.0076356106578106</v>
          </cell>
          <cell r="S28">
            <v>1.0098624683774413</v>
          </cell>
          <cell r="T28">
            <v>1.0104871783970797</v>
          </cell>
          <cell r="U28">
            <v>1.010623336815976</v>
          </cell>
          <cell r="V28">
            <v>1.0106457174525985</v>
          </cell>
          <cell r="W28">
            <v>1.0106484038909742</v>
          </cell>
        </row>
        <row r="29">
          <cell r="B29" t="str">
            <v>Premium HVAC Equipment-New</v>
          </cell>
          <cell r="C29" t="str">
            <v>LO20Fast</v>
          </cell>
          <cell r="D29">
            <v>0.22119921692859512</v>
          </cell>
          <cell r="E29">
            <v>0.37624232795148943</v>
          </cell>
          <cell r="F29">
            <v>0.48357361352878442</v>
          </cell>
          <cell r="G29">
            <v>0.56716330278444227</v>
          </cell>
          <cell r="H29">
            <v>0.64040048266456928</v>
          </cell>
          <cell r="I29">
            <v>0.70377511937632964</v>
          </cell>
          <cell r="J29">
            <v>0.7580669577441127</v>
          </cell>
          <cell r="K29">
            <v>0.80419335000071168</v>
          </cell>
          <cell r="L29">
            <v>0.84311022627788457</v>
          </cell>
          <cell r="M29">
            <v>0.87575014259103623</v>
          </cell>
          <cell r="N29">
            <v>0.90298584871682319</v>
          </cell>
          <cell r="O29">
            <v>0.92419703797508856</v>
          </cell>
          <cell r="P29">
            <v>0.94071632877930145</v>
          </cell>
          <cell r="Q29">
            <v>0.95358156539340677</v>
          </cell>
          <cell r="R29">
            <v>0.96360102174287088</v>
          </cell>
          <cell r="S29">
            <v>0.97140418219378311</v>
          </cell>
          <cell r="T29">
            <v>0.97748128966338554</v>
          </cell>
          <cell r="U29">
            <v>0.98221414571952104</v>
          </cell>
          <cell r="V29">
            <v>0.98590009772220355</v>
          </cell>
          <cell r="W29">
            <v>0.98877072002825628</v>
          </cell>
        </row>
        <row r="30">
          <cell r="B30" t="str">
            <v>Premium HVAC Equipment-NR</v>
          </cell>
          <cell r="C30" t="str">
            <v>LO20Fast</v>
          </cell>
          <cell r="D30">
            <v>0.22119921692859512</v>
          </cell>
          <cell r="E30">
            <v>0.37624232795148943</v>
          </cell>
          <cell r="F30">
            <v>0.48357361352878442</v>
          </cell>
          <cell r="G30">
            <v>0.56716330278444227</v>
          </cell>
          <cell r="H30">
            <v>0.64040048266456928</v>
          </cell>
          <cell r="I30">
            <v>0.70377511937632964</v>
          </cell>
          <cell r="J30">
            <v>0.7580669577441127</v>
          </cell>
          <cell r="K30">
            <v>0.80419335000071168</v>
          </cell>
          <cell r="L30">
            <v>0.84311022627788457</v>
          </cell>
          <cell r="M30">
            <v>0.87575014259103623</v>
          </cell>
          <cell r="N30">
            <v>0.90298584871682319</v>
          </cell>
          <cell r="O30">
            <v>0.92419703797508856</v>
          </cell>
          <cell r="P30">
            <v>0.94071632877930145</v>
          </cell>
          <cell r="Q30">
            <v>0.95358156539340677</v>
          </cell>
          <cell r="R30">
            <v>0.96360102174287088</v>
          </cell>
          <cell r="S30">
            <v>0.97140418219378311</v>
          </cell>
          <cell r="T30">
            <v>0.97748128966338554</v>
          </cell>
          <cell r="U30">
            <v>0.98221414571952104</v>
          </cell>
          <cell r="V30">
            <v>0.98590009772220355</v>
          </cell>
          <cell r="W30">
            <v>0.98877072002825628</v>
          </cell>
        </row>
        <row r="31">
          <cell r="B31" t="str">
            <v>Glass-New</v>
          </cell>
          <cell r="C31" t="str">
            <v>LO5Med</v>
          </cell>
          <cell r="D31">
            <v>4.2999999999999997E-2</v>
          </cell>
          <cell r="E31">
            <v>9.5797142280278316E-2</v>
          </cell>
          <cell r="F31">
            <v>0.16040539374775648</v>
          </cell>
          <cell r="G31">
            <v>0.23540539374775649</v>
          </cell>
          <cell r="H31">
            <v>0.32095239121809005</v>
          </cell>
          <cell r="I31">
            <v>0.42096711425629652</v>
          </cell>
          <cell r="J31">
            <v>0.53068481860864725</v>
          </cell>
          <cell r="K31">
            <v>0.642769203728351</v>
          </cell>
          <cell r="L31">
            <v>0.74839528535557953</v>
          </cell>
          <cell r="M31">
            <v>0.83918984935345187</v>
          </cell>
          <cell r="N31">
            <v>0.90945051634530116</v>
          </cell>
          <cell r="O31">
            <v>0.9576688767502457</v>
          </cell>
          <cell r="P31">
            <v>0.9865231113648858</v>
          </cell>
          <cell r="Q31">
            <v>1.0012970762896924</v>
          </cell>
          <cell r="R31">
            <v>1.0076356106578106</v>
          </cell>
          <cell r="S31">
            <v>1.0098624683774413</v>
          </cell>
          <cell r="T31">
            <v>1.0104871783970797</v>
          </cell>
          <cell r="U31">
            <v>1.010623336815976</v>
          </cell>
          <cell r="V31">
            <v>1.0106457174525985</v>
          </cell>
          <cell r="W31">
            <v>1.0106484038909742</v>
          </cell>
        </row>
        <row r="32">
          <cell r="B32" t="str">
            <v>Glass-NR</v>
          </cell>
          <cell r="C32" t="str">
            <v>LO5Med</v>
          </cell>
          <cell r="D32">
            <v>4.2999999999999997E-2</v>
          </cell>
          <cell r="E32">
            <v>9.5797142280278316E-2</v>
          </cell>
          <cell r="F32">
            <v>0.16040539374775648</v>
          </cell>
          <cell r="G32">
            <v>0.23540539374775649</v>
          </cell>
          <cell r="H32">
            <v>0.32095239121809005</v>
          </cell>
          <cell r="I32">
            <v>0.42096711425629652</v>
          </cell>
          <cell r="J32">
            <v>0.53068481860864725</v>
          </cell>
          <cell r="K32">
            <v>0.642769203728351</v>
          </cell>
          <cell r="L32">
            <v>0.74839528535557953</v>
          </cell>
          <cell r="M32">
            <v>0.83918984935345187</v>
          </cell>
          <cell r="N32">
            <v>0.90945051634530116</v>
          </cell>
          <cell r="O32">
            <v>0.9576688767502457</v>
          </cell>
          <cell r="P32">
            <v>0.9865231113648858</v>
          </cell>
          <cell r="Q32">
            <v>1.0012970762896924</v>
          </cell>
          <cell r="R32">
            <v>1.0076356106578106</v>
          </cell>
          <cell r="S32">
            <v>1.0098624683774413</v>
          </cell>
          <cell r="T32">
            <v>1.0104871783970797</v>
          </cell>
          <cell r="U32">
            <v>1.010623336815976</v>
          </cell>
          <cell r="V32">
            <v>1.0106457174525985</v>
          </cell>
          <cell r="W32">
            <v>1.0106484038909742</v>
          </cell>
        </row>
        <row r="33">
          <cell r="B33" t="str">
            <v>Glass-Retro</v>
          </cell>
          <cell r="C33" t="str">
            <v>Retro1Slow</v>
          </cell>
          <cell r="D33">
            <v>2.5643970768378654E-3</v>
          </cell>
          <cell r="E33">
            <v>5.1260615529385989E-3</v>
          </cell>
          <cell r="F33">
            <v>9.1015544176433795E-3</v>
          </cell>
          <cell r="G33">
            <v>1.4804925730045659E-2</v>
          </cell>
          <cell r="H33">
            <v>2.2471809420486211E-2</v>
          </cell>
          <cell r="I33">
            <v>3.2184432813882391E-2</v>
          </cell>
          <cell r="J33">
            <v>4.3779667172004086E-2</v>
          </cell>
          <cell r="K33">
            <v>5.675426075474499E-2</v>
          </cell>
          <cell r="L33">
            <v>7.0195239068707532E-2</v>
          </cell>
          <cell r="M33">
            <v>8.2776861842756788E-2</v>
          </cell>
          <cell r="N33">
            <v>9.2870259507494834E-2</v>
          </cell>
          <cell r="O33">
            <v>9.8796470678915727E-2</v>
          </cell>
          <cell r="P33">
            <v>9.9208932889988999E-2</v>
          </cell>
          <cell r="Q33">
            <v>9.3521150494244254E-2</v>
          </cell>
          <cell r="R33">
            <v>8.2226007896862296E-2</v>
          </cell>
          <cell r="S33">
            <v>6.6933566027365665E-2</v>
          </cell>
          <cell r="T33">
            <v>5.0029565143448806E-2</v>
          </cell>
          <cell r="U33">
            <v>3.402486521893211E-2</v>
          </cell>
          <cell r="V33">
            <v>2.0846059340774659E-2</v>
          </cell>
          <cell r="W33">
            <v>0.01</v>
          </cell>
        </row>
        <row r="34">
          <cell r="B34" t="str">
            <v>Advanced Rooftop Controller-New</v>
          </cell>
          <cell r="C34" t="str">
            <v>LO3Slow</v>
          </cell>
          <cell r="D34">
            <v>5.5320496977002724E-3</v>
          </cell>
          <cell r="E34">
            <v>1.4227918344261844E-2</v>
          </cell>
          <cell r="F34">
            <v>3.1619655637384989E-2</v>
          </cell>
          <cell r="G34">
            <v>6.2055195900350503E-2</v>
          </cell>
          <cell r="H34">
            <v>0.10939936964274129</v>
          </cell>
          <cell r="I34">
            <v>0.17568121288208835</v>
          </cell>
          <cell r="J34">
            <v>0.26003992245943919</v>
          </cell>
          <cell r="K34">
            <v>0.3584584169663485</v>
          </cell>
          <cell r="L34">
            <v>0.46444756489686617</v>
          </cell>
          <cell r="M34">
            <v>0.57043671282738384</v>
          </cell>
          <cell r="N34">
            <v>0.66935991756253377</v>
          </cell>
          <cell r="O34">
            <v>0.75591772170578986</v>
          </cell>
          <cell r="P34">
            <v>0.82720061923553012</v>
          </cell>
          <cell r="Q34">
            <v>0.88264287286977261</v>
          </cell>
          <cell r="R34">
            <v>0.92349505975816193</v>
          </cell>
          <cell r="S34">
            <v>0.95209159058003434</v>
          </cell>
          <cell r="T34">
            <v>0.97115594446128262</v>
          </cell>
          <cell r="U34">
            <v>0.98328780602207699</v>
          </cell>
          <cell r="V34">
            <v>0.99067241740690848</v>
          </cell>
          <cell r="W34">
            <v>0.99498010738139331</v>
          </cell>
        </row>
        <row r="35">
          <cell r="B35" t="str">
            <v>Advanced Rooftop Controller-NR</v>
          </cell>
          <cell r="C35" t="str">
            <v>LO3Slow</v>
          </cell>
          <cell r="D35">
            <v>5.5320496977002724E-3</v>
          </cell>
          <cell r="E35">
            <v>1.4227918344261844E-2</v>
          </cell>
          <cell r="F35">
            <v>3.1619655637384989E-2</v>
          </cell>
          <cell r="G35">
            <v>6.2055195900350503E-2</v>
          </cell>
          <cell r="H35">
            <v>0.10939936964274129</v>
          </cell>
          <cell r="I35">
            <v>0.17568121288208835</v>
          </cell>
          <cell r="J35">
            <v>0.26003992245943919</v>
          </cell>
          <cell r="K35">
            <v>0.3584584169663485</v>
          </cell>
          <cell r="L35">
            <v>0.46444756489686617</v>
          </cell>
          <cell r="M35">
            <v>0.57043671282738384</v>
          </cell>
          <cell r="N35">
            <v>0.66935991756253377</v>
          </cell>
          <cell r="O35">
            <v>0.75591772170578986</v>
          </cell>
          <cell r="P35">
            <v>0.82720061923553012</v>
          </cell>
          <cell r="Q35">
            <v>0.88264287286977261</v>
          </cell>
          <cell r="R35">
            <v>0.92349505975816193</v>
          </cell>
          <cell r="S35">
            <v>0.95209159058003434</v>
          </cell>
          <cell r="T35">
            <v>0.97115594446128262</v>
          </cell>
          <cell r="U35">
            <v>0.98328780602207699</v>
          </cell>
          <cell r="V35">
            <v>0.99067241740690848</v>
          </cell>
          <cell r="W35">
            <v>0.99498010738139331</v>
          </cell>
        </row>
        <row r="36">
          <cell r="B36" t="str">
            <v>Advanced Rooftop Controller-Retro</v>
          </cell>
          <cell r="C36" t="str">
            <v>Retro3Slow</v>
          </cell>
          <cell r="D36">
            <v>5.5320496977002724E-3</v>
          </cell>
          <cell r="E36">
            <v>8.6958686465615706E-3</v>
          </cell>
          <cell r="F36">
            <v>1.7391737293123145E-2</v>
          </cell>
          <cell r="G36">
            <v>3.0435540262965514E-2</v>
          </cell>
          <cell r="H36">
            <v>4.7344173742390784E-2</v>
          </cell>
          <cell r="I36">
            <v>6.6281843239347063E-2</v>
          </cell>
          <cell r="J36">
            <v>8.4358709577350838E-2</v>
          </cell>
          <cell r="K36">
            <v>9.8418494506909315E-2</v>
          </cell>
          <cell r="L36">
            <v>0.10598914793051767</v>
          </cell>
          <cell r="M36">
            <v>0.10598914793051767</v>
          </cell>
          <cell r="N36">
            <v>9.8923204735149928E-2</v>
          </cell>
          <cell r="O36">
            <v>8.655780414325609E-2</v>
          </cell>
          <cell r="P36">
            <v>7.1282897529740263E-2</v>
          </cell>
          <cell r="Q36">
            <v>5.5442253634242489E-2</v>
          </cell>
          <cell r="R36">
            <v>4.0852186888389319E-2</v>
          </cell>
          <cell r="S36">
            <v>2.8596530821872412E-2</v>
          </cell>
          <cell r="T36">
            <v>1.9064353881248275E-2</v>
          </cell>
          <cell r="U36">
            <v>1.2131861560794377E-2</v>
          </cell>
          <cell r="V36">
            <v>7.3846113848314854E-3</v>
          </cell>
          <cell r="W36">
            <v>4.3076899744848296E-3</v>
          </cell>
        </row>
        <row r="37">
          <cell r="B37" t="str">
            <v>Variable Speed Chiller-New</v>
          </cell>
          <cell r="C37" t="str">
            <v>LO50Fast</v>
          </cell>
          <cell r="D37">
            <v>0.45</v>
          </cell>
          <cell r="E37">
            <v>0.66</v>
          </cell>
          <cell r="F37">
            <v>0.8</v>
          </cell>
          <cell r="G37">
            <v>0.89</v>
          </cell>
          <cell r="H37">
            <v>0.94954036260972652</v>
          </cell>
          <cell r="I37">
            <v>0.97931054391458994</v>
          </cell>
          <cell r="J37">
            <v>0.99254173560564019</v>
          </cell>
          <cell r="K37">
            <v>0.99783421228206048</v>
          </cell>
          <cell r="L37">
            <v>0.99975874925530417</v>
          </cell>
          <cell r="M37">
            <v>1.0004002615797187</v>
          </cell>
          <cell r="N37">
            <v>1.0005976499872309</v>
          </cell>
          <cell r="O37">
            <v>1.0006540466750915</v>
          </cell>
          <cell r="P37">
            <v>1.0006690857918545</v>
          </cell>
          <cell r="Q37">
            <v>1.000672845571045</v>
          </cell>
          <cell r="R37">
            <v>1.0006737302249724</v>
          </cell>
          <cell r="S37">
            <v>1.0006739268147338</v>
          </cell>
          <cell r="T37">
            <v>1.0006739682020522</v>
          </cell>
          <cell r="U37">
            <v>1.0006739764795158</v>
          </cell>
          <cell r="V37">
            <v>1.0006739780561755</v>
          </cell>
          <cell r="W37">
            <v>1.0006739783428409</v>
          </cell>
        </row>
        <row r="38">
          <cell r="B38" t="str">
            <v>Variable Speed Chiller-NR</v>
          </cell>
          <cell r="C38" t="str">
            <v>LO50Fast</v>
          </cell>
          <cell r="D38">
            <v>0.45</v>
          </cell>
          <cell r="E38">
            <v>0.66</v>
          </cell>
          <cell r="F38">
            <v>0.8</v>
          </cell>
          <cell r="G38">
            <v>0.89</v>
          </cell>
          <cell r="H38">
            <v>0.94954036260972652</v>
          </cell>
          <cell r="I38">
            <v>0.97931054391458994</v>
          </cell>
          <cell r="J38">
            <v>0.99254173560564019</v>
          </cell>
          <cell r="K38">
            <v>0.99783421228206048</v>
          </cell>
          <cell r="L38">
            <v>0.99975874925530417</v>
          </cell>
          <cell r="M38">
            <v>1.0004002615797187</v>
          </cell>
          <cell r="N38">
            <v>1.0005976499872309</v>
          </cell>
          <cell r="O38">
            <v>1.0006540466750915</v>
          </cell>
          <cell r="P38">
            <v>1.0006690857918545</v>
          </cell>
          <cell r="Q38">
            <v>1.000672845571045</v>
          </cell>
          <cell r="R38">
            <v>1.0006737302249724</v>
          </cell>
          <cell r="S38">
            <v>1.0006739268147338</v>
          </cell>
          <cell r="T38">
            <v>1.0006739682020522</v>
          </cell>
          <cell r="U38">
            <v>1.0006739764795158</v>
          </cell>
          <cell r="V38">
            <v>1.0006739780561755</v>
          </cell>
          <cell r="W38">
            <v>1.0006739783428409</v>
          </cell>
        </row>
        <row r="39">
          <cell r="B39" t="str">
            <v>Commercial EM-New</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row>
        <row r="40">
          <cell r="B40" t="str">
            <v>Commercial EM-NR</v>
          </cell>
          <cell r="C40" t="str">
            <v>LO12Med</v>
          </cell>
          <cell r="D40">
            <v>0.10937459468255628</v>
          </cell>
          <cell r="E40">
            <v>0.21874918936511256</v>
          </cell>
          <cell r="F40">
            <v>0.32812378404766884</v>
          </cell>
          <cell r="G40">
            <v>0.43749837873022512</v>
          </cell>
          <cell r="H40">
            <v>0.5468729734127814</v>
          </cell>
          <cell r="I40">
            <v>0.64531010862708205</v>
          </cell>
          <cell r="J40">
            <v>0.7240598167985226</v>
          </cell>
          <cell r="K40">
            <v>0.78705958333567505</v>
          </cell>
          <cell r="L40">
            <v>0.83745939656539703</v>
          </cell>
          <cell r="M40">
            <v>0.87777924714917455</v>
          </cell>
          <cell r="N40">
            <v>0.91003512761619654</v>
          </cell>
          <cell r="O40">
            <v>0.93583983198981413</v>
          </cell>
          <cell r="P40">
            <v>0.9564835954887082</v>
          </cell>
          <cell r="Q40">
            <v>0.97299860628782353</v>
          </cell>
          <cell r="R40">
            <v>0.9862106149271157</v>
          </cell>
          <cell r="S40">
            <v>0.99678022183854953</v>
          </cell>
          <cell r="T40">
            <v>0.99685231466234414</v>
          </cell>
          <cell r="U40">
            <v>0.99687806209941365</v>
          </cell>
          <cell r="V40">
            <v>0.99688683963477831</v>
          </cell>
          <cell r="W40">
            <v>0.99688970187457115</v>
          </cell>
        </row>
        <row r="41">
          <cell r="B41" t="str">
            <v>Commercial EM-Retro</v>
          </cell>
          <cell r="C41" t="str">
            <v>Retro12Med</v>
          </cell>
          <cell r="D41">
            <v>0.10937459468255628</v>
          </cell>
          <cell r="E41">
            <v>0.10937459468255628</v>
          </cell>
          <cell r="F41">
            <v>0.10937459468255628</v>
          </cell>
          <cell r="G41">
            <v>0.10937459468255628</v>
          </cell>
          <cell r="H41">
            <v>0.10937459468255628</v>
          </cell>
          <cell r="I41">
            <v>9.8437135214300656E-2</v>
          </cell>
          <cell r="J41">
            <v>7.874970817144053E-2</v>
          </cell>
          <cell r="K41">
            <v>6.2999766537152418E-2</v>
          </cell>
          <cell r="L41">
            <v>5.0399813229721938E-2</v>
          </cell>
          <cell r="M41">
            <v>4.0319850583777551E-2</v>
          </cell>
          <cell r="N41">
            <v>3.225588046702204E-2</v>
          </cell>
          <cell r="O41">
            <v>2.5804704373617631E-2</v>
          </cell>
          <cell r="P41">
            <v>2.0643763498894106E-2</v>
          </cell>
          <cell r="Q41">
            <v>1.6515010799115284E-2</v>
          </cell>
          <cell r="R41">
            <v>1.3212008639292228E-2</v>
          </cell>
          <cell r="S41">
            <v>1.0569606911433781E-2</v>
          </cell>
          <cell r="T41">
            <v>7.2092823794611682E-5</v>
          </cell>
          <cell r="U41">
            <v>2.5747437069512102E-5</v>
          </cell>
          <cell r="V41">
            <v>8.7775353646568632E-6</v>
          </cell>
          <cell r="W41">
            <v>2.8622397928446119E-6</v>
          </cell>
        </row>
        <row r="42">
          <cell r="B42" t="str">
            <v>Evaporative Assist Cooling-New</v>
          </cell>
          <cell r="C42" t="str">
            <v>LO1Slow</v>
          </cell>
          <cell r="D42">
            <v>2.5643970768378654E-3</v>
          </cell>
          <cell r="E42">
            <v>7.6904586297764643E-3</v>
          </cell>
          <cell r="F42">
            <v>1.6792013047419844E-2</v>
          </cell>
          <cell r="G42">
            <v>3.15969387774655E-2</v>
          </cell>
          <cell r="H42">
            <v>5.406874819795171E-2</v>
          </cell>
          <cell r="I42">
            <v>8.6253181011834101E-2</v>
          </cell>
          <cell r="J42">
            <v>0.1300328481838382</v>
          </cell>
          <cell r="K42">
            <v>0.18678710893858319</v>
          </cell>
          <cell r="L42">
            <v>0.2569823480072907</v>
          </cell>
          <cell r="M42">
            <v>0.33975920985004748</v>
          </cell>
          <cell r="N42">
            <v>0.43262946935754232</v>
          </cell>
          <cell r="O42">
            <v>0.53142594003645804</v>
          </cell>
          <cell r="P42">
            <v>0.63063487292644704</v>
          </cell>
          <cell r="Q42">
            <v>0.7241560234206913</v>
          </cell>
          <cell r="R42">
            <v>0.80638203131755359</v>
          </cell>
          <cell r="S42">
            <v>0.87331559734491926</v>
          </cell>
          <cell r="T42">
            <v>0.92334516248836807</v>
          </cell>
          <cell r="U42">
            <v>0.95737002770730018</v>
          </cell>
          <cell r="V42">
            <v>0.97821608704807483</v>
          </cell>
          <cell r="W42">
            <v>0.98821608704807484</v>
          </cell>
        </row>
        <row r="43">
          <cell r="B43" t="str">
            <v>Evaporative Assist Cooling-NR</v>
          </cell>
          <cell r="C43" t="str">
            <v>LO1Slow</v>
          </cell>
          <cell r="D43">
            <v>2.5643970768378654E-3</v>
          </cell>
          <cell r="E43">
            <v>7.6904586297764643E-3</v>
          </cell>
          <cell r="F43">
            <v>1.6792013047419844E-2</v>
          </cell>
          <cell r="G43">
            <v>3.15969387774655E-2</v>
          </cell>
          <cell r="H43">
            <v>5.406874819795171E-2</v>
          </cell>
          <cell r="I43">
            <v>8.6253181011834101E-2</v>
          </cell>
          <cell r="J43">
            <v>0.1300328481838382</v>
          </cell>
          <cell r="K43">
            <v>0.18678710893858319</v>
          </cell>
          <cell r="L43">
            <v>0.2569823480072907</v>
          </cell>
          <cell r="M43">
            <v>0.33975920985004748</v>
          </cell>
          <cell r="N43">
            <v>0.43262946935754232</v>
          </cell>
          <cell r="O43">
            <v>0.53142594003645804</v>
          </cell>
          <cell r="P43">
            <v>0.63063487292644704</v>
          </cell>
          <cell r="Q43">
            <v>0.7241560234206913</v>
          </cell>
          <cell r="R43">
            <v>0.80638203131755359</v>
          </cell>
          <cell r="S43">
            <v>0.87331559734491926</v>
          </cell>
          <cell r="T43">
            <v>0.92334516248836807</v>
          </cell>
          <cell r="U43">
            <v>0.95737002770730018</v>
          </cell>
          <cell r="V43">
            <v>0.97821608704807483</v>
          </cell>
          <cell r="W43">
            <v>0.98821608704807484</v>
          </cell>
        </row>
        <row r="44">
          <cell r="B44" t="str">
            <v>Low Pressure Distribution Complex HVAC-New</v>
          </cell>
          <cell r="C44" t="str">
            <v>LO1Slow</v>
          </cell>
          <cell r="D44">
            <v>2.5643970768378654E-3</v>
          </cell>
          <cell r="E44">
            <v>7.6904586297764643E-3</v>
          </cell>
          <cell r="F44">
            <v>1.6792013047419844E-2</v>
          </cell>
          <cell r="G44">
            <v>3.15969387774655E-2</v>
          </cell>
          <cell r="H44">
            <v>5.406874819795171E-2</v>
          </cell>
          <cell r="I44">
            <v>8.6253181011834101E-2</v>
          </cell>
          <cell r="J44">
            <v>0.1300328481838382</v>
          </cell>
          <cell r="K44">
            <v>0.18678710893858319</v>
          </cell>
          <cell r="L44">
            <v>0.2569823480072907</v>
          </cell>
          <cell r="M44">
            <v>0.33975920985004748</v>
          </cell>
          <cell r="N44">
            <v>0.43262946935754232</v>
          </cell>
          <cell r="O44">
            <v>0.53142594003645804</v>
          </cell>
          <cell r="P44">
            <v>0.63063487292644704</v>
          </cell>
          <cell r="Q44">
            <v>0.7241560234206913</v>
          </cell>
          <cell r="R44">
            <v>0.80638203131755359</v>
          </cell>
          <cell r="S44">
            <v>0.87331559734491926</v>
          </cell>
          <cell r="T44">
            <v>0.92334516248836807</v>
          </cell>
          <cell r="U44">
            <v>0.95737002770730018</v>
          </cell>
          <cell r="V44">
            <v>0.97821608704807483</v>
          </cell>
          <cell r="W44">
            <v>0.98821608704807484</v>
          </cell>
        </row>
        <row r="45">
          <cell r="B45" t="str">
            <v>Demand Control Ventilation-New</v>
          </cell>
          <cell r="C45" t="str">
            <v>LOEven20</v>
          </cell>
          <cell r="D45">
            <v>0.05</v>
          </cell>
          <cell r="E45">
            <v>0.1</v>
          </cell>
          <cell r="F45">
            <v>0.15000000000000002</v>
          </cell>
          <cell r="G45">
            <v>0.2</v>
          </cell>
          <cell r="H45">
            <v>0.25</v>
          </cell>
          <cell r="I45">
            <v>0.3</v>
          </cell>
          <cell r="J45">
            <v>0.35</v>
          </cell>
          <cell r="K45">
            <v>0.39999999999999997</v>
          </cell>
          <cell r="L45">
            <v>0.44999999999999996</v>
          </cell>
          <cell r="M45">
            <v>0.49999999999999994</v>
          </cell>
          <cell r="N45">
            <v>0.54999999999999993</v>
          </cell>
          <cell r="O45">
            <v>0.6</v>
          </cell>
          <cell r="P45">
            <v>0.65</v>
          </cell>
          <cell r="Q45">
            <v>0.70000000000000007</v>
          </cell>
          <cell r="R45">
            <v>0.75000000000000011</v>
          </cell>
          <cell r="S45">
            <v>0.80000000000000016</v>
          </cell>
          <cell r="T45">
            <v>0.8500000000000002</v>
          </cell>
          <cell r="U45">
            <v>0.90000000000000024</v>
          </cell>
          <cell r="V45">
            <v>0.95000000000000029</v>
          </cell>
          <cell r="W45">
            <v>1.0000000000000002</v>
          </cell>
        </row>
        <row r="46">
          <cell r="B46" t="str">
            <v>Demand Control Ventilation-NR</v>
          </cell>
          <cell r="C46" t="str">
            <v>LOEven20</v>
          </cell>
          <cell r="D46">
            <v>0.05</v>
          </cell>
          <cell r="E46">
            <v>0.1</v>
          </cell>
          <cell r="F46">
            <v>0.15000000000000002</v>
          </cell>
          <cell r="G46">
            <v>0.2</v>
          </cell>
          <cell r="H46">
            <v>0.25</v>
          </cell>
          <cell r="I46">
            <v>0.3</v>
          </cell>
          <cell r="J46">
            <v>0.35</v>
          </cell>
          <cell r="K46">
            <v>0.39999999999999997</v>
          </cell>
          <cell r="L46">
            <v>0.44999999999999996</v>
          </cell>
          <cell r="M46">
            <v>0.49999999999999994</v>
          </cell>
          <cell r="N46">
            <v>0.54999999999999993</v>
          </cell>
          <cell r="O46">
            <v>0.6</v>
          </cell>
          <cell r="P46">
            <v>0.65</v>
          </cell>
          <cell r="Q46">
            <v>0.70000000000000007</v>
          </cell>
          <cell r="R46">
            <v>0.75000000000000011</v>
          </cell>
          <cell r="S46">
            <v>0.80000000000000016</v>
          </cell>
          <cell r="T46">
            <v>0.8500000000000002</v>
          </cell>
          <cell r="U46">
            <v>0.90000000000000024</v>
          </cell>
          <cell r="V46">
            <v>0.95000000000000029</v>
          </cell>
          <cell r="W46">
            <v>1.0000000000000002</v>
          </cell>
        </row>
        <row r="47">
          <cell r="B47" t="str">
            <v>Demand Control Ventilation-Retro</v>
          </cell>
          <cell r="C47" t="str">
            <v>RetroEven20</v>
          </cell>
          <cell r="D47">
            <v>0.05</v>
          </cell>
          <cell r="E47">
            <v>0.05</v>
          </cell>
          <cell r="F47">
            <v>0.05</v>
          </cell>
          <cell r="G47">
            <v>0.05</v>
          </cell>
          <cell r="H47">
            <v>0.05</v>
          </cell>
          <cell r="I47">
            <v>0.05</v>
          </cell>
          <cell r="J47">
            <v>0.05</v>
          </cell>
          <cell r="K47">
            <v>0.05</v>
          </cell>
          <cell r="L47">
            <v>0.05</v>
          </cell>
          <cell r="M47">
            <v>0.05</v>
          </cell>
          <cell r="N47">
            <v>0.05</v>
          </cell>
          <cell r="O47">
            <v>0.05</v>
          </cell>
          <cell r="P47">
            <v>0.05</v>
          </cell>
          <cell r="Q47">
            <v>0.05</v>
          </cell>
          <cell r="R47">
            <v>0.05</v>
          </cell>
          <cell r="S47">
            <v>0.05</v>
          </cell>
          <cell r="T47">
            <v>0.05</v>
          </cell>
          <cell r="U47">
            <v>0.05</v>
          </cell>
          <cell r="V47">
            <v>0.05</v>
          </cell>
          <cell r="W47">
            <v>0.05</v>
          </cell>
        </row>
        <row r="48">
          <cell r="B48" t="str">
            <v>Premium Fume Hood-NR</v>
          </cell>
          <cell r="C48" t="str">
            <v>LOEven20</v>
          </cell>
          <cell r="D48">
            <v>0.05</v>
          </cell>
          <cell r="E48">
            <v>0.1</v>
          </cell>
          <cell r="F48">
            <v>0.15000000000000002</v>
          </cell>
          <cell r="G48">
            <v>0.2</v>
          </cell>
          <cell r="H48">
            <v>0.25</v>
          </cell>
          <cell r="I48">
            <v>0.3</v>
          </cell>
          <cell r="J48">
            <v>0.35</v>
          </cell>
          <cell r="K48">
            <v>0.39999999999999997</v>
          </cell>
          <cell r="L48">
            <v>0.44999999999999996</v>
          </cell>
          <cell r="M48">
            <v>0.49999999999999994</v>
          </cell>
          <cell r="N48">
            <v>0.54999999999999993</v>
          </cell>
          <cell r="O48">
            <v>0.6</v>
          </cell>
          <cell r="P48">
            <v>0.65</v>
          </cell>
          <cell r="Q48">
            <v>0.70000000000000007</v>
          </cell>
          <cell r="R48">
            <v>0.75000000000000011</v>
          </cell>
          <cell r="S48">
            <v>0.80000000000000016</v>
          </cell>
          <cell r="T48">
            <v>0.8500000000000002</v>
          </cell>
          <cell r="U48">
            <v>0.90000000000000024</v>
          </cell>
          <cell r="V48">
            <v>0.95000000000000029</v>
          </cell>
          <cell r="W48">
            <v>1.0000000000000002</v>
          </cell>
        </row>
        <row r="49">
          <cell r="B49" t="str">
            <v>DCV Restaurant Hood-Retro</v>
          </cell>
          <cell r="C49" t="str">
            <v>Retro20Fast</v>
          </cell>
          <cell r="D49">
            <v>0.22119921692859512</v>
          </cell>
          <cell r="E49">
            <v>0.15504311102289431</v>
          </cell>
          <cell r="F49">
            <v>0.10733128557729499</v>
          </cell>
          <cell r="G49">
            <v>8.3589689255657879E-2</v>
          </cell>
          <cell r="H49">
            <v>7.3237179880126971E-2</v>
          </cell>
          <cell r="I49">
            <v>6.3374636711760357E-2</v>
          </cell>
          <cell r="J49">
            <v>5.4291838367783084E-2</v>
          </cell>
          <cell r="K49">
            <v>4.612639225659896E-2</v>
          </cell>
          <cell r="L49">
            <v>3.8916876277172864E-2</v>
          </cell>
          <cell r="M49">
            <v>3.2639916313151704E-2</v>
          </cell>
          <cell r="N49">
            <v>2.7235706125786907E-2</v>
          </cell>
          <cell r="O49">
            <v>2.1211189258265428E-2</v>
          </cell>
          <cell r="P49">
            <v>1.6519290804212883E-2</v>
          </cell>
          <cell r="Q49">
            <v>1.2865236614105324E-2</v>
          </cell>
          <cell r="R49">
            <v>1.0019456349464106E-2</v>
          </cell>
          <cell r="S49">
            <v>7.8031604509122832E-3</v>
          </cell>
          <cell r="T49">
            <v>6.077107469602494E-3</v>
          </cell>
          <cell r="U49">
            <v>4.7328560561354371E-3</v>
          </cell>
          <cell r="V49">
            <v>3.6859520026825132E-3</v>
          </cell>
          <cell r="W49">
            <v>2.8706223060526725E-3</v>
          </cell>
        </row>
        <row r="50">
          <cell r="B50" t="str">
            <v>DCV Parking Garage-Retro</v>
          </cell>
          <cell r="C50" t="str">
            <v>Retro20Fast</v>
          </cell>
          <cell r="D50">
            <v>0.22119921692859512</v>
          </cell>
          <cell r="E50">
            <v>0.15504311102289431</v>
          </cell>
          <cell r="F50">
            <v>0.10733128557729499</v>
          </cell>
          <cell r="G50">
            <v>8.3589689255657879E-2</v>
          </cell>
          <cell r="H50">
            <v>7.3237179880126971E-2</v>
          </cell>
          <cell r="I50">
            <v>6.3374636711760357E-2</v>
          </cell>
          <cell r="J50">
            <v>5.4291838367783084E-2</v>
          </cell>
          <cell r="K50">
            <v>4.612639225659896E-2</v>
          </cell>
          <cell r="L50">
            <v>3.8916876277172864E-2</v>
          </cell>
          <cell r="M50">
            <v>3.2639916313151704E-2</v>
          </cell>
          <cell r="N50">
            <v>2.7235706125786907E-2</v>
          </cell>
          <cell r="O50">
            <v>2.1211189258265428E-2</v>
          </cell>
          <cell r="P50">
            <v>1.6519290804212883E-2</v>
          </cell>
          <cell r="Q50">
            <v>1.2865236614105324E-2</v>
          </cell>
          <cell r="R50">
            <v>1.0019456349464106E-2</v>
          </cell>
          <cell r="S50">
            <v>7.8031604509122832E-3</v>
          </cell>
          <cell r="T50">
            <v>6.077107469602494E-3</v>
          </cell>
          <cell r="U50">
            <v>4.7328560561354371E-3</v>
          </cell>
          <cell r="V50">
            <v>3.6859520026825132E-3</v>
          </cell>
          <cell r="W50">
            <v>2.8706223060526725E-3</v>
          </cell>
        </row>
        <row r="51">
          <cell r="B51" t="str">
            <v>Weatherization - School-Retro</v>
          </cell>
          <cell r="C51" t="str">
            <v>RetroEven20</v>
          </cell>
          <cell r="D51">
            <v>0.05</v>
          </cell>
          <cell r="E51">
            <v>0.05</v>
          </cell>
          <cell r="F51">
            <v>0.05</v>
          </cell>
          <cell r="G51">
            <v>0.05</v>
          </cell>
          <cell r="H51">
            <v>0.05</v>
          </cell>
          <cell r="I51">
            <v>0.05</v>
          </cell>
          <cell r="J51">
            <v>0.05</v>
          </cell>
          <cell r="K51">
            <v>0.05</v>
          </cell>
          <cell r="L51">
            <v>0.05</v>
          </cell>
          <cell r="M51">
            <v>0.05</v>
          </cell>
          <cell r="N51">
            <v>0.05</v>
          </cell>
          <cell r="O51">
            <v>0.05</v>
          </cell>
          <cell r="P51">
            <v>0.05</v>
          </cell>
          <cell r="Q51">
            <v>0.05</v>
          </cell>
          <cell r="R51">
            <v>0.05</v>
          </cell>
          <cell r="S51">
            <v>0.05</v>
          </cell>
          <cell r="T51">
            <v>0.05</v>
          </cell>
          <cell r="U51">
            <v>0.05</v>
          </cell>
          <cell r="V51">
            <v>0.05</v>
          </cell>
          <cell r="W51">
            <v>0.05</v>
          </cell>
        </row>
        <row r="52">
          <cell r="B52" t="str">
            <v>Commercial Computer Laptop-NR</v>
          </cell>
          <cell r="C52" t="str">
            <v>LO5Med</v>
          </cell>
          <cell r="D52">
            <v>4.2999999999999997E-2</v>
          </cell>
          <cell r="E52">
            <v>9.5797142280278316E-2</v>
          </cell>
          <cell r="F52">
            <v>0.16040539374775648</v>
          </cell>
          <cell r="G52">
            <v>0.23540539374775649</v>
          </cell>
          <cell r="H52">
            <v>0.32095239121809005</v>
          </cell>
          <cell r="I52">
            <v>0.42096711425629652</v>
          </cell>
          <cell r="J52">
            <v>0.53068481860864725</v>
          </cell>
          <cell r="K52">
            <v>0.642769203728351</v>
          </cell>
          <cell r="L52">
            <v>0.74839528535557953</v>
          </cell>
          <cell r="M52">
            <v>0.83918984935345187</v>
          </cell>
          <cell r="N52">
            <v>0.90945051634530116</v>
          </cell>
          <cell r="O52">
            <v>0.9576688767502457</v>
          </cell>
          <cell r="P52">
            <v>0.9865231113648858</v>
          </cell>
          <cell r="Q52">
            <v>1.0012970762896924</v>
          </cell>
          <cell r="R52">
            <v>1.0076356106578106</v>
          </cell>
          <cell r="S52">
            <v>1.0098624683774413</v>
          </cell>
          <cell r="T52">
            <v>1.0104871783970797</v>
          </cell>
          <cell r="U52">
            <v>1.010623336815976</v>
          </cell>
          <cell r="V52">
            <v>1.0106457174525985</v>
          </cell>
          <cell r="W52">
            <v>1.0106484038909742</v>
          </cell>
        </row>
        <row r="53">
          <cell r="B53" t="str">
            <v>AC Heat Recovery for Water Heating-NR</v>
          </cell>
          <cell r="C53" t="str">
            <v>LO5Med</v>
          </cell>
          <cell r="D53">
            <v>4.2999999999999997E-2</v>
          </cell>
          <cell r="E53">
            <v>9.5797142280278316E-2</v>
          </cell>
          <cell r="F53">
            <v>0.16040539374775648</v>
          </cell>
          <cell r="G53">
            <v>0.23540539374775649</v>
          </cell>
          <cell r="H53">
            <v>0.32095239121809005</v>
          </cell>
          <cell r="I53">
            <v>0.42096711425629652</v>
          </cell>
          <cell r="J53">
            <v>0.53068481860864725</v>
          </cell>
          <cell r="K53">
            <v>0.642769203728351</v>
          </cell>
          <cell r="L53">
            <v>0.74839528535557953</v>
          </cell>
          <cell r="M53">
            <v>0.83918984935345187</v>
          </cell>
          <cell r="N53">
            <v>0.90945051634530116</v>
          </cell>
          <cell r="O53">
            <v>0.9576688767502457</v>
          </cell>
          <cell r="P53">
            <v>0.9865231113648858</v>
          </cell>
          <cell r="Q53">
            <v>1.0012970762896924</v>
          </cell>
          <cell r="R53">
            <v>1.0076356106578106</v>
          </cell>
          <cell r="S53">
            <v>1.0098624683774413</v>
          </cell>
          <cell r="T53">
            <v>1.0104871783970797</v>
          </cell>
          <cell r="U53">
            <v>1.010623336815976</v>
          </cell>
          <cell r="V53">
            <v>1.0106457174525985</v>
          </cell>
          <cell r="W53">
            <v>1.0106484038909742</v>
          </cell>
        </row>
        <row r="54">
          <cell r="B54" t="str">
            <v>Room Occupancy Sensors in Lodging-Retro</v>
          </cell>
          <cell r="C54" t="str">
            <v>LO5Med</v>
          </cell>
          <cell r="D54">
            <v>4.2999999999999997E-2</v>
          </cell>
          <cell r="E54">
            <v>9.5797142280278316E-2</v>
          </cell>
          <cell r="F54">
            <v>0.16040539374775648</v>
          </cell>
          <cell r="G54">
            <v>0.23540539374775649</v>
          </cell>
          <cell r="H54">
            <v>0.32095239121809005</v>
          </cell>
          <cell r="I54">
            <v>0.42096711425629652</v>
          </cell>
          <cell r="J54">
            <v>0.53068481860864725</v>
          </cell>
          <cell r="K54">
            <v>0.642769203728351</v>
          </cell>
          <cell r="L54">
            <v>0.74839528535557953</v>
          </cell>
          <cell r="M54">
            <v>0.83918984935345187</v>
          </cell>
          <cell r="N54">
            <v>0.90945051634530116</v>
          </cell>
          <cell r="O54">
            <v>0.9576688767502457</v>
          </cell>
          <cell r="P54">
            <v>0.9865231113648858</v>
          </cell>
          <cell r="Q54">
            <v>1.0012970762896924</v>
          </cell>
          <cell r="R54">
            <v>1.0076356106578106</v>
          </cell>
          <cell r="S54">
            <v>1.0098624683774413</v>
          </cell>
          <cell r="T54">
            <v>1.0104871783970797</v>
          </cell>
          <cell r="U54">
            <v>1.010623336815976</v>
          </cell>
          <cell r="V54">
            <v>1.0106457174525985</v>
          </cell>
          <cell r="W54">
            <v>1.0106484038909742</v>
          </cell>
        </row>
        <row r="55">
          <cell r="B55" t="str">
            <v>Chiller - chilled water retrofit-Retro</v>
          </cell>
          <cell r="C55" t="str">
            <v>Retro12Med</v>
          </cell>
          <cell r="D55">
            <v>0.10937459468255628</v>
          </cell>
          <cell r="E55">
            <v>0.10937459468255628</v>
          </cell>
          <cell r="F55">
            <v>0.10937459468255628</v>
          </cell>
          <cell r="G55">
            <v>0.10937459468255628</v>
          </cell>
          <cell r="H55">
            <v>0.10937459468255628</v>
          </cell>
          <cell r="I55">
            <v>9.8437135214300656E-2</v>
          </cell>
          <cell r="J55">
            <v>7.874970817144053E-2</v>
          </cell>
          <cell r="K55">
            <v>6.2999766537152418E-2</v>
          </cell>
          <cell r="L55">
            <v>5.0399813229721938E-2</v>
          </cell>
          <cell r="M55">
            <v>4.0319850583777551E-2</v>
          </cell>
          <cell r="N55">
            <v>3.225588046702204E-2</v>
          </cell>
          <cell r="O55">
            <v>2.5804704373617631E-2</v>
          </cell>
          <cell r="P55">
            <v>2.0643763498894106E-2</v>
          </cell>
          <cell r="Q55">
            <v>1.6515010799115284E-2</v>
          </cell>
          <cell r="R55">
            <v>1.3212008639292228E-2</v>
          </cell>
          <cell r="S55">
            <v>1.0569606911433781E-2</v>
          </cell>
          <cell r="T55">
            <v>7.2092823794611682E-5</v>
          </cell>
          <cell r="U55">
            <v>2.5747437069512102E-5</v>
          </cell>
          <cell r="V55">
            <v>8.7775353646568632E-6</v>
          </cell>
          <cell r="W55">
            <v>2.8622397928446119E-6</v>
          </cell>
        </row>
        <row r="56">
          <cell r="B56" t="str">
            <v>Chiller - equip retrofits-Retro</v>
          </cell>
          <cell r="C56" t="str">
            <v>Retro12Med</v>
          </cell>
          <cell r="D56">
            <v>0.10937459468255628</v>
          </cell>
          <cell r="E56">
            <v>0.10937459468255628</v>
          </cell>
          <cell r="F56">
            <v>0.10937459468255628</v>
          </cell>
          <cell r="G56">
            <v>0.10937459468255628</v>
          </cell>
          <cell r="H56">
            <v>0.10937459468255628</v>
          </cell>
          <cell r="I56">
            <v>9.8437135214300656E-2</v>
          </cell>
          <cell r="J56">
            <v>7.874970817144053E-2</v>
          </cell>
          <cell r="K56">
            <v>6.2999766537152418E-2</v>
          </cell>
          <cell r="L56">
            <v>5.0399813229721938E-2</v>
          </cell>
          <cell r="M56">
            <v>4.0319850583777551E-2</v>
          </cell>
          <cell r="N56">
            <v>3.225588046702204E-2</v>
          </cell>
          <cell r="O56">
            <v>2.5804704373617631E-2</v>
          </cell>
          <cell r="P56">
            <v>2.0643763498894106E-2</v>
          </cell>
          <cell r="Q56">
            <v>1.6515010799115284E-2</v>
          </cell>
          <cell r="R56">
            <v>1.3212008639292228E-2</v>
          </cell>
          <cell r="S56">
            <v>1.0569606911433781E-2</v>
          </cell>
          <cell r="T56">
            <v>7.2092823794611682E-5</v>
          </cell>
          <cell r="U56">
            <v>2.5747437069512102E-5</v>
          </cell>
          <cell r="V56">
            <v>8.7775353646568632E-6</v>
          </cell>
          <cell r="W56">
            <v>2.8622397928446119E-6</v>
          </cell>
        </row>
        <row r="57">
          <cell r="B57" t="str">
            <v>Pool Blankets-Retro</v>
          </cell>
          <cell r="C57" t="str">
            <v>Retro20Fast</v>
          </cell>
          <cell r="D57">
            <v>0.22119921692859512</v>
          </cell>
          <cell r="E57">
            <v>0.15504311102289431</v>
          </cell>
          <cell r="F57">
            <v>0.10733128557729499</v>
          </cell>
          <cell r="G57">
            <v>8.3589689255657879E-2</v>
          </cell>
          <cell r="H57">
            <v>7.3237179880126971E-2</v>
          </cell>
          <cell r="I57">
            <v>6.3374636711760357E-2</v>
          </cell>
          <cell r="J57">
            <v>5.4291838367783084E-2</v>
          </cell>
          <cell r="K57">
            <v>4.612639225659896E-2</v>
          </cell>
          <cell r="L57">
            <v>3.8916876277172864E-2</v>
          </cell>
          <cell r="M57">
            <v>3.2639916313151704E-2</v>
          </cell>
          <cell r="N57">
            <v>2.7235706125786907E-2</v>
          </cell>
          <cell r="O57">
            <v>2.1211189258265428E-2</v>
          </cell>
          <cell r="P57">
            <v>1.6519290804212883E-2</v>
          </cell>
          <cell r="Q57">
            <v>1.2865236614105324E-2</v>
          </cell>
          <cell r="R57">
            <v>1.0019456349464106E-2</v>
          </cell>
          <cell r="S57">
            <v>7.8031604509122832E-3</v>
          </cell>
          <cell r="T57">
            <v>6.077107469602494E-3</v>
          </cell>
          <cell r="U57">
            <v>4.7328560561354371E-3</v>
          </cell>
          <cell r="V57">
            <v>3.6859520026825132E-3</v>
          </cell>
          <cell r="W57">
            <v>2.8706223060526725E-3</v>
          </cell>
        </row>
        <row r="58">
          <cell r="B58" t="str">
            <v>Web-Enabled Thermostats-Retro</v>
          </cell>
          <cell r="C58" t="str">
            <v>Retro20Fast</v>
          </cell>
          <cell r="D58">
            <v>0.22119921692859512</v>
          </cell>
          <cell r="E58">
            <v>0.15504311102289431</v>
          </cell>
          <cell r="F58">
            <v>0.10733128557729499</v>
          </cell>
          <cell r="G58">
            <v>8.3589689255657879E-2</v>
          </cell>
          <cell r="H58">
            <v>7.3237179880126971E-2</v>
          </cell>
          <cell r="I58">
            <v>6.3374636711760357E-2</v>
          </cell>
          <cell r="J58">
            <v>5.4291838367783084E-2</v>
          </cell>
          <cell r="K58">
            <v>4.612639225659896E-2</v>
          </cell>
          <cell r="L58">
            <v>3.8916876277172864E-2</v>
          </cell>
          <cell r="M58">
            <v>3.2639916313151704E-2</v>
          </cell>
          <cell r="N58">
            <v>2.7235706125786907E-2</v>
          </cell>
          <cell r="O58">
            <v>2.1211189258265428E-2</v>
          </cell>
          <cell r="P58">
            <v>1.6519290804212883E-2</v>
          </cell>
          <cell r="Q58">
            <v>1.2865236614105324E-2</v>
          </cell>
          <cell r="R58">
            <v>1.0019456349464106E-2</v>
          </cell>
          <cell r="S58">
            <v>7.8031604509122832E-3</v>
          </cell>
          <cell r="T58">
            <v>6.077107469602494E-3</v>
          </cell>
          <cell r="U58">
            <v>4.7328560561354371E-3</v>
          </cell>
          <cell r="V58">
            <v>3.6859520026825132E-3</v>
          </cell>
          <cell r="W58">
            <v>2.8706223060526725E-3</v>
          </cell>
        </row>
        <row r="59">
          <cell r="B59" t="str">
            <v>Garage CO2 ventilation-Retro</v>
          </cell>
          <cell r="C59" t="str">
            <v>Retro20Fast</v>
          </cell>
          <cell r="D59">
            <v>0.22119921692859512</v>
          </cell>
          <cell r="E59">
            <v>0.15504311102289431</v>
          </cell>
          <cell r="F59">
            <v>0.10733128557729499</v>
          </cell>
          <cell r="G59">
            <v>8.3589689255657879E-2</v>
          </cell>
          <cell r="H59">
            <v>7.3237179880126971E-2</v>
          </cell>
          <cell r="I59">
            <v>6.3374636711760357E-2</v>
          </cell>
          <cell r="J59">
            <v>5.4291838367783084E-2</v>
          </cell>
          <cell r="K59">
            <v>4.612639225659896E-2</v>
          </cell>
          <cell r="L59">
            <v>3.8916876277172864E-2</v>
          </cell>
          <cell r="M59">
            <v>3.2639916313151704E-2</v>
          </cell>
          <cell r="N59">
            <v>2.7235706125786907E-2</v>
          </cell>
          <cell r="O59">
            <v>2.1211189258265428E-2</v>
          </cell>
          <cell r="P59">
            <v>1.6519290804212883E-2</v>
          </cell>
          <cell r="Q59">
            <v>1.2865236614105324E-2</v>
          </cell>
          <cell r="R59">
            <v>1.0019456349464106E-2</v>
          </cell>
          <cell r="S59">
            <v>7.8031604509122832E-3</v>
          </cell>
          <cell r="T59">
            <v>6.077107469602494E-3</v>
          </cell>
          <cell r="U59">
            <v>4.7328560561354371E-3</v>
          </cell>
          <cell r="V59">
            <v>3.6859520026825132E-3</v>
          </cell>
          <cell r="W59">
            <v>2.8706223060526725E-3</v>
          </cell>
        </row>
        <row r="60">
          <cell r="B60" t="str">
            <v>Circ Pump ECM and drive-Retro</v>
          </cell>
          <cell r="C60" t="str">
            <v>Retro20Fast</v>
          </cell>
          <cell r="D60">
            <v>0.22119921692859512</v>
          </cell>
          <cell r="E60">
            <v>0.15504311102289431</v>
          </cell>
          <cell r="F60">
            <v>0.10733128557729499</v>
          </cell>
          <cell r="G60">
            <v>8.3589689255657879E-2</v>
          </cell>
          <cell r="H60">
            <v>7.3237179880126971E-2</v>
          </cell>
          <cell r="I60">
            <v>6.3374636711760357E-2</v>
          </cell>
          <cell r="J60">
            <v>5.4291838367783084E-2</v>
          </cell>
          <cell r="K60">
            <v>4.612639225659896E-2</v>
          </cell>
          <cell r="L60">
            <v>3.8916876277172864E-2</v>
          </cell>
          <cell r="M60">
            <v>3.2639916313151704E-2</v>
          </cell>
          <cell r="N60">
            <v>2.7235706125786907E-2</v>
          </cell>
          <cell r="O60">
            <v>2.1211189258265428E-2</v>
          </cell>
          <cell r="P60">
            <v>1.6519290804212883E-2</v>
          </cell>
          <cell r="Q60">
            <v>1.2865236614105324E-2</v>
          </cell>
          <cell r="R60">
            <v>1.0019456349464106E-2</v>
          </cell>
          <cell r="S60">
            <v>7.8031604509122832E-3</v>
          </cell>
          <cell r="T60">
            <v>6.077107469602494E-3</v>
          </cell>
          <cell r="U60">
            <v>4.7328560561354371E-3</v>
          </cell>
          <cell r="V60">
            <v>3.6859520026825132E-3</v>
          </cell>
          <cell r="W60">
            <v>2.8706223060526725E-3</v>
          </cell>
        </row>
        <row r="61">
          <cell r="B61" t="str">
            <v>VRF-New</v>
          </cell>
          <cell r="C61" t="str">
            <v>LO1Slow</v>
          </cell>
          <cell r="D61">
            <v>2.5643970768378654E-3</v>
          </cell>
          <cell r="E61">
            <v>7.6904586297764643E-3</v>
          </cell>
          <cell r="F61">
            <v>1.6792013047419844E-2</v>
          </cell>
          <cell r="G61">
            <v>3.15969387774655E-2</v>
          </cell>
          <cell r="H61">
            <v>5.406874819795171E-2</v>
          </cell>
          <cell r="I61">
            <v>8.6253181011834101E-2</v>
          </cell>
          <cell r="J61">
            <v>0.1300328481838382</v>
          </cell>
          <cell r="K61">
            <v>0.18678710893858319</v>
          </cell>
          <cell r="L61">
            <v>0.2569823480072907</v>
          </cell>
          <cell r="M61">
            <v>0.33975920985004748</v>
          </cell>
          <cell r="N61">
            <v>0.43262946935754232</v>
          </cell>
          <cell r="O61">
            <v>0.53142594003645804</v>
          </cell>
          <cell r="P61">
            <v>0.63063487292644704</v>
          </cell>
          <cell r="Q61">
            <v>0.7241560234206913</v>
          </cell>
          <cell r="R61">
            <v>0.80638203131755359</v>
          </cell>
          <cell r="S61">
            <v>0.87331559734491926</v>
          </cell>
          <cell r="T61">
            <v>0.92334516248836807</v>
          </cell>
          <cell r="U61">
            <v>0.95737002770730018</v>
          </cell>
          <cell r="V61">
            <v>0.97821608704807483</v>
          </cell>
          <cell r="W61">
            <v>0.98821608704807484</v>
          </cell>
        </row>
        <row r="62">
          <cell r="B62" t="str">
            <v>VRF-Retro</v>
          </cell>
          <cell r="C62" t="str">
            <v>Retro1Slow</v>
          </cell>
          <cell r="D62">
            <v>2.5643970768378654E-3</v>
          </cell>
          <cell r="E62">
            <v>5.1260615529385989E-3</v>
          </cell>
          <cell r="F62">
            <v>9.1015544176433795E-3</v>
          </cell>
          <cell r="G62">
            <v>1.4804925730045659E-2</v>
          </cell>
          <cell r="H62">
            <v>2.2471809420486211E-2</v>
          </cell>
          <cell r="I62">
            <v>3.2184432813882391E-2</v>
          </cell>
          <cell r="J62">
            <v>4.3779667172004086E-2</v>
          </cell>
          <cell r="K62">
            <v>5.675426075474499E-2</v>
          </cell>
          <cell r="L62">
            <v>7.0195239068707532E-2</v>
          </cell>
          <cell r="M62">
            <v>8.2776861842756788E-2</v>
          </cell>
          <cell r="N62">
            <v>9.2870259507494834E-2</v>
          </cell>
          <cell r="O62">
            <v>9.8796470678915727E-2</v>
          </cell>
          <cell r="P62">
            <v>9.9208932889988999E-2</v>
          </cell>
          <cell r="Q62">
            <v>9.3521150494244254E-2</v>
          </cell>
          <cell r="R62">
            <v>8.2226007896862296E-2</v>
          </cell>
          <cell r="S62">
            <v>6.6933566027365665E-2</v>
          </cell>
          <cell r="T62">
            <v>5.0029565143448806E-2</v>
          </cell>
          <cell r="U62">
            <v>3.402486521893211E-2</v>
          </cell>
          <cell r="V62">
            <v>2.0846059340774659E-2</v>
          </cell>
          <cell r="W62">
            <v>0.01</v>
          </cell>
        </row>
        <row r="63">
          <cell r="B63" t="str">
            <v>Evaporator Roof Top HVAC-Retro</v>
          </cell>
          <cell r="C63" t="str">
            <v>RetroEven20</v>
          </cell>
          <cell r="D63">
            <v>0.05</v>
          </cell>
          <cell r="E63">
            <v>0.05</v>
          </cell>
          <cell r="F63">
            <v>0.05</v>
          </cell>
          <cell r="G63">
            <v>0.05</v>
          </cell>
          <cell r="H63">
            <v>0.05</v>
          </cell>
          <cell r="I63">
            <v>0.05</v>
          </cell>
          <cell r="J63">
            <v>0.05</v>
          </cell>
          <cell r="K63">
            <v>0.05</v>
          </cell>
          <cell r="L63">
            <v>0.05</v>
          </cell>
          <cell r="M63">
            <v>0.05</v>
          </cell>
          <cell r="N63">
            <v>0.05</v>
          </cell>
          <cell r="O63">
            <v>0.05</v>
          </cell>
          <cell r="P63">
            <v>0.05</v>
          </cell>
          <cell r="Q63">
            <v>0.05</v>
          </cell>
          <cell r="R63">
            <v>0.05</v>
          </cell>
          <cell r="S63">
            <v>0.05</v>
          </cell>
          <cell r="T63">
            <v>0.05</v>
          </cell>
          <cell r="U63">
            <v>0.05</v>
          </cell>
          <cell r="V63">
            <v>0.05</v>
          </cell>
          <cell r="W63">
            <v>0.05</v>
          </cell>
        </row>
        <row r="64">
          <cell r="B64" t="str">
            <v>Secondary Glazing Systems-Retro</v>
          </cell>
          <cell r="C64" t="str">
            <v>Retro1Slow</v>
          </cell>
          <cell r="D64">
            <v>2.5643970768378654E-3</v>
          </cell>
          <cell r="E64">
            <v>5.1260615529385989E-3</v>
          </cell>
          <cell r="F64">
            <v>9.1015544176433795E-3</v>
          </cell>
          <cell r="G64">
            <v>1.4804925730045659E-2</v>
          </cell>
          <cell r="H64">
            <v>2.2471809420486211E-2</v>
          </cell>
          <cell r="I64">
            <v>3.2184432813882391E-2</v>
          </cell>
          <cell r="J64">
            <v>4.3779667172004086E-2</v>
          </cell>
          <cell r="K64">
            <v>5.675426075474499E-2</v>
          </cell>
          <cell r="L64">
            <v>7.0195239068707532E-2</v>
          </cell>
          <cell r="M64">
            <v>8.2776861842756788E-2</v>
          </cell>
          <cell r="N64">
            <v>9.2870259507494834E-2</v>
          </cell>
          <cell r="O64">
            <v>9.8796470678915727E-2</v>
          </cell>
          <cell r="P64">
            <v>9.9208932889988999E-2</v>
          </cell>
          <cell r="Q64">
            <v>9.3521150494244254E-2</v>
          </cell>
          <cell r="R64">
            <v>8.2226007896862296E-2</v>
          </cell>
          <cell r="S64">
            <v>6.6933566027365665E-2</v>
          </cell>
          <cell r="T64">
            <v>5.0029565143448806E-2</v>
          </cell>
          <cell r="U64">
            <v>3.402486521893211E-2</v>
          </cell>
          <cell r="V64">
            <v>2.0846059340774659E-2</v>
          </cell>
          <cell r="W64">
            <v>0.01</v>
          </cell>
        </row>
        <row r="65">
          <cell r="B65" t="str">
            <v>LPD Package-New</v>
          </cell>
          <cell r="C65" t="str">
            <v>LO20Fast</v>
          </cell>
          <cell r="D65">
            <v>0.22119921692859512</v>
          </cell>
          <cell r="E65">
            <v>0.37624232795148943</v>
          </cell>
          <cell r="F65">
            <v>0.48357361352878442</v>
          </cell>
          <cell r="G65">
            <v>0.56716330278444227</v>
          </cell>
          <cell r="H65">
            <v>0.64040048266456928</v>
          </cell>
          <cell r="I65">
            <v>0.70377511937632964</v>
          </cell>
          <cell r="J65">
            <v>0.7580669577441127</v>
          </cell>
          <cell r="K65">
            <v>0.80419335000071168</v>
          </cell>
          <cell r="L65">
            <v>0.84311022627788457</v>
          </cell>
          <cell r="M65">
            <v>0.87575014259103623</v>
          </cell>
          <cell r="N65">
            <v>0.90298584871682319</v>
          </cell>
          <cell r="O65">
            <v>0.92419703797508856</v>
          </cell>
          <cell r="P65">
            <v>0.94071632877930145</v>
          </cell>
          <cell r="Q65">
            <v>0.95358156539340677</v>
          </cell>
          <cell r="R65">
            <v>0.96360102174287088</v>
          </cell>
          <cell r="S65">
            <v>0.97140418219378311</v>
          </cell>
          <cell r="T65">
            <v>0.97748128966338554</v>
          </cell>
          <cell r="U65">
            <v>0.98221414571952104</v>
          </cell>
          <cell r="V65">
            <v>0.98590009772220355</v>
          </cell>
          <cell r="W65">
            <v>0.98877072002825628</v>
          </cell>
        </row>
        <row r="66">
          <cell r="B66" t="str">
            <v>LPD Package-NR</v>
          </cell>
          <cell r="C66" t="str">
            <v>LO20Fast</v>
          </cell>
          <cell r="D66">
            <v>0.22119921692859512</v>
          </cell>
          <cell r="E66">
            <v>0.37624232795148943</v>
          </cell>
          <cell r="F66">
            <v>0.48357361352878442</v>
          </cell>
          <cell r="G66">
            <v>0.56716330278444227</v>
          </cell>
          <cell r="H66">
            <v>0.64040048266456928</v>
          </cell>
          <cell r="I66">
            <v>0.70377511937632964</v>
          </cell>
          <cell r="J66">
            <v>0.7580669577441127</v>
          </cell>
          <cell r="K66">
            <v>0.80419335000071168</v>
          </cell>
          <cell r="L66">
            <v>0.84311022627788457</v>
          </cell>
          <cell r="M66">
            <v>0.87575014259103623</v>
          </cell>
          <cell r="N66">
            <v>0.90298584871682319</v>
          </cell>
          <cell r="O66">
            <v>0.92419703797508856</v>
          </cell>
          <cell r="P66">
            <v>0.94071632877930145</v>
          </cell>
          <cell r="Q66">
            <v>0.95358156539340677</v>
          </cell>
          <cell r="R66">
            <v>0.96360102174287088</v>
          </cell>
          <cell r="S66">
            <v>0.97140418219378311</v>
          </cell>
          <cell r="T66">
            <v>0.97748128966338554</v>
          </cell>
          <cell r="U66">
            <v>0.98221414571952104</v>
          </cell>
          <cell r="V66">
            <v>0.98590009772220355</v>
          </cell>
          <cell r="W66">
            <v>0.98877072002825628</v>
          </cell>
        </row>
        <row r="67">
          <cell r="B67" t="str">
            <v>LPD Package-Retro</v>
          </cell>
          <cell r="C67" t="str">
            <v>Retro12Med</v>
          </cell>
          <cell r="D67">
            <v>0.10937459468255628</v>
          </cell>
          <cell r="E67">
            <v>0.10937459468255628</v>
          </cell>
          <cell r="F67">
            <v>0.10937459468255628</v>
          </cell>
          <cell r="G67">
            <v>0.10937459468255628</v>
          </cell>
          <cell r="H67">
            <v>0.10937459468255628</v>
          </cell>
          <cell r="I67">
            <v>9.8437135214300656E-2</v>
          </cell>
          <cell r="J67">
            <v>7.874970817144053E-2</v>
          </cell>
          <cell r="K67">
            <v>6.2999766537152418E-2</v>
          </cell>
          <cell r="L67">
            <v>5.0399813229721938E-2</v>
          </cell>
          <cell r="M67">
            <v>4.0319850583777551E-2</v>
          </cell>
          <cell r="N67">
            <v>3.225588046702204E-2</v>
          </cell>
          <cell r="O67">
            <v>2.5804704373617631E-2</v>
          </cell>
          <cell r="P67">
            <v>2.0643763498894106E-2</v>
          </cell>
          <cell r="Q67">
            <v>1.6515010799115284E-2</v>
          </cell>
          <cell r="R67">
            <v>1.3212008639292228E-2</v>
          </cell>
          <cell r="S67">
            <v>1.0569606911433781E-2</v>
          </cell>
          <cell r="T67">
            <v>7.2092823794611682E-5</v>
          </cell>
          <cell r="U67">
            <v>2.5747437069512102E-5</v>
          </cell>
          <cell r="V67">
            <v>8.7775353646568632E-6</v>
          </cell>
          <cell r="W67">
            <v>2.8622397928446119E-6</v>
          </cell>
        </row>
        <row r="68">
          <cell r="B68" t="str">
            <v>Top Daylighting-New</v>
          </cell>
          <cell r="C68" t="str">
            <v>LO12Med</v>
          </cell>
          <cell r="D68">
            <v>0.10937459468255628</v>
          </cell>
          <cell r="E68">
            <v>0.21874918936511256</v>
          </cell>
          <cell r="F68">
            <v>0.32812378404766884</v>
          </cell>
          <cell r="G68">
            <v>0.43749837873022512</v>
          </cell>
          <cell r="H68">
            <v>0.5468729734127814</v>
          </cell>
          <cell r="I68">
            <v>0.64531010862708205</v>
          </cell>
          <cell r="J68">
            <v>0.7240598167985226</v>
          </cell>
          <cell r="K68">
            <v>0.78705958333567505</v>
          </cell>
          <cell r="L68">
            <v>0.83745939656539703</v>
          </cell>
          <cell r="M68">
            <v>0.87777924714917455</v>
          </cell>
          <cell r="N68">
            <v>0.91003512761619654</v>
          </cell>
          <cell r="O68">
            <v>0.93583983198981413</v>
          </cell>
          <cell r="P68">
            <v>0.9564835954887082</v>
          </cell>
          <cell r="Q68">
            <v>0.97299860628782353</v>
          </cell>
          <cell r="R68">
            <v>0.9862106149271157</v>
          </cell>
          <cell r="S68">
            <v>0.99678022183854953</v>
          </cell>
          <cell r="T68">
            <v>0.99685231466234414</v>
          </cell>
          <cell r="U68">
            <v>0.99687806209941365</v>
          </cell>
          <cell r="V68">
            <v>0.99688683963477831</v>
          </cell>
          <cell r="W68">
            <v>0.99688970187457115</v>
          </cell>
        </row>
        <row r="69">
          <cell r="B69" t="str">
            <v>Perimeter Daylighting Controls Advanced-New</v>
          </cell>
          <cell r="C69" t="str">
            <v>LO5Med</v>
          </cell>
          <cell r="D69">
            <v>4.2999999999999997E-2</v>
          </cell>
          <cell r="E69">
            <v>9.5797142280278316E-2</v>
          </cell>
          <cell r="F69">
            <v>0.16040539374775648</v>
          </cell>
          <cell r="G69">
            <v>0.23540539374775649</v>
          </cell>
          <cell r="H69">
            <v>0.32095239121809005</v>
          </cell>
          <cell r="I69">
            <v>0.42096711425629652</v>
          </cell>
          <cell r="J69">
            <v>0.53068481860864725</v>
          </cell>
          <cell r="K69">
            <v>0.642769203728351</v>
          </cell>
          <cell r="L69">
            <v>0.74839528535557953</v>
          </cell>
          <cell r="M69">
            <v>0.83918984935345187</v>
          </cell>
          <cell r="N69">
            <v>0.90945051634530116</v>
          </cell>
          <cell r="O69">
            <v>0.9576688767502457</v>
          </cell>
          <cell r="P69">
            <v>0.9865231113648858</v>
          </cell>
          <cell r="Q69">
            <v>1.0012970762896924</v>
          </cell>
          <cell r="R69">
            <v>1.0076356106578106</v>
          </cell>
          <cell r="S69">
            <v>1.0098624683774413</v>
          </cell>
          <cell r="T69">
            <v>1.0104871783970797</v>
          </cell>
          <cell r="U69">
            <v>1.010623336815976</v>
          </cell>
          <cell r="V69">
            <v>1.0106457174525985</v>
          </cell>
          <cell r="W69">
            <v>1.0106484038909742</v>
          </cell>
        </row>
        <row r="70">
          <cell r="B70" t="str">
            <v>Perimeter Daylighting Controls Advanced-NR</v>
          </cell>
          <cell r="C70" t="str">
            <v>LO5Med</v>
          </cell>
          <cell r="D70">
            <v>4.2999999999999997E-2</v>
          </cell>
          <cell r="E70">
            <v>9.5797142280278316E-2</v>
          </cell>
          <cell r="F70">
            <v>0.16040539374775648</v>
          </cell>
          <cell r="G70">
            <v>0.23540539374775649</v>
          </cell>
          <cell r="H70">
            <v>0.32095239121809005</v>
          </cell>
          <cell r="I70">
            <v>0.42096711425629652</v>
          </cell>
          <cell r="J70">
            <v>0.53068481860864725</v>
          </cell>
          <cell r="K70">
            <v>0.642769203728351</v>
          </cell>
          <cell r="L70">
            <v>0.74839528535557953</v>
          </cell>
          <cell r="M70">
            <v>0.83918984935345187</v>
          </cell>
          <cell r="N70">
            <v>0.90945051634530116</v>
          </cell>
          <cell r="O70">
            <v>0.9576688767502457</v>
          </cell>
          <cell r="P70">
            <v>0.9865231113648858</v>
          </cell>
          <cell r="Q70">
            <v>1.0012970762896924</v>
          </cell>
          <cell r="R70">
            <v>1.0076356106578106</v>
          </cell>
          <cell r="S70">
            <v>1.0098624683774413</v>
          </cell>
          <cell r="T70">
            <v>1.0104871783970797</v>
          </cell>
          <cell r="U70">
            <v>1.010623336815976</v>
          </cell>
          <cell r="V70">
            <v>1.0106457174525985</v>
          </cell>
          <cell r="W70">
            <v>1.0106484038909742</v>
          </cell>
        </row>
        <row r="71">
          <cell r="B71" t="str">
            <v>Lighting Controls Interior-New</v>
          </cell>
          <cell r="C71" t="str">
            <v>LO20Fast</v>
          </cell>
          <cell r="D71">
            <v>0.22119921692859512</v>
          </cell>
          <cell r="E71">
            <v>0.37624232795148943</v>
          </cell>
          <cell r="F71">
            <v>0.48357361352878442</v>
          </cell>
          <cell r="G71">
            <v>0.56716330278444227</v>
          </cell>
          <cell r="H71">
            <v>0.64040048266456928</v>
          </cell>
          <cell r="I71">
            <v>0.70377511937632964</v>
          </cell>
          <cell r="J71">
            <v>0.7580669577441127</v>
          </cell>
          <cell r="K71">
            <v>0.80419335000071168</v>
          </cell>
          <cell r="L71">
            <v>0.84311022627788457</v>
          </cell>
          <cell r="M71">
            <v>0.87575014259103623</v>
          </cell>
          <cell r="N71">
            <v>0.90298584871682319</v>
          </cell>
          <cell r="O71">
            <v>0.92419703797508856</v>
          </cell>
          <cell r="P71">
            <v>0.94071632877930145</v>
          </cell>
          <cell r="Q71">
            <v>0.95358156539340677</v>
          </cell>
          <cell r="R71">
            <v>0.96360102174287088</v>
          </cell>
          <cell r="S71">
            <v>0.97140418219378311</v>
          </cell>
          <cell r="T71">
            <v>0.97748128966338554</v>
          </cell>
          <cell r="U71">
            <v>0.98221414571952104</v>
          </cell>
          <cell r="V71">
            <v>0.98590009772220355</v>
          </cell>
          <cell r="W71">
            <v>0.98877072002825628</v>
          </cell>
        </row>
        <row r="72">
          <cell r="B72" t="str">
            <v>Lighting Controls Interior-NR</v>
          </cell>
          <cell r="C72" t="str">
            <v>LO20Fast</v>
          </cell>
          <cell r="D72">
            <v>0.22119921692859512</v>
          </cell>
          <cell r="E72">
            <v>0.37624232795148943</v>
          </cell>
          <cell r="F72">
            <v>0.48357361352878442</v>
          </cell>
          <cell r="G72">
            <v>0.56716330278444227</v>
          </cell>
          <cell r="H72">
            <v>0.64040048266456928</v>
          </cell>
          <cell r="I72">
            <v>0.70377511937632964</v>
          </cell>
          <cell r="J72">
            <v>0.7580669577441127</v>
          </cell>
          <cell r="K72">
            <v>0.80419335000071168</v>
          </cell>
          <cell r="L72">
            <v>0.84311022627788457</v>
          </cell>
          <cell r="M72">
            <v>0.87575014259103623</v>
          </cell>
          <cell r="N72">
            <v>0.90298584871682319</v>
          </cell>
          <cell r="O72">
            <v>0.92419703797508856</v>
          </cell>
          <cell r="P72">
            <v>0.94071632877930145</v>
          </cell>
          <cell r="Q72">
            <v>0.95358156539340677</v>
          </cell>
          <cell r="R72">
            <v>0.96360102174287088</v>
          </cell>
          <cell r="S72">
            <v>0.97140418219378311</v>
          </cell>
          <cell r="T72">
            <v>0.97748128966338554</v>
          </cell>
          <cell r="U72">
            <v>0.98221414571952104</v>
          </cell>
          <cell r="V72">
            <v>0.98590009772220355</v>
          </cell>
          <cell r="W72">
            <v>0.98877072002825628</v>
          </cell>
        </row>
        <row r="73">
          <cell r="B73" t="str">
            <v>Exterior Building Lighting-New</v>
          </cell>
          <cell r="C73" t="str">
            <v>LO20Fast</v>
          </cell>
          <cell r="D73">
            <v>0.22119921692859512</v>
          </cell>
          <cell r="E73">
            <v>0.37624232795148943</v>
          </cell>
          <cell r="F73">
            <v>0.48357361352878442</v>
          </cell>
          <cell r="G73">
            <v>0.56716330278444227</v>
          </cell>
          <cell r="H73">
            <v>0.64040048266456928</v>
          </cell>
          <cell r="I73">
            <v>0.70377511937632964</v>
          </cell>
          <cell r="J73">
            <v>0.7580669577441127</v>
          </cell>
          <cell r="K73">
            <v>0.80419335000071168</v>
          </cell>
          <cell r="L73">
            <v>0.84311022627788457</v>
          </cell>
          <cell r="M73">
            <v>0.87575014259103623</v>
          </cell>
          <cell r="N73">
            <v>0.90298584871682319</v>
          </cell>
          <cell r="O73">
            <v>0.92419703797508856</v>
          </cell>
          <cell r="P73">
            <v>0.94071632877930145</v>
          </cell>
          <cell r="Q73">
            <v>0.95358156539340677</v>
          </cell>
          <cell r="R73">
            <v>0.96360102174287088</v>
          </cell>
          <cell r="S73">
            <v>0.97140418219378311</v>
          </cell>
          <cell r="T73">
            <v>0.97748128966338554</v>
          </cell>
          <cell r="U73">
            <v>0.98221414571952104</v>
          </cell>
          <cell r="V73">
            <v>0.98590009772220355</v>
          </cell>
          <cell r="W73">
            <v>0.98877072002825628</v>
          </cell>
        </row>
        <row r="74">
          <cell r="B74" t="str">
            <v>Exterior Building Lighting-NR</v>
          </cell>
          <cell r="C74" t="str">
            <v>LO20Fast</v>
          </cell>
          <cell r="D74">
            <v>0.22119921692859512</v>
          </cell>
          <cell r="E74">
            <v>0.37624232795148943</v>
          </cell>
          <cell r="F74">
            <v>0.48357361352878442</v>
          </cell>
          <cell r="G74">
            <v>0.56716330278444227</v>
          </cell>
          <cell r="H74">
            <v>0.64040048266456928</v>
          </cell>
          <cell r="I74">
            <v>0.70377511937632964</v>
          </cell>
          <cell r="J74">
            <v>0.7580669577441127</v>
          </cell>
          <cell r="K74">
            <v>0.80419335000071168</v>
          </cell>
          <cell r="L74">
            <v>0.84311022627788457</v>
          </cell>
          <cell r="M74">
            <v>0.87575014259103623</v>
          </cell>
          <cell r="N74">
            <v>0.90298584871682319</v>
          </cell>
          <cell r="O74">
            <v>0.92419703797508856</v>
          </cell>
          <cell r="P74">
            <v>0.94071632877930145</v>
          </cell>
          <cell r="Q74">
            <v>0.95358156539340677</v>
          </cell>
          <cell r="R74">
            <v>0.96360102174287088</v>
          </cell>
          <cell r="S74">
            <v>0.97140418219378311</v>
          </cell>
          <cell r="T74">
            <v>0.97748128966338554</v>
          </cell>
          <cell r="U74">
            <v>0.98221414571952104</v>
          </cell>
          <cell r="V74">
            <v>0.98590009772220355</v>
          </cell>
          <cell r="W74">
            <v>0.98877072002825628</v>
          </cell>
        </row>
        <row r="75">
          <cell r="B75" t="str">
            <v>Street and Roadway Lighting-New</v>
          </cell>
          <cell r="C75" t="str">
            <v>LO50Fast</v>
          </cell>
          <cell r="D75">
            <v>0.45</v>
          </cell>
          <cell r="E75">
            <v>0.66</v>
          </cell>
          <cell r="F75">
            <v>0.8</v>
          </cell>
          <cell r="G75">
            <v>0.89</v>
          </cell>
          <cell r="H75">
            <v>0.94954036260972652</v>
          </cell>
          <cell r="I75">
            <v>0.97931054391458994</v>
          </cell>
          <cell r="J75">
            <v>0.99254173560564019</v>
          </cell>
          <cell r="K75">
            <v>0.99783421228206048</v>
          </cell>
          <cell r="L75">
            <v>0.99975874925530417</v>
          </cell>
          <cell r="M75">
            <v>1.0004002615797187</v>
          </cell>
          <cell r="N75">
            <v>1.0005976499872309</v>
          </cell>
          <cell r="O75">
            <v>1.0006540466750915</v>
          </cell>
          <cell r="P75">
            <v>1.0006690857918545</v>
          </cell>
          <cell r="Q75">
            <v>1.000672845571045</v>
          </cell>
          <cell r="R75">
            <v>1.0006737302249724</v>
          </cell>
          <cell r="S75">
            <v>1.0006739268147338</v>
          </cell>
          <cell r="T75">
            <v>1.0006739682020522</v>
          </cell>
          <cell r="U75">
            <v>1.0006739764795158</v>
          </cell>
          <cell r="V75">
            <v>1.0006739780561755</v>
          </cell>
          <cell r="W75">
            <v>1.0006739783428409</v>
          </cell>
        </row>
        <row r="76">
          <cell r="B76" t="str">
            <v>Street and Roadway Lighting-NR</v>
          </cell>
          <cell r="C76" t="str">
            <v>LO50Fast</v>
          </cell>
          <cell r="D76">
            <v>0.45</v>
          </cell>
          <cell r="E76">
            <v>0.66</v>
          </cell>
          <cell r="F76">
            <v>0.8</v>
          </cell>
          <cell r="G76">
            <v>0.89</v>
          </cell>
          <cell r="H76">
            <v>0.94954036260972652</v>
          </cell>
          <cell r="I76">
            <v>0.97931054391458994</v>
          </cell>
          <cell r="J76">
            <v>0.99254173560564019</v>
          </cell>
          <cell r="K76">
            <v>0.99783421228206048</v>
          </cell>
          <cell r="L76">
            <v>0.99975874925530417</v>
          </cell>
          <cell r="M76">
            <v>1.0004002615797187</v>
          </cell>
          <cell r="N76">
            <v>1.0005976499872309</v>
          </cell>
          <cell r="O76">
            <v>1.0006540466750915</v>
          </cell>
          <cell r="P76">
            <v>1.0006690857918545</v>
          </cell>
          <cell r="Q76">
            <v>1.000672845571045</v>
          </cell>
          <cell r="R76">
            <v>1.0006737302249724</v>
          </cell>
          <cell r="S76">
            <v>1.0006739268147338</v>
          </cell>
          <cell r="T76">
            <v>1.0006739682020522</v>
          </cell>
          <cell r="U76">
            <v>1.0006739764795158</v>
          </cell>
          <cell r="V76">
            <v>1.0006739780561755</v>
          </cell>
          <cell r="W76">
            <v>1.0006739783428409</v>
          </cell>
        </row>
        <row r="77">
          <cell r="B77" t="str">
            <v>Parking Lighting-New</v>
          </cell>
          <cell r="C77" t="str">
            <v>LO50Fast</v>
          </cell>
          <cell r="D77">
            <v>0.45</v>
          </cell>
          <cell r="E77">
            <v>0.66</v>
          </cell>
          <cell r="F77">
            <v>0.8</v>
          </cell>
          <cell r="G77">
            <v>0.89</v>
          </cell>
          <cell r="H77">
            <v>0.94954036260972652</v>
          </cell>
          <cell r="I77">
            <v>0.97931054391458994</v>
          </cell>
          <cell r="J77">
            <v>0.99254173560564019</v>
          </cell>
          <cell r="K77">
            <v>0.99783421228206048</v>
          </cell>
          <cell r="L77">
            <v>0.99975874925530417</v>
          </cell>
          <cell r="M77">
            <v>1.0004002615797187</v>
          </cell>
          <cell r="N77">
            <v>1.0005976499872309</v>
          </cell>
          <cell r="O77">
            <v>1.0006540466750915</v>
          </cell>
          <cell r="P77">
            <v>1.0006690857918545</v>
          </cell>
          <cell r="Q77">
            <v>1.000672845571045</v>
          </cell>
          <cell r="R77">
            <v>1.0006737302249724</v>
          </cell>
          <cell r="S77">
            <v>1.0006739268147338</v>
          </cell>
          <cell r="T77">
            <v>1.0006739682020522</v>
          </cell>
          <cell r="U77">
            <v>1.0006739764795158</v>
          </cell>
          <cell r="V77">
            <v>1.0006739780561755</v>
          </cell>
          <cell r="W77">
            <v>1.0006739783428409</v>
          </cell>
        </row>
        <row r="78">
          <cell r="B78" t="str">
            <v>Parking Lighting-NR</v>
          </cell>
          <cell r="C78" t="str">
            <v>LO12Med</v>
          </cell>
          <cell r="D78">
            <v>0.10937459468255628</v>
          </cell>
          <cell r="E78">
            <v>0.21874918936511256</v>
          </cell>
          <cell r="F78">
            <v>0.32812378404766884</v>
          </cell>
          <cell r="G78">
            <v>0.43749837873022512</v>
          </cell>
          <cell r="H78">
            <v>0.5468729734127814</v>
          </cell>
          <cell r="I78">
            <v>0.64531010862708205</v>
          </cell>
          <cell r="J78">
            <v>0.7240598167985226</v>
          </cell>
          <cell r="K78">
            <v>0.78705958333567505</v>
          </cell>
          <cell r="L78">
            <v>0.83745939656539703</v>
          </cell>
          <cell r="M78">
            <v>0.87777924714917455</v>
          </cell>
          <cell r="N78">
            <v>0.91003512761619654</v>
          </cell>
          <cell r="O78">
            <v>0.93583983198981413</v>
          </cell>
          <cell r="P78">
            <v>0.9564835954887082</v>
          </cell>
          <cell r="Q78">
            <v>0.97299860628782353</v>
          </cell>
          <cell r="R78">
            <v>0.9862106149271157</v>
          </cell>
          <cell r="S78">
            <v>0.99678022183854953</v>
          </cell>
          <cell r="T78">
            <v>0.99685231466234414</v>
          </cell>
          <cell r="U78">
            <v>0.99687806209941365</v>
          </cell>
          <cell r="V78">
            <v>0.99688683963477831</v>
          </cell>
          <cell r="W78">
            <v>0.99688970187457115</v>
          </cell>
        </row>
        <row r="79">
          <cell r="B79" t="str">
            <v>Luminaire Level Lighting Controls-Retro</v>
          </cell>
          <cell r="C79" t="str">
            <v>Retro5Med</v>
          </cell>
          <cell r="D79">
            <v>4.2999999999999997E-2</v>
          </cell>
          <cell r="E79">
            <v>5.279714228027832E-2</v>
          </cell>
          <cell r="F79">
            <v>6.4608251467478173E-2</v>
          </cell>
          <cell r="G79">
            <v>7.4999999999999997E-2</v>
          </cell>
          <cell r="H79">
            <v>8.5546997470333563E-2</v>
          </cell>
          <cell r="I79">
            <v>0.10001472303820647</v>
          </cell>
          <cell r="J79">
            <v>0.10971770435235073</v>
          </cell>
          <cell r="K79">
            <v>0.11208438511970376</v>
          </cell>
          <cell r="L79">
            <v>0.10562608162722853</v>
          </cell>
          <cell r="M79">
            <v>9.0794563997872335E-2</v>
          </cell>
          <cell r="N79">
            <v>7.0260666991849297E-2</v>
          </cell>
          <cell r="O79">
            <v>4.8218360404944538E-2</v>
          </cell>
          <cell r="P79">
            <v>2.8854234614640095E-2</v>
          </cell>
          <cell r="Q79">
            <v>1.4773964924806759E-2</v>
          </cell>
          <cell r="R79">
            <v>6.3385343681182649E-3</v>
          </cell>
          <cell r="S79">
            <v>2.2268577196306039E-3</v>
          </cell>
          <cell r="T79">
            <v>6.2471001963848583E-4</v>
          </cell>
          <cell r="U79">
            <v>1.3615841889635938E-4</v>
          </cell>
          <cell r="V79">
            <v>2.2380636622298944E-5</v>
          </cell>
          <cell r="W79">
            <v>2.68643837586513E-6</v>
          </cell>
        </row>
        <row r="80">
          <cell r="B80" t="str">
            <v>ECM-VAV-New</v>
          </cell>
          <cell r="C80" t="str">
            <v>LO12Med</v>
          </cell>
          <cell r="D80">
            <v>0.10937459468255628</v>
          </cell>
          <cell r="E80">
            <v>0.21874918936511256</v>
          </cell>
          <cell r="F80">
            <v>0.32812378404766884</v>
          </cell>
          <cell r="G80">
            <v>0.43749837873022512</v>
          </cell>
          <cell r="H80">
            <v>0.5468729734127814</v>
          </cell>
          <cell r="I80">
            <v>0.64531010862708205</v>
          </cell>
          <cell r="J80">
            <v>0.7240598167985226</v>
          </cell>
          <cell r="K80">
            <v>0.78705958333567505</v>
          </cell>
          <cell r="L80">
            <v>0.83745939656539703</v>
          </cell>
          <cell r="M80">
            <v>0.87777924714917455</v>
          </cell>
          <cell r="N80">
            <v>0.91003512761619654</v>
          </cell>
          <cell r="O80">
            <v>0.93583983198981413</v>
          </cell>
          <cell r="P80">
            <v>0.9564835954887082</v>
          </cell>
          <cell r="Q80">
            <v>0.97299860628782353</v>
          </cell>
          <cell r="R80">
            <v>0.9862106149271157</v>
          </cell>
          <cell r="S80">
            <v>0.99678022183854953</v>
          </cell>
          <cell r="T80">
            <v>0.99685231466234414</v>
          </cell>
          <cell r="U80">
            <v>0.99687806209941365</v>
          </cell>
          <cell r="V80">
            <v>0.99688683963477831</v>
          </cell>
          <cell r="W80">
            <v>0.99688970187457115</v>
          </cell>
        </row>
        <row r="81">
          <cell r="B81" t="str">
            <v>ECM-VAV-NR</v>
          </cell>
          <cell r="C81" t="str">
            <v>LO12Med</v>
          </cell>
          <cell r="D81">
            <v>0.10937459468255628</v>
          </cell>
          <cell r="E81">
            <v>0.21874918936511256</v>
          </cell>
          <cell r="F81">
            <v>0.32812378404766884</v>
          </cell>
          <cell r="G81">
            <v>0.43749837873022512</v>
          </cell>
          <cell r="H81">
            <v>0.5468729734127814</v>
          </cell>
          <cell r="I81">
            <v>0.64531010862708205</v>
          </cell>
          <cell r="J81">
            <v>0.7240598167985226</v>
          </cell>
          <cell r="K81">
            <v>0.78705958333567505</v>
          </cell>
          <cell r="L81">
            <v>0.83745939656539703</v>
          </cell>
          <cell r="M81">
            <v>0.87777924714917455</v>
          </cell>
          <cell r="N81">
            <v>0.91003512761619654</v>
          </cell>
          <cell r="O81">
            <v>0.93583983198981413</v>
          </cell>
          <cell r="P81">
            <v>0.9564835954887082</v>
          </cell>
          <cell r="Q81">
            <v>0.97299860628782353</v>
          </cell>
          <cell r="R81">
            <v>0.9862106149271157</v>
          </cell>
          <cell r="S81">
            <v>0.99678022183854953</v>
          </cell>
          <cell r="T81">
            <v>0.99685231466234414</v>
          </cell>
          <cell r="U81">
            <v>0.99687806209941365</v>
          </cell>
          <cell r="V81">
            <v>0.99688683963477831</v>
          </cell>
          <cell r="W81">
            <v>0.99688970187457115</v>
          </cell>
        </row>
        <row r="82">
          <cell r="B82" t="str">
            <v>Pool pumps-Retro</v>
          </cell>
          <cell r="C82" t="str">
            <v>Retro20Fast</v>
          </cell>
          <cell r="D82">
            <v>0.22119921692859512</v>
          </cell>
          <cell r="E82">
            <v>0.15504311102289431</v>
          </cell>
          <cell r="F82">
            <v>0.10733128557729499</v>
          </cell>
          <cell r="G82">
            <v>8.3589689255657879E-2</v>
          </cell>
          <cell r="H82">
            <v>7.3237179880126971E-2</v>
          </cell>
          <cell r="I82">
            <v>6.3374636711760357E-2</v>
          </cell>
          <cell r="J82">
            <v>5.4291838367783084E-2</v>
          </cell>
          <cell r="K82">
            <v>4.612639225659896E-2</v>
          </cell>
          <cell r="L82">
            <v>3.8916876277172864E-2</v>
          </cell>
          <cell r="M82">
            <v>3.2639916313151704E-2</v>
          </cell>
          <cell r="N82">
            <v>2.7235706125786907E-2</v>
          </cell>
          <cell r="O82">
            <v>2.1211189258265428E-2</v>
          </cell>
          <cell r="P82">
            <v>1.6519290804212883E-2</v>
          </cell>
          <cell r="Q82">
            <v>1.2865236614105324E-2</v>
          </cell>
          <cell r="R82">
            <v>1.0019456349464106E-2</v>
          </cell>
          <cell r="S82">
            <v>7.8031604509122832E-3</v>
          </cell>
          <cell r="T82">
            <v>6.077107469602494E-3</v>
          </cell>
          <cell r="U82">
            <v>4.7328560561354371E-3</v>
          </cell>
          <cell r="V82">
            <v>3.6859520026825132E-3</v>
          </cell>
          <cell r="W82">
            <v>2.8706223060526725E-3</v>
          </cell>
        </row>
        <row r="83">
          <cell r="B83" t="str">
            <v>MotorsRewind-New</v>
          </cell>
          <cell r="C83" t="str">
            <v>LO12Med</v>
          </cell>
          <cell r="D83">
            <v>0.10937459468255628</v>
          </cell>
          <cell r="E83">
            <v>0.21874918936511256</v>
          </cell>
          <cell r="F83">
            <v>0.32812378404766884</v>
          </cell>
          <cell r="G83">
            <v>0.43749837873022512</v>
          </cell>
          <cell r="H83">
            <v>0.5468729734127814</v>
          </cell>
          <cell r="I83">
            <v>0.64531010862708205</v>
          </cell>
          <cell r="J83">
            <v>0.7240598167985226</v>
          </cell>
          <cell r="K83">
            <v>0.78705958333567505</v>
          </cell>
          <cell r="L83">
            <v>0.83745939656539703</v>
          </cell>
          <cell r="M83">
            <v>0.87777924714917455</v>
          </cell>
          <cell r="N83">
            <v>0.91003512761619654</v>
          </cell>
          <cell r="O83">
            <v>0.93583983198981413</v>
          </cell>
          <cell r="P83">
            <v>0.9564835954887082</v>
          </cell>
          <cell r="Q83">
            <v>0.97299860628782353</v>
          </cell>
          <cell r="R83">
            <v>0.9862106149271157</v>
          </cell>
          <cell r="S83">
            <v>0.99678022183854953</v>
          </cell>
          <cell r="T83">
            <v>0.99685231466234414</v>
          </cell>
          <cell r="U83">
            <v>0.99687806209941365</v>
          </cell>
          <cell r="V83">
            <v>0.99688683963477831</v>
          </cell>
          <cell r="W83">
            <v>0.99688970187457115</v>
          </cell>
        </row>
        <row r="84">
          <cell r="B84" t="str">
            <v>MotorsRewind-NR</v>
          </cell>
          <cell r="C84" t="str">
            <v>LO12Med</v>
          </cell>
          <cell r="D84">
            <v>0.10937459468255628</v>
          </cell>
          <cell r="E84">
            <v>0.21874918936511256</v>
          </cell>
          <cell r="F84">
            <v>0.32812378404766884</v>
          </cell>
          <cell r="G84">
            <v>0.43749837873022512</v>
          </cell>
          <cell r="H84">
            <v>0.5468729734127814</v>
          </cell>
          <cell r="I84">
            <v>0.64531010862708205</v>
          </cell>
          <cell r="J84">
            <v>0.7240598167985226</v>
          </cell>
          <cell r="K84">
            <v>0.78705958333567505</v>
          </cell>
          <cell r="L84">
            <v>0.83745939656539703</v>
          </cell>
          <cell r="M84">
            <v>0.87777924714917455</v>
          </cell>
          <cell r="N84">
            <v>0.91003512761619654</v>
          </cell>
          <cell r="O84">
            <v>0.93583983198981413</v>
          </cell>
          <cell r="P84">
            <v>0.9564835954887082</v>
          </cell>
          <cell r="Q84">
            <v>0.97299860628782353</v>
          </cell>
          <cell r="R84">
            <v>0.9862106149271157</v>
          </cell>
          <cell r="S84">
            <v>0.99678022183854953</v>
          </cell>
          <cell r="T84">
            <v>0.99685231466234414</v>
          </cell>
          <cell r="U84">
            <v>0.99687806209941365</v>
          </cell>
          <cell r="V84">
            <v>0.99688683963477831</v>
          </cell>
          <cell r="W84">
            <v>0.99688970187457115</v>
          </cell>
        </row>
        <row r="85">
          <cell r="B85" t="str">
            <v>Municipal Sewage Treatment-Retro</v>
          </cell>
          <cell r="C85" t="str">
            <v>Retro20Fast</v>
          </cell>
          <cell r="D85">
            <v>0.22119921692859512</v>
          </cell>
          <cell r="E85">
            <v>0.15504311102289431</v>
          </cell>
          <cell r="F85">
            <v>0.10733128557729499</v>
          </cell>
          <cell r="G85">
            <v>8.3589689255657879E-2</v>
          </cell>
          <cell r="H85">
            <v>7.3237179880126971E-2</v>
          </cell>
          <cell r="I85">
            <v>6.3374636711760357E-2</v>
          </cell>
          <cell r="J85">
            <v>5.4291838367783084E-2</v>
          </cell>
          <cell r="K85">
            <v>4.612639225659896E-2</v>
          </cell>
          <cell r="L85">
            <v>3.8916876277172864E-2</v>
          </cell>
          <cell r="M85">
            <v>3.2639916313151704E-2</v>
          </cell>
          <cell r="N85">
            <v>2.7235706125786907E-2</v>
          </cell>
          <cell r="O85">
            <v>2.1211189258265428E-2</v>
          </cell>
          <cell r="P85">
            <v>1.6519290804212883E-2</v>
          </cell>
          <cell r="Q85">
            <v>1.2865236614105324E-2</v>
          </cell>
          <cell r="R85">
            <v>1.0019456349464106E-2</v>
          </cell>
          <cell r="S85">
            <v>7.8031604509122832E-3</v>
          </cell>
          <cell r="T85">
            <v>6.077107469602494E-3</v>
          </cell>
          <cell r="U85">
            <v>4.7328560561354371E-3</v>
          </cell>
          <cell r="V85">
            <v>3.6859520026825132E-3</v>
          </cell>
          <cell r="W85">
            <v>2.8706223060526725E-3</v>
          </cell>
        </row>
        <row r="86">
          <cell r="B86" t="str">
            <v>Municipal Water Supply-Retro</v>
          </cell>
          <cell r="C86" t="str">
            <v>Retro20Fast</v>
          </cell>
          <cell r="D86">
            <v>0.22119921692859512</v>
          </cell>
          <cell r="E86">
            <v>0.15504311102289431</v>
          </cell>
          <cell r="F86">
            <v>0.10733128557729499</v>
          </cell>
          <cell r="G86">
            <v>8.3589689255657879E-2</v>
          </cell>
          <cell r="H86">
            <v>7.3237179880126971E-2</v>
          </cell>
          <cell r="I86">
            <v>6.3374636711760357E-2</v>
          </cell>
          <cell r="J86">
            <v>5.4291838367783084E-2</v>
          </cell>
          <cell r="K86">
            <v>4.612639225659896E-2</v>
          </cell>
          <cell r="L86">
            <v>3.8916876277172864E-2</v>
          </cell>
          <cell r="M86">
            <v>3.2639916313151704E-2</v>
          </cell>
          <cell r="N86">
            <v>2.7235706125786907E-2</v>
          </cell>
          <cell r="O86">
            <v>2.1211189258265428E-2</v>
          </cell>
          <cell r="P86">
            <v>1.6519290804212883E-2</v>
          </cell>
          <cell r="Q86">
            <v>1.2865236614105324E-2</v>
          </cell>
          <cell r="R86">
            <v>1.0019456349464106E-2</v>
          </cell>
          <cell r="S86">
            <v>7.8031604509122832E-3</v>
          </cell>
          <cell r="T86">
            <v>6.077107469602494E-3</v>
          </cell>
          <cell r="U86">
            <v>4.7328560561354371E-3</v>
          </cell>
          <cell r="V86">
            <v>3.6859520026825132E-3</v>
          </cell>
          <cell r="W86">
            <v>2.8706223060526725E-3</v>
          </cell>
        </row>
        <row r="87">
          <cell r="B87" t="str">
            <v>Engine Generator Block Heaters-Retro</v>
          </cell>
          <cell r="C87" t="str">
            <v>Retro20Fast</v>
          </cell>
          <cell r="D87">
            <v>0.22119921692859512</v>
          </cell>
          <cell r="E87">
            <v>0.15504311102289431</v>
          </cell>
          <cell r="F87">
            <v>0.10733128557729499</v>
          </cell>
          <cell r="G87">
            <v>8.3589689255657879E-2</v>
          </cell>
          <cell r="H87">
            <v>7.3237179880126971E-2</v>
          </cell>
          <cell r="I87">
            <v>6.3374636711760357E-2</v>
          </cell>
          <cell r="J87">
            <v>5.4291838367783084E-2</v>
          </cell>
          <cell r="K87">
            <v>4.612639225659896E-2</v>
          </cell>
          <cell r="L87">
            <v>3.8916876277172864E-2</v>
          </cell>
          <cell r="M87">
            <v>3.2639916313151704E-2</v>
          </cell>
          <cell r="N87">
            <v>2.7235706125786907E-2</v>
          </cell>
          <cell r="O87">
            <v>2.1211189258265428E-2</v>
          </cell>
          <cell r="P87">
            <v>1.6519290804212883E-2</v>
          </cell>
          <cell r="Q87">
            <v>1.2865236614105324E-2</v>
          </cell>
          <cell r="R87">
            <v>1.0019456349464106E-2</v>
          </cell>
          <cell r="S87">
            <v>7.8031604509122832E-3</v>
          </cell>
          <cell r="T87">
            <v>6.077107469602494E-3</v>
          </cell>
          <cell r="U87">
            <v>4.7328560561354371E-3</v>
          </cell>
          <cell r="V87">
            <v>3.6859520026825132E-3</v>
          </cell>
          <cell r="W87">
            <v>2.8706223060526725E-3</v>
          </cell>
        </row>
        <row r="88">
          <cell r="B88" t="str">
            <v>Grocery Refrigeration Bundle-Retro</v>
          </cell>
          <cell r="C88" t="str">
            <v>RetroEven20</v>
          </cell>
          <cell r="D88">
            <v>0.05</v>
          </cell>
          <cell r="E88">
            <v>0.05</v>
          </cell>
          <cell r="F88">
            <v>0.05</v>
          </cell>
          <cell r="G88">
            <v>0.05</v>
          </cell>
          <cell r="H88">
            <v>0.05</v>
          </cell>
          <cell r="I88">
            <v>0.05</v>
          </cell>
          <cell r="J88">
            <v>0.05</v>
          </cell>
          <cell r="K88">
            <v>0.05</v>
          </cell>
          <cell r="L88">
            <v>0.05</v>
          </cell>
          <cell r="M88">
            <v>0.05</v>
          </cell>
          <cell r="N88">
            <v>0.05</v>
          </cell>
          <cell r="O88">
            <v>0.05</v>
          </cell>
          <cell r="P88">
            <v>0.05</v>
          </cell>
          <cell r="Q88">
            <v>0.05</v>
          </cell>
          <cell r="R88">
            <v>0.05</v>
          </cell>
          <cell r="S88">
            <v>0.05</v>
          </cell>
          <cell r="T88">
            <v>0.05</v>
          </cell>
          <cell r="U88">
            <v>0.05</v>
          </cell>
          <cell r="V88">
            <v>0.05</v>
          </cell>
          <cell r="W88">
            <v>0.05</v>
          </cell>
        </row>
        <row r="89">
          <cell r="B89" t="str">
            <v>Packaged Refrigeration Equipment-New</v>
          </cell>
          <cell r="C89" t="str">
            <v>LOEven20</v>
          </cell>
          <cell r="D89">
            <v>0.05</v>
          </cell>
          <cell r="E89">
            <v>0.1</v>
          </cell>
          <cell r="F89">
            <v>0.15000000000000002</v>
          </cell>
          <cell r="G89">
            <v>0.2</v>
          </cell>
          <cell r="H89">
            <v>0.25</v>
          </cell>
          <cell r="I89">
            <v>0.3</v>
          </cell>
          <cell r="J89">
            <v>0.35</v>
          </cell>
          <cell r="K89">
            <v>0.39999999999999997</v>
          </cell>
          <cell r="L89">
            <v>0.44999999999999996</v>
          </cell>
          <cell r="M89">
            <v>0.49999999999999994</v>
          </cell>
          <cell r="N89">
            <v>0.54999999999999993</v>
          </cell>
          <cell r="O89">
            <v>0.6</v>
          </cell>
          <cell r="P89">
            <v>0.65</v>
          </cell>
          <cell r="Q89">
            <v>0.70000000000000007</v>
          </cell>
          <cell r="R89">
            <v>0.75000000000000011</v>
          </cell>
          <cell r="S89">
            <v>0.80000000000000016</v>
          </cell>
          <cell r="T89">
            <v>0.8500000000000002</v>
          </cell>
          <cell r="U89">
            <v>0.90000000000000024</v>
          </cell>
          <cell r="V89">
            <v>0.95000000000000029</v>
          </cell>
          <cell r="W89">
            <v>1.0000000000000002</v>
          </cell>
        </row>
        <row r="90">
          <cell r="B90" t="str">
            <v>Appliances - Freezers-NR</v>
          </cell>
          <cell r="C90" t="str">
            <v>LO5Med</v>
          </cell>
          <cell r="D90">
            <v>4.2999999999999997E-2</v>
          </cell>
          <cell r="E90">
            <v>9.5797142280278316E-2</v>
          </cell>
          <cell r="F90">
            <v>0.16040539374775648</v>
          </cell>
          <cell r="G90">
            <v>0.23540539374775649</v>
          </cell>
          <cell r="H90">
            <v>0.32095239121809005</v>
          </cell>
          <cell r="I90">
            <v>0.42096711425629652</v>
          </cell>
          <cell r="J90">
            <v>0.53068481860864725</v>
          </cell>
          <cell r="K90">
            <v>0.642769203728351</v>
          </cell>
          <cell r="L90">
            <v>0.74839528535557953</v>
          </cell>
          <cell r="M90">
            <v>0.83918984935345187</v>
          </cell>
          <cell r="N90">
            <v>0.90945051634530116</v>
          </cell>
          <cell r="O90">
            <v>0.9576688767502457</v>
          </cell>
          <cell r="P90">
            <v>0.9865231113648858</v>
          </cell>
          <cell r="Q90">
            <v>1.0012970762896924</v>
          </cell>
          <cell r="R90">
            <v>1.0076356106578106</v>
          </cell>
          <cell r="S90">
            <v>1.0098624683774413</v>
          </cell>
          <cell r="T90">
            <v>1.0104871783970797</v>
          </cell>
          <cell r="U90">
            <v>1.010623336815976</v>
          </cell>
          <cell r="V90">
            <v>1.0106457174525985</v>
          </cell>
          <cell r="W90">
            <v>1.0106484038909742</v>
          </cell>
        </row>
        <row r="91">
          <cell r="B91" t="str">
            <v>Appliances - Refrigerators-NR</v>
          </cell>
          <cell r="C91" t="str">
            <v>LO5Med</v>
          </cell>
          <cell r="D91">
            <v>4.2999999999999997E-2</v>
          </cell>
          <cell r="E91">
            <v>9.5797142280278316E-2</v>
          </cell>
          <cell r="F91">
            <v>0.16040539374775648</v>
          </cell>
          <cell r="G91">
            <v>0.23540539374775649</v>
          </cell>
          <cell r="H91">
            <v>0.32095239121809005</v>
          </cell>
          <cell r="I91">
            <v>0.42096711425629652</v>
          </cell>
          <cell r="J91">
            <v>0.53068481860864725</v>
          </cell>
          <cell r="K91">
            <v>0.642769203728351</v>
          </cell>
          <cell r="L91">
            <v>0.74839528535557953</v>
          </cell>
          <cell r="M91">
            <v>0.83918984935345187</v>
          </cell>
          <cell r="N91">
            <v>0.90945051634530116</v>
          </cell>
          <cell r="O91">
            <v>0.9576688767502457</v>
          </cell>
          <cell r="P91">
            <v>0.9865231113648858</v>
          </cell>
          <cell r="Q91">
            <v>1.0012970762896924</v>
          </cell>
          <cell r="R91">
            <v>1.0076356106578106</v>
          </cell>
          <cell r="S91">
            <v>1.0098624683774413</v>
          </cell>
          <cell r="T91">
            <v>1.0104871783970797</v>
          </cell>
          <cell r="U91">
            <v>1.010623336815976</v>
          </cell>
          <cell r="V91">
            <v>1.0106457174525985</v>
          </cell>
          <cell r="W91">
            <v>1.0106484038909742</v>
          </cell>
        </row>
        <row r="92">
          <cell r="B92" t="str">
            <v>Water Cooler Controls-Retro</v>
          </cell>
          <cell r="C92" t="str">
            <v>Retro5Med</v>
          </cell>
          <cell r="D92">
            <v>4.2999999999999997E-2</v>
          </cell>
          <cell r="E92">
            <v>5.279714228027832E-2</v>
          </cell>
          <cell r="F92">
            <v>6.4608251467478173E-2</v>
          </cell>
          <cell r="G92">
            <v>7.4999999999999997E-2</v>
          </cell>
          <cell r="H92">
            <v>8.5546997470333563E-2</v>
          </cell>
          <cell r="I92">
            <v>0.10001472303820647</v>
          </cell>
          <cell r="J92">
            <v>0.10971770435235073</v>
          </cell>
          <cell r="K92">
            <v>0.11208438511970376</v>
          </cell>
          <cell r="L92">
            <v>0.10562608162722853</v>
          </cell>
          <cell r="M92">
            <v>9.0794563997872335E-2</v>
          </cell>
          <cell r="N92">
            <v>7.0260666991849297E-2</v>
          </cell>
          <cell r="O92">
            <v>4.8218360404944538E-2</v>
          </cell>
          <cell r="P92">
            <v>2.8854234614640095E-2</v>
          </cell>
          <cell r="Q92">
            <v>1.4773964924806759E-2</v>
          </cell>
          <cell r="R92">
            <v>6.3385343681182649E-3</v>
          </cell>
          <cell r="S92">
            <v>2.2268577196306039E-3</v>
          </cell>
          <cell r="T92">
            <v>6.2471001963848583E-4</v>
          </cell>
          <cell r="U92">
            <v>1.3615841889635938E-4</v>
          </cell>
          <cell r="V92">
            <v>2.2380636622298944E-5</v>
          </cell>
          <cell r="W92">
            <v>2.68643837586513E-6</v>
          </cell>
        </row>
        <row r="93">
          <cell r="B93" t="str">
            <v>WHTanks-New</v>
          </cell>
          <cell r="C93" t="str">
            <v>LO12Med</v>
          </cell>
          <cell r="D93">
            <v>0.10937459468255628</v>
          </cell>
          <cell r="E93">
            <v>0.21874918936511256</v>
          </cell>
          <cell r="F93">
            <v>0.32812378404766884</v>
          </cell>
          <cell r="G93">
            <v>0.43749837873022512</v>
          </cell>
          <cell r="H93">
            <v>0.5468729734127814</v>
          </cell>
          <cell r="I93">
            <v>0.64531010862708205</v>
          </cell>
          <cell r="J93">
            <v>0.7240598167985226</v>
          </cell>
          <cell r="K93">
            <v>0.78705958333567505</v>
          </cell>
          <cell r="L93">
            <v>0.83745939656539703</v>
          </cell>
          <cell r="M93">
            <v>0.87777924714917455</v>
          </cell>
          <cell r="N93">
            <v>0.91003512761619654</v>
          </cell>
          <cell r="O93">
            <v>0.93583983198981413</v>
          </cell>
          <cell r="P93">
            <v>0.9564835954887082</v>
          </cell>
          <cell r="Q93">
            <v>0.97299860628782353</v>
          </cell>
          <cell r="R93">
            <v>0.9862106149271157</v>
          </cell>
          <cell r="S93">
            <v>0.99678022183854953</v>
          </cell>
          <cell r="T93">
            <v>0.99685231466234414</v>
          </cell>
          <cell r="U93">
            <v>0.99687806209941365</v>
          </cell>
          <cell r="V93">
            <v>0.99688683963477831</v>
          </cell>
          <cell r="W93">
            <v>0.99688970187457115</v>
          </cell>
        </row>
        <row r="94">
          <cell r="B94" t="str">
            <v>WHTanks-NR</v>
          </cell>
          <cell r="C94" t="str">
            <v>LO12Med</v>
          </cell>
          <cell r="D94">
            <v>0.10937459468255628</v>
          </cell>
          <cell r="E94">
            <v>0.21874918936511256</v>
          </cell>
          <cell r="F94">
            <v>0.32812378404766884</v>
          </cell>
          <cell r="G94">
            <v>0.43749837873022512</v>
          </cell>
          <cell r="H94">
            <v>0.5468729734127814</v>
          </cell>
          <cell r="I94">
            <v>0.64531010862708205</v>
          </cell>
          <cell r="J94">
            <v>0.7240598167985226</v>
          </cell>
          <cell r="K94">
            <v>0.78705958333567505</v>
          </cell>
          <cell r="L94">
            <v>0.83745939656539703</v>
          </cell>
          <cell r="M94">
            <v>0.87777924714917455</v>
          </cell>
          <cell r="N94">
            <v>0.91003512761619654</v>
          </cell>
          <cell r="O94">
            <v>0.93583983198981413</v>
          </cell>
          <cell r="P94">
            <v>0.9564835954887082</v>
          </cell>
          <cell r="Q94">
            <v>0.97299860628782353</v>
          </cell>
          <cell r="R94">
            <v>0.9862106149271157</v>
          </cell>
          <cell r="S94">
            <v>0.99678022183854953</v>
          </cell>
          <cell r="T94">
            <v>0.99685231466234414</v>
          </cell>
          <cell r="U94">
            <v>0.99687806209941365</v>
          </cell>
          <cell r="V94">
            <v>0.99688683963477831</v>
          </cell>
          <cell r="W94">
            <v>0.99688970187457115</v>
          </cell>
        </row>
        <row r="95">
          <cell r="B95" t="str">
            <v>Appliances - Clothes Washers-NR</v>
          </cell>
          <cell r="C95" t="str">
            <v>Retro20Fast</v>
          </cell>
          <cell r="D95">
            <v>0.22119921692859512</v>
          </cell>
          <cell r="E95">
            <v>0.15504311102289431</v>
          </cell>
          <cell r="F95">
            <v>0.10733128557729499</v>
          </cell>
          <cell r="G95">
            <v>8.3589689255657879E-2</v>
          </cell>
          <cell r="H95">
            <v>7.3237179880126971E-2</v>
          </cell>
          <cell r="I95">
            <v>6.3374636711760357E-2</v>
          </cell>
          <cell r="J95">
            <v>5.4291838367783084E-2</v>
          </cell>
          <cell r="K95">
            <v>4.612639225659896E-2</v>
          </cell>
          <cell r="L95">
            <v>3.8916876277172864E-2</v>
          </cell>
          <cell r="M95">
            <v>3.2639916313151704E-2</v>
          </cell>
          <cell r="N95">
            <v>2.7235706125786907E-2</v>
          </cell>
          <cell r="O95">
            <v>2.1211189258265428E-2</v>
          </cell>
          <cell r="P95">
            <v>1.6519290804212883E-2</v>
          </cell>
          <cell r="Q95">
            <v>1.2865236614105324E-2</v>
          </cell>
          <cell r="R95">
            <v>1.0019456349464106E-2</v>
          </cell>
          <cell r="S95">
            <v>7.8031604509122832E-3</v>
          </cell>
          <cell r="T95">
            <v>6.077107469602494E-3</v>
          </cell>
          <cell r="U95">
            <v>4.7328560561354371E-3</v>
          </cell>
          <cell r="V95">
            <v>3.6859520026825132E-3</v>
          </cell>
          <cell r="W95">
            <v>2.8706223060526725E-3</v>
          </cell>
        </row>
        <row r="96">
          <cell r="B96" t="str">
            <v>Showerheads-Retro</v>
          </cell>
          <cell r="C96" t="str">
            <v>Retro20Fast</v>
          </cell>
          <cell r="D96">
            <v>0.22119921692859512</v>
          </cell>
          <cell r="E96">
            <v>0.15504311102289431</v>
          </cell>
          <cell r="F96">
            <v>0.10733128557729499</v>
          </cell>
          <cell r="G96">
            <v>8.3589689255657879E-2</v>
          </cell>
          <cell r="H96">
            <v>7.3237179880126971E-2</v>
          </cell>
          <cell r="I96">
            <v>6.3374636711760357E-2</v>
          </cell>
          <cell r="J96">
            <v>5.4291838367783084E-2</v>
          </cell>
          <cell r="K96">
            <v>4.612639225659896E-2</v>
          </cell>
          <cell r="L96">
            <v>3.8916876277172864E-2</v>
          </cell>
          <cell r="M96">
            <v>3.2639916313151704E-2</v>
          </cell>
          <cell r="N96">
            <v>2.7235706125786907E-2</v>
          </cell>
          <cell r="O96">
            <v>2.1211189258265428E-2</v>
          </cell>
          <cell r="P96">
            <v>1.6519290804212883E-2</v>
          </cell>
          <cell r="Q96">
            <v>1.2865236614105324E-2</v>
          </cell>
          <cell r="R96">
            <v>1.0019456349464106E-2</v>
          </cell>
          <cell r="S96">
            <v>7.8031604509122832E-3</v>
          </cell>
          <cell r="T96">
            <v>6.077107469602494E-3</v>
          </cell>
          <cell r="U96">
            <v>4.7328560561354371E-3</v>
          </cell>
          <cell r="V96">
            <v>3.6859520026825132E-3</v>
          </cell>
          <cell r="W96">
            <v>2.8706223060526725E-3</v>
          </cell>
        </row>
        <row r="97">
          <cell r="B97" t="str">
            <v>Water Heating - GFHX-New</v>
          </cell>
          <cell r="C97" t="str">
            <v>Retro20Fast</v>
          </cell>
          <cell r="D97">
            <v>0.22119921692859512</v>
          </cell>
          <cell r="E97">
            <v>0.15504311102289431</v>
          </cell>
          <cell r="F97">
            <v>0.10733128557729499</v>
          </cell>
          <cell r="G97">
            <v>8.3589689255657879E-2</v>
          </cell>
          <cell r="H97">
            <v>7.3237179880126971E-2</v>
          </cell>
          <cell r="I97">
            <v>6.3374636711760357E-2</v>
          </cell>
          <cell r="J97">
            <v>5.4291838367783084E-2</v>
          </cell>
          <cell r="K97">
            <v>4.612639225659896E-2</v>
          </cell>
          <cell r="L97">
            <v>3.8916876277172864E-2</v>
          </cell>
          <cell r="M97">
            <v>3.2639916313151704E-2</v>
          </cell>
          <cell r="N97">
            <v>2.7235706125786907E-2</v>
          </cell>
          <cell r="O97">
            <v>2.1211189258265428E-2</v>
          </cell>
          <cell r="P97">
            <v>1.6519290804212883E-2</v>
          </cell>
          <cell r="Q97">
            <v>1.2865236614105324E-2</v>
          </cell>
          <cell r="R97">
            <v>1.0019456349464106E-2</v>
          </cell>
          <cell r="S97">
            <v>7.8031604509122832E-3</v>
          </cell>
          <cell r="T97">
            <v>6.077107469602494E-3</v>
          </cell>
          <cell r="U97">
            <v>4.7328560561354371E-3</v>
          </cell>
          <cell r="V97">
            <v>3.6859520026825132E-3</v>
          </cell>
          <cell r="W97">
            <v>2.8706223060526725E-3</v>
          </cell>
        </row>
        <row r="98">
          <cell r="B98" t="str">
            <v>Demand Control Circulating system DHW-Retro</v>
          </cell>
          <cell r="C98" t="str">
            <v>RetroEven20</v>
          </cell>
          <cell r="D98">
            <v>0.05</v>
          </cell>
          <cell r="E98">
            <v>0.05</v>
          </cell>
          <cell r="F98">
            <v>0.05</v>
          </cell>
          <cell r="G98">
            <v>0.05</v>
          </cell>
          <cell r="H98">
            <v>0.05</v>
          </cell>
          <cell r="I98">
            <v>0.05</v>
          </cell>
          <cell r="J98">
            <v>0.05</v>
          </cell>
          <cell r="K98">
            <v>0.05</v>
          </cell>
          <cell r="L98">
            <v>0.05</v>
          </cell>
          <cell r="M98">
            <v>0.05</v>
          </cell>
          <cell r="N98">
            <v>0.05</v>
          </cell>
          <cell r="O98">
            <v>0.05</v>
          </cell>
          <cell r="P98">
            <v>0.05</v>
          </cell>
          <cell r="Q98">
            <v>0.05</v>
          </cell>
          <cell r="R98">
            <v>0.05</v>
          </cell>
          <cell r="S98">
            <v>0.05</v>
          </cell>
          <cell r="T98">
            <v>0.05</v>
          </cell>
          <cell r="U98">
            <v>0.05</v>
          </cell>
          <cell r="V98">
            <v>0.05</v>
          </cell>
          <cell r="W98">
            <v>0.05</v>
          </cell>
        </row>
        <row r="99">
          <cell r="B99" t="str">
            <v>Central HPWH MF-Retro</v>
          </cell>
          <cell r="C99" t="str">
            <v>Retro20Fast</v>
          </cell>
          <cell r="D99">
            <v>0.22119921692859512</v>
          </cell>
          <cell r="E99">
            <v>0.15504311102289431</v>
          </cell>
          <cell r="F99">
            <v>0.10733128557729499</v>
          </cell>
          <cell r="G99">
            <v>8.3589689255657879E-2</v>
          </cell>
          <cell r="H99">
            <v>7.3237179880126971E-2</v>
          </cell>
          <cell r="I99">
            <v>6.3374636711760357E-2</v>
          </cell>
          <cell r="J99">
            <v>5.4291838367783084E-2</v>
          </cell>
          <cell r="K99">
            <v>4.612639225659896E-2</v>
          </cell>
          <cell r="L99">
            <v>3.8916876277172864E-2</v>
          </cell>
          <cell r="M99">
            <v>3.2639916313151704E-2</v>
          </cell>
          <cell r="N99">
            <v>2.7235706125786907E-2</v>
          </cell>
          <cell r="O99">
            <v>2.1211189258265428E-2</v>
          </cell>
          <cell r="P99">
            <v>1.6519290804212883E-2</v>
          </cell>
          <cell r="Q99">
            <v>1.2865236614105324E-2</v>
          </cell>
          <cell r="R99">
            <v>1.0019456349464106E-2</v>
          </cell>
          <cell r="S99">
            <v>7.8031604509122832E-3</v>
          </cell>
          <cell r="T99">
            <v>6.077107469602494E-3</v>
          </cell>
          <cell r="U99">
            <v>4.7328560561354371E-3</v>
          </cell>
          <cell r="V99">
            <v>3.6859520026825132E-3</v>
          </cell>
          <cell r="W99">
            <v>2.8706223060526725E-3</v>
          </cell>
        </row>
        <row r="100">
          <cell r="B100" t="str">
            <v>Ultra Low Energy Building-New</v>
          </cell>
          <cell r="C100" t="str">
            <v>LO1Slow</v>
          </cell>
          <cell r="D100">
            <v>2.5643970768378654E-3</v>
          </cell>
          <cell r="E100">
            <v>7.6904586297764643E-3</v>
          </cell>
          <cell r="F100">
            <v>1.6792013047419844E-2</v>
          </cell>
          <cell r="G100">
            <v>3.15969387774655E-2</v>
          </cell>
          <cell r="H100">
            <v>5.406874819795171E-2</v>
          </cell>
          <cell r="I100">
            <v>8.6253181011834101E-2</v>
          </cell>
          <cell r="J100">
            <v>0.1300328481838382</v>
          </cell>
          <cell r="K100">
            <v>0.18678710893858319</v>
          </cell>
          <cell r="L100">
            <v>0.2569823480072907</v>
          </cell>
          <cell r="M100">
            <v>0.33975920985004748</v>
          </cell>
          <cell r="N100">
            <v>0.43262946935754232</v>
          </cell>
          <cell r="O100">
            <v>0.53142594003645804</v>
          </cell>
          <cell r="P100">
            <v>0.63063487292644704</v>
          </cell>
          <cell r="Q100">
            <v>0.7241560234206913</v>
          </cell>
          <cell r="R100">
            <v>0.80638203131755359</v>
          </cell>
          <cell r="S100">
            <v>0.87331559734491926</v>
          </cell>
          <cell r="T100">
            <v>0.92334516248836807</v>
          </cell>
          <cell r="U100">
            <v>0.95737002770730018</v>
          </cell>
          <cell r="V100">
            <v>0.97821608704807483</v>
          </cell>
          <cell r="W100">
            <v>0.98821608704807484</v>
          </cell>
        </row>
        <row r="101">
          <cell r="B101" t="str">
            <v>HPLowPowerGSFL-NR</v>
          </cell>
          <cell r="C101" t="str">
            <v>LO20Fast</v>
          </cell>
          <cell r="D101">
            <v>0.22119921692859512</v>
          </cell>
          <cell r="E101">
            <v>0.37624232795148943</v>
          </cell>
          <cell r="F101">
            <v>0.48357361352878442</v>
          </cell>
          <cell r="G101">
            <v>0.56716330278444227</v>
          </cell>
          <cell r="H101">
            <v>0.64040048266456928</v>
          </cell>
          <cell r="I101">
            <v>0.70377511937632964</v>
          </cell>
          <cell r="J101">
            <v>0.7580669577441127</v>
          </cell>
          <cell r="K101">
            <v>0.80419335000071168</v>
          </cell>
          <cell r="L101">
            <v>0.84311022627788457</v>
          </cell>
          <cell r="M101">
            <v>0.87575014259103623</v>
          </cell>
          <cell r="N101">
            <v>0.90298584871682319</v>
          </cell>
          <cell r="O101">
            <v>0.92419703797508856</v>
          </cell>
          <cell r="P101">
            <v>0.94071632877930145</v>
          </cell>
          <cell r="Q101">
            <v>0.95358156539340677</v>
          </cell>
          <cell r="R101">
            <v>0.96360102174287088</v>
          </cell>
          <cell r="S101">
            <v>0.97140418219378311</v>
          </cell>
          <cell r="T101">
            <v>0.97748128966338554</v>
          </cell>
          <cell r="U101">
            <v>0.98221414571952104</v>
          </cell>
          <cell r="V101">
            <v>0.98590009772220355</v>
          </cell>
          <cell r="W101">
            <v>0.98877072002825628</v>
          </cell>
        </row>
        <row r="102">
          <cell r="D102" t="str">
            <v/>
          </cell>
          <cell r="E102" t="str">
            <v/>
          </cell>
          <cell r="F102" t="str">
            <v/>
          </cell>
          <cell r="G102" t="str">
            <v/>
          </cell>
          <cell r="H102" t="str">
            <v/>
          </cell>
          <cell r="I102" t="str">
            <v/>
          </cell>
          <cell r="J102" t="str">
            <v/>
          </cell>
          <cell r="K102" t="str">
            <v/>
          </cell>
          <cell r="L102" t="str">
            <v/>
          </cell>
          <cell r="M102" t="str">
            <v/>
          </cell>
          <cell r="N102" t="str">
            <v/>
          </cell>
          <cell r="O102" t="str">
            <v/>
          </cell>
          <cell r="P102" t="str">
            <v/>
          </cell>
          <cell r="Q102" t="str">
            <v/>
          </cell>
          <cell r="R102" t="str">
            <v/>
          </cell>
          <cell r="S102" t="str">
            <v/>
          </cell>
          <cell r="T102" t="str">
            <v/>
          </cell>
          <cell r="U102" t="str">
            <v/>
          </cell>
          <cell r="V102" t="str">
            <v/>
          </cell>
          <cell r="W102" t="str">
            <v/>
          </cell>
        </row>
        <row r="103">
          <cell r="D103" t="str">
            <v/>
          </cell>
          <cell r="E103" t="str">
            <v/>
          </cell>
          <cell r="F103" t="str">
            <v/>
          </cell>
          <cell r="G103" t="str">
            <v/>
          </cell>
          <cell r="H103" t="str">
            <v/>
          </cell>
          <cell r="I103" t="str">
            <v/>
          </cell>
          <cell r="J103" t="str">
            <v/>
          </cell>
          <cell r="K103" t="str">
            <v/>
          </cell>
          <cell r="L103" t="str">
            <v/>
          </cell>
          <cell r="M103" t="str">
            <v/>
          </cell>
          <cell r="N103" t="str">
            <v/>
          </cell>
          <cell r="O103" t="str">
            <v/>
          </cell>
          <cell r="P103" t="str">
            <v/>
          </cell>
          <cell r="Q103" t="str">
            <v/>
          </cell>
          <cell r="R103" t="str">
            <v/>
          </cell>
          <cell r="S103" t="str">
            <v/>
          </cell>
          <cell r="T103" t="str">
            <v/>
          </cell>
          <cell r="U103" t="str">
            <v/>
          </cell>
          <cell r="V103" t="str">
            <v/>
          </cell>
          <cell r="W103" t="str">
            <v/>
          </cell>
        </row>
        <row r="104">
          <cell r="D104" t="str">
            <v/>
          </cell>
          <cell r="E104" t="str">
            <v/>
          </cell>
          <cell r="F104" t="str">
            <v/>
          </cell>
          <cell r="G104" t="str">
            <v/>
          </cell>
          <cell r="H104" t="str">
            <v/>
          </cell>
          <cell r="I104" t="str">
            <v/>
          </cell>
          <cell r="J104" t="str">
            <v/>
          </cell>
          <cell r="K104" t="str">
            <v/>
          </cell>
          <cell r="L104" t="str">
            <v/>
          </cell>
          <cell r="M104" t="str">
            <v/>
          </cell>
          <cell r="N104" t="str">
            <v/>
          </cell>
          <cell r="O104" t="str">
            <v/>
          </cell>
          <cell r="P104" t="str">
            <v/>
          </cell>
          <cell r="Q104" t="str">
            <v/>
          </cell>
          <cell r="R104" t="str">
            <v/>
          </cell>
          <cell r="S104" t="str">
            <v/>
          </cell>
          <cell r="T104" t="str">
            <v/>
          </cell>
          <cell r="U104" t="str">
            <v/>
          </cell>
          <cell r="V104" t="str">
            <v/>
          </cell>
          <cell r="W104" t="str">
            <v/>
          </cell>
        </row>
        <row r="105">
          <cell r="D105" t="str">
            <v/>
          </cell>
          <cell r="E105" t="str">
            <v/>
          </cell>
          <cell r="F105" t="str">
            <v/>
          </cell>
          <cell r="G105" t="str">
            <v/>
          </cell>
          <cell r="H105" t="str">
            <v/>
          </cell>
          <cell r="I105" t="str">
            <v/>
          </cell>
          <cell r="J105" t="str">
            <v/>
          </cell>
          <cell r="K105" t="str">
            <v/>
          </cell>
          <cell r="L105" t="str">
            <v/>
          </cell>
          <cell r="M105" t="str">
            <v/>
          </cell>
          <cell r="N105" t="str">
            <v/>
          </cell>
          <cell r="O105" t="str">
            <v/>
          </cell>
          <cell r="P105" t="str">
            <v/>
          </cell>
          <cell r="Q105" t="str">
            <v/>
          </cell>
          <cell r="R105" t="str">
            <v/>
          </cell>
          <cell r="S105" t="str">
            <v/>
          </cell>
          <cell r="T105" t="str">
            <v/>
          </cell>
          <cell r="U105" t="str">
            <v/>
          </cell>
          <cell r="V105" t="str">
            <v/>
          </cell>
          <cell r="W105" t="str">
            <v/>
          </cell>
        </row>
        <row r="106">
          <cell r="D106" t="str">
            <v/>
          </cell>
          <cell r="E106" t="str">
            <v/>
          </cell>
          <cell r="F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T106" t="str">
            <v/>
          </cell>
          <cell r="U106" t="str">
            <v/>
          </cell>
          <cell r="V106" t="str">
            <v/>
          </cell>
          <cell r="W106" t="str">
            <v/>
          </cell>
        </row>
        <row r="107">
          <cell r="D107" t="str">
            <v/>
          </cell>
          <cell r="E107" t="str">
            <v/>
          </cell>
          <cell r="F107" t="str">
            <v/>
          </cell>
          <cell r="G107" t="str">
            <v/>
          </cell>
          <cell r="H107" t="str">
            <v/>
          </cell>
          <cell r="I107" t="str">
            <v/>
          </cell>
          <cell r="J107" t="str">
            <v/>
          </cell>
          <cell r="K107" t="str">
            <v/>
          </cell>
          <cell r="L107" t="str">
            <v/>
          </cell>
          <cell r="M107" t="str">
            <v/>
          </cell>
          <cell r="N107" t="str">
            <v/>
          </cell>
          <cell r="O107" t="str">
            <v/>
          </cell>
          <cell r="P107" t="str">
            <v/>
          </cell>
          <cell r="Q107" t="str">
            <v/>
          </cell>
          <cell r="R107" t="str">
            <v/>
          </cell>
          <cell r="S107" t="str">
            <v/>
          </cell>
          <cell r="T107" t="str">
            <v/>
          </cell>
          <cell r="U107" t="str">
            <v/>
          </cell>
          <cell r="V107" t="str">
            <v/>
          </cell>
          <cell r="W107" t="str">
            <v/>
          </cell>
        </row>
        <row r="108">
          <cell r="D108" t="str">
            <v/>
          </cell>
          <cell r="E108" t="str">
            <v/>
          </cell>
          <cell r="F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t="str">
            <v/>
          </cell>
          <cell r="U108" t="str">
            <v/>
          </cell>
          <cell r="V108" t="str">
            <v/>
          </cell>
          <cell r="W108" t="str">
            <v/>
          </cell>
        </row>
        <row r="109">
          <cell r="D109" t="str">
            <v/>
          </cell>
          <cell r="E109" t="str">
            <v/>
          </cell>
          <cell r="F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cell r="W109" t="str">
            <v/>
          </cell>
        </row>
        <row r="110">
          <cell r="D110" t="str">
            <v/>
          </cell>
          <cell r="E110" t="str">
            <v/>
          </cell>
          <cell r="F110" t="str">
            <v/>
          </cell>
          <cell r="G110" t="str">
            <v/>
          </cell>
          <cell r="H110" t="str">
            <v/>
          </cell>
          <cell r="I110" t="str">
            <v/>
          </cell>
          <cell r="J110" t="str">
            <v/>
          </cell>
          <cell r="K110" t="str">
            <v/>
          </cell>
          <cell r="L110" t="str">
            <v/>
          </cell>
          <cell r="M110" t="str">
            <v/>
          </cell>
          <cell r="N110" t="str">
            <v/>
          </cell>
          <cell r="O110" t="str">
            <v/>
          </cell>
          <cell r="P110" t="str">
            <v/>
          </cell>
          <cell r="Q110" t="str">
            <v/>
          </cell>
          <cell r="R110" t="str">
            <v/>
          </cell>
          <cell r="S110" t="str">
            <v/>
          </cell>
          <cell r="T110" t="str">
            <v/>
          </cell>
          <cell r="U110" t="str">
            <v/>
          </cell>
          <cell r="V110" t="str">
            <v/>
          </cell>
          <cell r="W110" t="str">
            <v/>
          </cell>
        </row>
        <row r="111">
          <cell r="D111" t="str">
            <v/>
          </cell>
          <cell r="E111" t="str">
            <v/>
          </cell>
          <cell r="F111" t="str">
            <v/>
          </cell>
          <cell r="G111" t="str">
            <v/>
          </cell>
          <cell r="H111" t="str">
            <v/>
          </cell>
          <cell r="I111" t="str">
            <v/>
          </cell>
          <cell r="J111" t="str">
            <v/>
          </cell>
          <cell r="K111" t="str">
            <v/>
          </cell>
          <cell r="L111" t="str">
            <v/>
          </cell>
          <cell r="M111" t="str">
            <v/>
          </cell>
          <cell r="N111" t="str">
            <v/>
          </cell>
          <cell r="O111" t="str">
            <v/>
          </cell>
          <cell r="P111" t="str">
            <v/>
          </cell>
          <cell r="Q111" t="str">
            <v/>
          </cell>
          <cell r="R111" t="str">
            <v/>
          </cell>
          <cell r="S111" t="str">
            <v/>
          </cell>
          <cell r="T111" t="str">
            <v/>
          </cell>
          <cell r="U111" t="str">
            <v/>
          </cell>
          <cell r="V111" t="str">
            <v/>
          </cell>
          <cell r="W111" t="str">
            <v/>
          </cell>
        </row>
        <row r="112">
          <cell r="D112" t="str">
            <v/>
          </cell>
          <cell r="E112" t="str">
            <v/>
          </cell>
          <cell r="F112" t="str">
            <v/>
          </cell>
          <cell r="G112" t="str">
            <v/>
          </cell>
          <cell r="H112" t="str">
            <v/>
          </cell>
          <cell r="I112" t="str">
            <v/>
          </cell>
          <cell r="J112" t="str">
            <v/>
          </cell>
          <cell r="K112" t="str">
            <v/>
          </cell>
          <cell r="L112" t="str">
            <v/>
          </cell>
          <cell r="M112" t="str">
            <v/>
          </cell>
          <cell r="N112" t="str">
            <v/>
          </cell>
          <cell r="O112" t="str">
            <v/>
          </cell>
          <cell r="P112" t="str">
            <v/>
          </cell>
          <cell r="Q112" t="str">
            <v/>
          </cell>
          <cell r="R112" t="str">
            <v/>
          </cell>
          <cell r="S112" t="str">
            <v/>
          </cell>
          <cell r="T112" t="str">
            <v/>
          </cell>
          <cell r="U112" t="str">
            <v/>
          </cell>
          <cell r="V112" t="str">
            <v/>
          </cell>
          <cell r="W112" t="str">
            <v/>
          </cell>
        </row>
        <row r="113">
          <cell r="D113" t="str">
            <v/>
          </cell>
          <cell r="E113" t="str">
            <v/>
          </cell>
          <cell r="F113" t="str">
            <v/>
          </cell>
          <cell r="G113" t="str">
            <v/>
          </cell>
          <cell r="H113" t="str">
            <v/>
          </cell>
          <cell r="I113" t="str">
            <v/>
          </cell>
          <cell r="J113" t="str">
            <v/>
          </cell>
          <cell r="K113" t="str">
            <v/>
          </cell>
          <cell r="L113" t="str">
            <v/>
          </cell>
          <cell r="M113" t="str">
            <v/>
          </cell>
          <cell r="N113" t="str">
            <v/>
          </cell>
          <cell r="O113" t="str">
            <v/>
          </cell>
          <cell r="P113" t="str">
            <v/>
          </cell>
          <cell r="Q113" t="str">
            <v/>
          </cell>
          <cell r="R113" t="str">
            <v/>
          </cell>
          <cell r="S113" t="str">
            <v/>
          </cell>
          <cell r="T113" t="str">
            <v/>
          </cell>
          <cell r="U113" t="str">
            <v/>
          </cell>
          <cell r="V113" t="str">
            <v/>
          </cell>
          <cell r="W113" t="str">
            <v/>
          </cell>
        </row>
        <row r="114">
          <cell r="D114" t="str">
            <v/>
          </cell>
          <cell r="E114" t="str">
            <v/>
          </cell>
          <cell r="F114" t="str">
            <v/>
          </cell>
          <cell r="G114" t="str">
            <v/>
          </cell>
          <cell r="H114" t="str">
            <v/>
          </cell>
          <cell r="I114" t="str">
            <v/>
          </cell>
          <cell r="J114" t="str">
            <v/>
          </cell>
          <cell r="K114" t="str">
            <v/>
          </cell>
          <cell r="L114" t="str">
            <v/>
          </cell>
          <cell r="M114" t="str">
            <v/>
          </cell>
          <cell r="N114" t="str">
            <v/>
          </cell>
          <cell r="O114" t="str">
            <v/>
          </cell>
          <cell r="P114" t="str">
            <v/>
          </cell>
          <cell r="Q114" t="str">
            <v/>
          </cell>
          <cell r="R114" t="str">
            <v/>
          </cell>
          <cell r="S114" t="str">
            <v/>
          </cell>
          <cell r="T114" t="str">
            <v/>
          </cell>
          <cell r="U114" t="str">
            <v/>
          </cell>
          <cell r="V114" t="str">
            <v/>
          </cell>
          <cell r="W114" t="str">
            <v/>
          </cell>
        </row>
        <row r="115">
          <cell r="D115" t="str">
            <v/>
          </cell>
          <cell r="E115" t="str">
            <v/>
          </cell>
          <cell r="F115" t="str">
            <v/>
          </cell>
          <cell r="G115" t="str">
            <v/>
          </cell>
          <cell r="H115" t="str">
            <v/>
          </cell>
          <cell r="I115" t="str">
            <v/>
          </cell>
          <cell r="J115" t="str">
            <v/>
          </cell>
          <cell r="K115" t="str">
            <v/>
          </cell>
          <cell r="L115" t="str">
            <v/>
          </cell>
          <cell r="M115" t="str">
            <v/>
          </cell>
          <cell r="N115" t="str">
            <v/>
          </cell>
          <cell r="O115" t="str">
            <v/>
          </cell>
          <cell r="P115" t="str">
            <v/>
          </cell>
          <cell r="Q115" t="str">
            <v/>
          </cell>
          <cell r="R115" t="str">
            <v/>
          </cell>
          <cell r="S115" t="str">
            <v/>
          </cell>
          <cell r="T115" t="str">
            <v/>
          </cell>
          <cell r="U115" t="str">
            <v/>
          </cell>
          <cell r="V115" t="str">
            <v/>
          </cell>
          <cell r="W115" t="str">
            <v/>
          </cell>
        </row>
        <row r="116">
          <cell r="D116" t="str">
            <v/>
          </cell>
          <cell r="E116" t="str">
            <v/>
          </cell>
          <cell r="F116" t="str">
            <v/>
          </cell>
          <cell r="G116" t="str">
            <v/>
          </cell>
          <cell r="H116" t="str">
            <v/>
          </cell>
          <cell r="I116" t="str">
            <v/>
          </cell>
          <cell r="J116" t="str">
            <v/>
          </cell>
          <cell r="K116" t="str">
            <v/>
          </cell>
          <cell r="L116" t="str">
            <v/>
          </cell>
          <cell r="M116" t="str">
            <v/>
          </cell>
          <cell r="N116" t="str">
            <v/>
          </cell>
          <cell r="O116" t="str">
            <v/>
          </cell>
          <cell r="P116" t="str">
            <v/>
          </cell>
          <cell r="Q116" t="str">
            <v/>
          </cell>
          <cell r="R116" t="str">
            <v/>
          </cell>
          <cell r="S116" t="str">
            <v/>
          </cell>
          <cell r="T116" t="str">
            <v/>
          </cell>
          <cell r="U116" t="str">
            <v/>
          </cell>
          <cell r="V116" t="str">
            <v/>
          </cell>
          <cell r="W116" t="str">
            <v/>
          </cell>
        </row>
      </sheetData>
      <sheetData sheetId="8">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row>
        <row r="13">
          <cell r="B13" t="str">
            <v>Compressed Air-NR</v>
          </cell>
        </row>
        <row r="14">
          <cell r="B14" t="str">
            <v>Network PC Power Management-Retro</v>
          </cell>
        </row>
        <row r="15">
          <cell r="B15" t="str">
            <v>Computer Servers and IT-Retro</v>
          </cell>
        </row>
        <row r="16">
          <cell r="B16" t="str">
            <v>Smart Plug Power Strips-Retro</v>
          </cell>
        </row>
        <row r="17">
          <cell r="B17" t="str">
            <v>Data Centers-NR</v>
          </cell>
        </row>
        <row r="18">
          <cell r="B18" t="str">
            <v>Commercial Computer Monitor-NR</v>
          </cell>
        </row>
        <row r="19">
          <cell r="B19" t="str">
            <v>Commercial Computer Desktop-NR</v>
          </cell>
        </row>
        <row r="20">
          <cell r="B20" t="str">
            <v>Pre-Rinse Spray Valve-Retro</v>
          </cell>
        </row>
        <row r="21">
          <cell r="B21" t="str">
            <v>Cooking Equipment-NR</v>
          </cell>
        </row>
        <row r="22">
          <cell r="B22" t="str">
            <v>Premium HVAC Equipment-New</v>
          </cell>
        </row>
        <row r="23">
          <cell r="B23" t="str">
            <v>Premium HVAC Equipment-NR</v>
          </cell>
        </row>
        <row r="24">
          <cell r="B24" t="str">
            <v>Glass-New</v>
          </cell>
        </row>
        <row r="25">
          <cell r="B25" t="str">
            <v>Glass-NR</v>
          </cell>
        </row>
        <row r="26">
          <cell r="B26" t="str">
            <v>Glass-Retro</v>
          </cell>
        </row>
        <row r="27">
          <cell r="B27" t="str">
            <v>Advanced Rooftop Controller-New</v>
          </cell>
        </row>
        <row r="28">
          <cell r="B28" t="str">
            <v>Advanced Rooftop Controller-NR</v>
          </cell>
        </row>
        <row r="29">
          <cell r="B29" t="str">
            <v>Advanced Rooftop Controller-Retro</v>
          </cell>
        </row>
        <row r="30">
          <cell r="B30" t="str">
            <v>Variable Speed Chiller-New</v>
          </cell>
        </row>
        <row r="31">
          <cell r="B31" t="str">
            <v>Variable Speed Chiller-NR</v>
          </cell>
        </row>
        <row r="32">
          <cell r="B32" t="str">
            <v>Commercial EM-New</v>
          </cell>
        </row>
        <row r="33">
          <cell r="B33" t="str">
            <v>Commercial EM-NR</v>
          </cell>
        </row>
        <row r="34">
          <cell r="B34" t="str">
            <v>Commercial EM-Retro</v>
          </cell>
        </row>
        <row r="35">
          <cell r="B35" t="str">
            <v>Evaporative Assist Cooling-New</v>
          </cell>
        </row>
        <row r="36">
          <cell r="B36" t="str">
            <v>Evaporative Assist Cooling-NR</v>
          </cell>
        </row>
        <row r="37">
          <cell r="B37" t="str">
            <v>Low Pressure Distribution Complex HVAC-New</v>
          </cell>
        </row>
        <row r="38">
          <cell r="B38" t="str">
            <v>Demand Control Ventilation-New</v>
          </cell>
        </row>
        <row r="39">
          <cell r="B39" t="str">
            <v>Demand Control Ventilation-NR</v>
          </cell>
        </row>
        <row r="40">
          <cell r="B40" t="str">
            <v>Demand Control Ventilation-Retro</v>
          </cell>
        </row>
        <row r="41">
          <cell r="B41" t="str">
            <v>Premium Fume Hood-NR</v>
          </cell>
        </row>
        <row r="42">
          <cell r="B42" t="str">
            <v>DCV Restaurant Hood-Retro</v>
          </cell>
        </row>
        <row r="43">
          <cell r="B43" t="str">
            <v>DCV Parking Garage-Retro</v>
          </cell>
        </row>
        <row r="44">
          <cell r="B44" t="str">
            <v>Weatherization - School-Retro</v>
          </cell>
        </row>
        <row r="45">
          <cell r="B45" t="str">
            <v>Commercial Computer Laptop-NR</v>
          </cell>
        </row>
        <row r="46">
          <cell r="B46" t="str">
            <v>AC Heat Recovery for Water Heating-NR</v>
          </cell>
        </row>
        <row r="47">
          <cell r="B47" t="str">
            <v>Room Occupancy Sensors in Lodging-Retro</v>
          </cell>
        </row>
        <row r="48">
          <cell r="B48" t="str">
            <v>Chiller - chilled water retrofit-Retro</v>
          </cell>
        </row>
        <row r="49">
          <cell r="B49" t="str">
            <v>Chiller - equip retrofits-Retro</v>
          </cell>
        </row>
        <row r="50">
          <cell r="B50" t="str">
            <v>Pool Blankets-Retro</v>
          </cell>
        </row>
        <row r="51">
          <cell r="B51" t="str">
            <v>Web-Enabled Thermostats-Retro</v>
          </cell>
        </row>
        <row r="52">
          <cell r="B52" t="str">
            <v>Garage CO2 ventilation-Retro</v>
          </cell>
        </row>
        <row r="53">
          <cell r="B53" t="str">
            <v>Circ Pump ECM and drive-Retro</v>
          </cell>
        </row>
        <row r="54">
          <cell r="B54" t="str">
            <v>VRF-New</v>
          </cell>
          <cell r="C54">
            <v>0.05</v>
          </cell>
          <cell r="D54">
            <v>0.8</v>
          </cell>
          <cell r="E54">
            <v>0.8</v>
          </cell>
          <cell r="F54">
            <v>0.25</v>
          </cell>
          <cell r="G54">
            <v>0.25</v>
          </cell>
          <cell r="H54">
            <v>0.25</v>
          </cell>
          <cell r="I54">
            <v>0.25</v>
          </cell>
          <cell r="J54">
            <v>0.8</v>
          </cell>
          <cell r="K54">
            <v>0.8</v>
          </cell>
          <cell r="L54">
            <v>0.01</v>
          </cell>
          <cell r="M54">
            <v>0.05</v>
          </cell>
          <cell r="N54">
            <v>0.05</v>
          </cell>
          <cell r="O54">
            <v>0.25</v>
          </cell>
          <cell r="P54">
            <v>0.7</v>
          </cell>
          <cell r="Q54">
            <v>0.05</v>
          </cell>
          <cell r="R54">
            <v>0.8</v>
          </cell>
          <cell r="S54">
            <v>0.25</v>
          </cell>
          <cell r="T54">
            <v>0.8</v>
          </cell>
        </row>
        <row r="55">
          <cell r="B55" t="str">
            <v>VRF-Retro</v>
          </cell>
          <cell r="C55">
            <v>3.7499999999999999E-3</v>
          </cell>
          <cell r="D55">
            <v>0.06</v>
          </cell>
          <cell r="E55">
            <v>0.06</v>
          </cell>
          <cell r="F55">
            <v>1.8749999999999999E-2</v>
          </cell>
          <cell r="G55">
            <v>1.8749999999999999E-2</v>
          </cell>
          <cell r="H55">
            <v>1.8749999999999999E-2</v>
          </cell>
          <cell r="I55">
            <v>1.8749999999999999E-2</v>
          </cell>
          <cell r="J55">
            <v>0.06</v>
          </cell>
          <cell r="K55">
            <v>0.06</v>
          </cell>
          <cell r="L55">
            <v>7.5000000000000002E-4</v>
          </cell>
          <cell r="M55">
            <v>3.7499999999999999E-3</v>
          </cell>
          <cell r="N55">
            <v>3.7499999999999999E-3</v>
          </cell>
          <cell r="O55">
            <v>1.8749999999999999E-2</v>
          </cell>
          <cell r="P55">
            <v>5.2499999999999998E-2</v>
          </cell>
          <cell r="Q55">
            <v>3.7499999999999999E-3</v>
          </cell>
          <cell r="R55">
            <v>0.06</v>
          </cell>
          <cell r="S55">
            <v>1.8749999999999999E-2</v>
          </cell>
          <cell r="T55">
            <v>0.06</v>
          </cell>
        </row>
        <row r="56">
          <cell r="B56" t="str">
            <v>Evaporator Roof Top HVAC-Retro</v>
          </cell>
        </row>
        <row r="57">
          <cell r="B57" t="str">
            <v>Secondary Glazing Systems-Retro</v>
          </cell>
        </row>
        <row r="58">
          <cell r="B58" t="str">
            <v>LPD Package-New</v>
          </cell>
          <cell r="V58" t="str">
            <v>Feas in Lighting Workbook due to multiple measures</v>
          </cell>
        </row>
        <row r="59">
          <cell r="B59" t="str">
            <v>LPD Package-NR</v>
          </cell>
          <cell r="V59" t="str">
            <v>Feas in Lighting Workbook due to multiple measures</v>
          </cell>
        </row>
        <row r="60">
          <cell r="B60" t="str">
            <v>LPD Package-Retro</v>
          </cell>
          <cell r="V60" t="str">
            <v>Feas in Lighting Workbook due to multiple measures</v>
          </cell>
        </row>
        <row r="61">
          <cell r="B61" t="str">
            <v>Top Daylighting-New</v>
          </cell>
        </row>
        <row r="62">
          <cell r="B62" t="str">
            <v>Perimeter Daylighting Controls Advanced-New</v>
          </cell>
        </row>
        <row r="63">
          <cell r="B63" t="str">
            <v>Perimeter Daylighting Controls Advanced-NR</v>
          </cell>
        </row>
        <row r="64">
          <cell r="B64" t="str">
            <v>Lighting Controls Interior-New</v>
          </cell>
        </row>
        <row r="65">
          <cell r="B65" t="str">
            <v>Lighting Controls Interior-NR</v>
          </cell>
        </row>
        <row r="66">
          <cell r="B66" t="str">
            <v>Exterior Building Lighting-New</v>
          </cell>
        </row>
        <row r="67">
          <cell r="B67" t="str">
            <v>Exterior Building Lighting-NR</v>
          </cell>
        </row>
        <row r="68">
          <cell r="B68" t="str">
            <v>Street and Roadway Lighting-New</v>
          </cell>
        </row>
        <row r="69">
          <cell r="B69" t="str">
            <v>Street and Roadway Lighting-NR</v>
          </cell>
        </row>
        <row r="70">
          <cell r="B70" t="str">
            <v>Parking Lighting-New</v>
          </cell>
        </row>
        <row r="71">
          <cell r="B71" t="str">
            <v>Parking Lighting-NR</v>
          </cell>
        </row>
        <row r="72">
          <cell r="B72" t="str">
            <v>Luminaire Level Lighting Controls-Retro</v>
          </cell>
        </row>
        <row r="73">
          <cell r="B73" t="str">
            <v>ECM-VAV-New</v>
          </cell>
        </row>
        <row r="74">
          <cell r="B74" t="str">
            <v>ECM-VAV-NR</v>
          </cell>
        </row>
        <row r="75">
          <cell r="B75" t="str">
            <v>Pool pumps-Retro</v>
          </cell>
        </row>
        <row r="76">
          <cell r="B76" t="str">
            <v>MotorsRewind-New</v>
          </cell>
        </row>
        <row r="77">
          <cell r="B77" t="str">
            <v>MotorsRewind-NR</v>
          </cell>
        </row>
        <row r="78">
          <cell r="B78" t="str">
            <v>Municipal Sewage Treatment-Retro</v>
          </cell>
        </row>
        <row r="79">
          <cell r="B79" t="str">
            <v>Municipal Water Supply-Retro</v>
          </cell>
        </row>
        <row r="80">
          <cell r="B80" t="str">
            <v>Engine Generator Block Heaters-Retro</v>
          </cell>
        </row>
        <row r="81">
          <cell r="B81" t="str">
            <v>Grocery Refrigeration Bundle-Retro</v>
          </cell>
        </row>
        <row r="82">
          <cell r="B82" t="str">
            <v>Packaged Refrigeration Equipment-New</v>
          </cell>
        </row>
        <row r="83">
          <cell r="B83" t="str">
            <v>Appliances - Freezers-NR</v>
          </cell>
        </row>
        <row r="84">
          <cell r="B84" t="str">
            <v>Appliances - Refrigerators-NR</v>
          </cell>
        </row>
        <row r="85">
          <cell r="B85" t="str">
            <v>Water Cooler Controls-Retro</v>
          </cell>
        </row>
        <row r="86">
          <cell r="B86" t="str">
            <v>WHTanks-New</v>
          </cell>
        </row>
        <row r="87">
          <cell r="B87" t="str">
            <v>WHTanks-NR</v>
          </cell>
        </row>
        <row r="88">
          <cell r="B88" t="str">
            <v>Appliances - Clothes Washers-NR</v>
          </cell>
        </row>
        <row r="89">
          <cell r="B89" t="str">
            <v>Showerheads-Retro</v>
          </cell>
        </row>
        <row r="90">
          <cell r="B90" t="str">
            <v>Water Heating - GFHX-New</v>
          </cell>
        </row>
        <row r="91">
          <cell r="B91" t="str">
            <v>Demand Control Circulating system DHW-Retro</v>
          </cell>
        </row>
        <row r="92">
          <cell r="B92" t="str">
            <v>Central HPWH MF-Retro</v>
          </cell>
        </row>
        <row r="93">
          <cell r="B93" t="str">
            <v>Ultra Low Energy Building-New</v>
          </cell>
          <cell r="C93">
            <v>0.95</v>
          </cell>
          <cell r="D93">
            <v>0.19999999999999996</v>
          </cell>
          <cell r="E93">
            <v>0.19999999999999996</v>
          </cell>
          <cell r="F93">
            <v>0.75</v>
          </cell>
          <cell r="G93">
            <v>0.75</v>
          </cell>
          <cell r="H93">
            <v>0.75</v>
          </cell>
          <cell r="I93">
            <v>0.75</v>
          </cell>
          <cell r="J93">
            <v>0.19999999999999996</v>
          </cell>
          <cell r="K93">
            <v>0.19999999999999996</v>
          </cell>
          <cell r="L93">
            <v>0.99</v>
          </cell>
          <cell r="M93">
            <v>0.95</v>
          </cell>
          <cell r="N93">
            <v>0.95</v>
          </cell>
          <cell r="O93">
            <v>0.75</v>
          </cell>
          <cell r="P93">
            <v>0.30000000000000004</v>
          </cell>
          <cell r="Q93">
            <v>0.95</v>
          </cell>
          <cell r="R93">
            <v>0.19999999999999996</v>
          </cell>
          <cell r="S93">
            <v>0.75</v>
          </cell>
          <cell r="T93">
            <v>0.19999999999999996</v>
          </cell>
        </row>
        <row r="94">
          <cell r="B94" t="str">
            <v>HPLowPowerGSFL-NR</v>
          </cell>
        </row>
      </sheetData>
      <sheetData sheetId="9">
        <row r="11">
          <cell r="B11" t="str">
            <v>LO12Med</v>
          </cell>
          <cell r="C11">
            <v>0.10937459468255628</v>
          </cell>
          <cell r="D11">
            <v>0.21874918936511256</v>
          </cell>
          <cell r="E11">
            <v>0.32812378404766884</v>
          </cell>
          <cell r="F11">
            <v>0.43749837873022512</v>
          </cell>
          <cell r="G11">
            <v>0.5468729734127814</v>
          </cell>
          <cell r="H11">
            <v>0.64531010862708205</v>
          </cell>
          <cell r="I11">
            <v>0.7240598167985226</v>
          </cell>
          <cell r="J11">
            <v>0.78705958333567505</v>
          </cell>
          <cell r="K11">
            <v>0.83745939656539703</v>
          </cell>
          <cell r="L11">
            <v>0.87777924714917455</v>
          </cell>
          <cell r="M11">
            <v>0.91003512761619654</v>
          </cell>
          <cell r="N11">
            <v>0.93583983198981413</v>
          </cell>
          <cell r="O11">
            <v>0.9564835954887082</v>
          </cell>
          <cell r="P11">
            <v>0.97299860628782353</v>
          </cell>
          <cell r="Q11">
            <v>0.9862106149271157</v>
          </cell>
          <cell r="R11">
            <v>0.99678022183854953</v>
          </cell>
          <cell r="S11">
            <v>0.99685231466234414</v>
          </cell>
          <cell r="T11">
            <v>0.99687806209941365</v>
          </cell>
          <cell r="U11">
            <v>0.99688683963477831</v>
          </cell>
        </row>
        <row r="12">
          <cell r="B12" t="str">
            <v>LO5Med</v>
          </cell>
          <cell r="C12">
            <v>4.2999999999999997E-2</v>
          </cell>
          <cell r="D12">
            <v>9.5797142280278316E-2</v>
          </cell>
          <cell r="E12">
            <v>0.16040539374775648</v>
          </cell>
          <cell r="F12">
            <v>0.23540539374775649</v>
          </cell>
          <cell r="G12">
            <v>0.32095239121809005</v>
          </cell>
          <cell r="H12">
            <v>0.42096711425629652</v>
          </cell>
          <cell r="I12">
            <v>0.53068481860864725</v>
          </cell>
          <cell r="J12">
            <v>0.642769203728351</v>
          </cell>
          <cell r="K12">
            <v>0.74839528535557953</v>
          </cell>
          <cell r="L12">
            <v>0.83918984935345187</v>
          </cell>
          <cell r="M12">
            <v>0.90945051634530116</v>
          </cell>
          <cell r="N12">
            <v>0.9576688767502457</v>
          </cell>
          <cell r="O12">
            <v>0.9865231113648858</v>
          </cell>
          <cell r="P12">
            <v>1.0012970762896924</v>
          </cell>
          <cell r="Q12">
            <v>1.0076356106578106</v>
          </cell>
          <cell r="R12">
            <v>1.0098624683774413</v>
          </cell>
          <cell r="S12">
            <v>1.0104871783970797</v>
          </cell>
          <cell r="T12">
            <v>1.010623336815976</v>
          </cell>
          <cell r="U12">
            <v>1.0106457174525985</v>
          </cell>
          <cell r="V12">
            <v>1.0106484038909742</v>
          </cell>
        </row>
        <row r="13">
          <cell r="B13" t="str">
            <v>LO1Slow</v>
          </cell>
          <cell r="C13">
            <v>2.5643970768378654E-3</v>
          </cell>
          <cell r="D13">
            <v>7.6904586297764643E-3</v>
          </cell>
          <cell r="E13">
            <v>1.6792013047419844E-2</v>
          </cell>
          <cell r="F13">
            <v>3.15969387774655E-2</v>
          </cell>
          <cell r="G13">
            <v>5.406874819795171E-2</v>
          </cell>
          <cell r="H13">
            <v>8.6253181011834101E-2</v>
          </cell>
          <cell r="I13">
            <v>0.1300328481838382</v>
          </cell>
          <cell r="J13">
            <v>0.18678710893858319</v>
          </cell>
          <cell r="K13">
            <v>0.2569823480072907</v>
          </cell>
          <cell r="L13">
            <v>0.33975920985004748</v>
          </cell>
          <cell r="M13">
            <v>0.43262946935754232</v>
          </cell>
          <cell r="N13">
            <v>0.53142594003645804</v>
          </cell>
          <cell r="O13">
            <v>0.63063487292644704</v>
          </cell>
          <cell r="P13">
            <v>0.7241560234206913</v>
          </cell>
          <cell r="Q13">
            <v>0.80638203131755359</v>
          </cell>
          <cell r="R13">
            <v>0.87331559734491926</v>
          </cell>
          <cell r="S13">
            <v>0.92334516248836807</v>
          </cell>
          <cell r="T13">
            <v>0.95737002770730018</v>
          </cell>
          <cell r="U13">
            <v>0.97821608704807483</v>
          </cell>
          <cell r="V13">
            <v>0.98821608704807484</v>
          </cell>
        </row>
        <row r="14">
          <cell r="B14" t="str">
            <v>LO50Fast</v>
          </cell>
          <cell r="C14">
            <v>0.45</v>
          </cell>
          <cell r="D14">
            <v>0.66</v>
          </cell>
          <cell r="E14">
            <v>0.8</v>
          </cell>
          <cell r="F14">
            <v>0.89</v>
          </cell>
          <cell r="G14">
            <v>0.94954036260972652</v>
          </cell>
          <cell r="H14">
            <v>0.97931054391458994</v>
          </cell>
          <cell r="I14">
            <v>0.99254173560564019</v>
          </cell>
          <cell r="J14">
            <v>0.99783421228206048</v>
          </cell>
          <cell r="K14">
            <v>0.99975874925530417</v>
          </cell>
          <cell r="L14">
            <v>1.0004002615797187</v>
          </cell>
          <cell r="M14">
            <v>1.0005976499872309</v>
          </cell>
          <cell r="N14">
            <v>1.0006540466750915</v>
          </cell>
          <cell r="O14">
            <v>1.0006690857918545</v>
          </cell>
          <cell r="P14">
            <v>1.000672845571045</v>
          </cell>
          <cell r="Q14">
            <v>1.0006737302249724</v>
          </cell>
          <cell r="R14">
            <v>1.0006739268147338</v>
          </cell>
          <cell r="S14">
            <v>1.0006739682020522</v>
          </cell>
          <cell r="T14">
            <v>1.0006739764795158</v>
          </cell>
          <cell r="U14">
            <v>1.0006739780561755</v>
          </cell>
          <cell r="V14">
            <v>1.0006739783428409</v>
          </cell>
        </row>
        <row r="15">
          <cell r="B15" t="str">
            <v>LO20Fast</v>
          </cell>
          <cell r="C15">
            <v>0.22119921692859512</v>
          </cell>
          <cell r="D15">
            <v>0.37624232795148943</v>
          </cell>
          <cell r="E15">
            <v>0.48357361352878442</v>
          </cell>
          <cell r="F15">
            <v>0.56716330278444227</v>
          </cell>
          <cell r="G15">
            <v>0.64040048266456928</v>
          </cell>
          <cell r="H15">
            <v>0.70377511937632964</v>
          </cell>
          <cell r="I15">
            <v>0.7580669577441127</v>
          </cell>
          <cell r="J15">
            <v>0.80419335000071168</v>
          </cell>
          <cell r="K15">
            <v>0.84311022627788457</v>
          </cell>
          <cell r="L15">
            <v>0.87575014259103623</v>
          </cell>
          <cell r="M15">
            <v>0.90298584871682319</v>
          </cell>
          <cell r="N15">
            <v>0.92419703797508856</v>
          </cell>
          <cell r="O15">
            <v>0.94071632877930145</v>
          </cell>
          <cell r="P15">
            <v>0.95358156539340677</v>
          </cell>
          <cell r="Q15">
            <v>0.96360102174287088</v>
          </cell>
          <cell r="R15">
            <v>0.97140418219378311</v>
          </cell>
          <cell r="S15">
            <v>0.97748128966338554</v>
          </cell>
          <cell r="T15">
            <v>0.98221414571952104</v>
          </cell>
          <cell r="U15">
            <v>0.98590009772220355</v>
          </cell>
          <cell r="V15">
            <v>0.98877072002825628</v>
          </cell>
        </row>
        <row r="16">
          <cell r="B16" t="str">
            <v>LOEven20</v>
          </cell>
          <cell r="C16">
            <v>0.05</v>
          </cell>
          <cell r="D16">
            <v>0.1</v>
          </cell>
          <cell r="E16">
            <v>0.15000000000000002</v>
          </cell>
          <cell r="F16">
            <v>0.2</v>
          </cell>
          <cell r="G16">
            <v>0.25</v>
          </cell>
          <cell r="H16">
            <v>0.3</v>
          </cell>
          <cell r="I16">
            <v>0.35</v>
          </cell>
          <cell r="J16">
            <v>0.39999999999999997</v>
          </cell>
          <cell r="K16">
            <v>0.44999999999999996</v>
          </cell>
          <cell r="L16">
            <v>0.49999999999999994</v>
          </cell>
          <cell r="M16">
            <v>0.54999999999999993</v>
          </cell>
          <cell r="N16">
            <v>0.6</v>
          </cell>
          <cell r="O16">
            <v>0.65</v>
          </cell>
          <cell r="P16">
            <v>0.70000000000000007</v>
          </cell>
          <cell r="Q16">
            <v>0.75000000000000011</v>
          </cell>
          <cell r="R16">
            <v>0.80000000000000016</v>
          </cell>
          <cell r="S16">
            <v>0.8500000000000002</v>
          </cell>
          <cell r="T16">
            <v>0.90000000000000024</v>
          </cell>
          <cell r="U16">
            <v>0.95000000000000029</v>
          </cell>
          <cell r="V16">
            <v>1.0000000000000002</v>
          </cell>
        </row>
        <row r="17">
          <cell r="B17" t="str">
            <v>LOMax60</v>
          </cell>
          <cell r="C17">
            <v>0.01</v>
          </cell>
          <cell r="D17">
            <v>2.98E-2</v>
          </cell>
          <cell r="E17">
            <v>5.8906E-2</v>
          </cell>
          <cell r="F17">
            <v>9.6549759999999998E-2</v>
          </cell>
          <cell r="G17">
            <v>0.14172227199999998</v>
          </cell>
          <cell r="H17">
            <v>0.19035800991999999</v>
          </cell>
          <cell r="I17">
            <v>0.2362377226912</v>
          </cell>
          <cell r="J17">
            <v>0.279517585072032</v>
          </cell>
          <cell r="K17">
            <v>0.32034492191795017</v>
          </cell>
          <cell r="L17">
            <v>0.35885870967593297</v>
          </cell>
          <cell r="M17">
            <v>0.39519004946096342</v>
          </cell>
          <cell r="N17">
            <v>0.42946261332484215</v>
          </cell>
          <cell r="O17">
            <v>0.46179306523643443</v>
          </cell>
          <cell r="P17">
            <v>0.49229145820636983</v>
          </cell>
          <cell r="Q17">
            <v>0.5210616089080089</v>
          </cell>
          <cell r="R17">
            <v>0.54820145106988838</v>
          </cell>
          <cell r="S17">
            <v>0.57380336884259475</v>
          </cell>
          <cell r="T17">
            <v>0.59795451127484767</v>
          </cell>
          <cell r="U17">
            <v>0.62073708896927293</v>
          </cell>
          <cell r="V17">
            <v>0.6422286539276808</v>
          </cell>
        </row>
        <row r="18">
          <cell r="B18" t="str">
            <v>LO3Slow</v>
          </cell>
          <cell r="C18">
            <v>5.5320496977002724E-3</v>
          </cell>
          <cell r="D18">
            <v>1.4227918344261844E-2</v>
          </cell>
          <cell r="E18">
            <v>3.1619655637384989E-2</v>
          </cell>
          <cell r="F18">
            <v>6.2055195900350503E-2</v>
          </cell>
          <cell r="G18">
            <v>0.10939936964274129</v>
          </cell>
          <cell r="H18">
            <v>0.17568121288208835</v>
          </cell>
          <cell r="I18">
            <v>0.26003992245943919</v>
          </cell>
          <cell r="J18">
            <v>0.3584584169663485</v>
          </cell>
          <cell r="K18">
            <v>0.46444756489686617</v>
          </cell>
          <cell r="L18">
            <v>0.57043671282738384</v>
          </cell>
          <cell r="M18">
            <v>0.66935991756253377</v>
          </cell>
          <cell r="N18">
            <v>0.75591772170578986</v>
          </cell>
          <cell r="O18">
            <v>0.82720061923553012</v>
          </cell>
          <cell r="P18">
            <v>0.88264287286977261</v>
          </cell>
          <cell r="Q18">
            <v>0.92349505975816193</v>
          </cell>
          <cell r="R18">
            <v>0.95209159058003434</v>
          </cell>
          <cell r="S18">
            <v>0.97115594446128262</v>
          </cell>
          <cell r="T18">
            <v>0.98328780602207699</v>
          </cell>
          <cell r="U18">
            <v>0.99067241740690848</v>
          </cell>
          <cell r="V18">
            <v>0.99498010738139331</v>
          </cell>
        </row>
      </sheetData>
      <sheetData sheetId="10">
        <row r="11">
          <cell r="B11" t="str">
            <v>Compressed Air-NR</v>
          </cell>
          <cell r="C11" t="str">
            <v>LPD baseline to minimum of code or 1995-2001 practice.</v>
          </cell>
        </row>
        <row r="12">
          <cell r="B12" t="str">
            <v>Network PC Power Management-Retro</v>
          </cell>
          <cell r="C12" t="str">
            <v>LPD baseline to minimum of code or 1995-2001 practice</v>
          </cell>
          <cell r="F12" t="str">
            <v>OR FloorA%REG</v>
          </cell>
          <cell r="G12">
            <v>0.22</v>
          </cell>
          <cell r="H12">
            <v>0.22</v>
          </cell>
          <cell r="I12">
            <v>0.22</v>
          </cell>
          <cell r="J12">
            <v>0.33</v>
          </cell>
          <cell r="K12">
            <v>0.33</v>
          </cell>
          <cell r="L12">
            <v>0.33</v>
          </cell>
          <cell r="M12">
            <v>0.33</v>
          </cell>
          <cell r="N12">
            <v>0.15</v>
          </cell>
          <cell r="O12">
            <v>0.15</v>
          </cell>
          <cell r="P12">
            <v>0.42</v>
          </cell>
          <cell r="Q12">
            <v>0.17</v>
          </cell>
          <cell r="R12">
            <v>0.17</v>
          </cell>
          <cell r="S12">
            <v>0.35</v>
          </cell>
          <cell r="T12">
            <v>0.38</v>
          </cell>
          <cell r="U12">
            <v>0.25</v>
          </cell>
          <cell r="V12">
            <v>0.24</v>
          </cell>
          <cell r="W12">
            <v>0.24</v>
          </cell>
          <cell r="X12">
            <v>0.21</v>
          </cell>
        </row>
        <row r="13">
          <cell r="B13" t="str">
            <v>Computer Servers and IT-Retro</v>
          </cell>
          <cell r="C13" t="str">
            <v>Assume code ballasts in baseline retrofit</v>
          </cell>
          <cell r="F13" t="str">
            <v>Frac Floor w &gt;30% ww ratio</v>
          </cell>
          <cell r="G13">
            <v>0.5</v>
          </cell>
          <cell r="H13">
            <v>0.5</v>
          </cell>
          <cell r="I13">
            <v>0.5</v>
          </cell>
          <cell r="J13">
            <v>0</v>
          </cell>
          <cell r="K13">
            <v>0</v>
          </cell>
          <cell r="L13">
            <v>0.5</v>
          </cell>
          <cell r="M13">
            <v>0</v>
          </cell>
          <cell r="N13">
            <v>0.4</v>
          </cell>
          <cell r="O13">
            <v>0.4</v>
          </cell>
          <cell r="P13">
            <v>0</v>
          </cell>
          <cell r="Q13">
            <v>0.05</v>
          </cell>
          <cell r="R13">
            <v>0</v>
          </cell>
          <cell r="S13">
            <v>0.5</v>
          </cell>
          <cell r="T13">
            <v>0.5</v>
          </cell>
          <cell r="U13">
            <v>0.5</v>
          </cell>
          <cell r="V13">
            <v>0.5</v>
          </cell>
          <cell r="W13">
            <v>0.5</v>
          </cell>
          <cell r="X13">
            <v>0.2</v>
          </cell>
        </row>
        <row r="14">
          <cell r="B14" t="str">
            <v>Smart Plug Power Strips-Retro</v>
          </cell>
          <cell r="F14" t="str">
            <v>OR FloorA Exceed Code</v>
          </cell>
          <cell r="G14">
            <v>0.11</v>
          </cell>
          <cell r="H14">
            <v>0.11</v>
          </cell>
          <cell r="I14">
            <v>0.11</v>
          </cell>
          <cell r="J14">
            <v>0.33</v>
          </cell>
          <cell r="K14">
            <v>0.33</v>
          </cell>
          <cell r="L14">
            <v>0.16500000000000001</v>
          </cell>
          <cell r="M14">
            <v>0.33</v>
          </cell>
          <cell r="N14">
            <v>0.09</v>
          </cell>
          <cell r="O14">
            <v>0.09</v>
          </cell>
          <cell r="P14">
            <v>0.42</v>
          </cell>
          <cell r="Q14">
            <v>0.1615</v>
          </cell>
          <cell r="R14">
            <v>0.17</v>
          </cell>
          <cell r="S14">
            <v>0.17499999999999999</v>
          </cell>
          <cell r="T14">
            <v>0.19</v>
          </cell>
          <cell r="U14">
            <v>0.125</v>
          </cell>
          <cell r="V14">
            <v>0.12</v>
          </cell>
          <cell r="W14">
            <v>0.12</v>
          </cell>
          <cell r="X14">
            <v>0.16800000000000001</v>
          </cell>
        </row>
        <row r="15">
          <cell r="B15" t="e">
            <v>#REF!</v>
          </cell>
          <cell r="C15" t="str">
            <v>Account for smoke hatch in baseline</v>
          </cell>
        </row>
        <row r="16">
          <cell r="B16" t="e">
            <v>#REF!</v>
          </cell>
          <cell r="F16" t="str">
            <v>WA FloorA%REG</v>
          </cell>
          <cell r="G16">
            <v>0.72</v>
          </cell>
          <cell r="H16">
            <v>0.72</v>
          </cell>
          <cell r="I16">
            <v>0.72</v>
          </cell>
          <cell r="J16">
            <v>0.61</v>
          </cell>
          <cell r="K16">
            <v>0.61</v>
          </cell>
          <cell r="L16">
            <v>0.61</v>
          </cell>
          <cell r="M16">
            <v>0.61</v>
          </cell>
          <cell r="N16">
            <v>0.68</v>
          </cell>
          <cell r="O16">
            <v>0.68</v>
          </cell>
          <cell r="P16">
            <v>0.49</v>
          </cell>
          <cell r="Q16">
            <v>0.62</v>
          </cell>
          <cell r="R16">
            <v>0.62</v>
          </cell>
          <cell r="S16">
            <v>0.56000000000000005</v>
          </cell>
          <cell r="T16">
            <v>0.49</v>
          </cell>
          <cell r="U16">
            <v>0.56000000000000005</v>
          </cell>
          <cell r="V16">
            <v>0.59</v>
          </cell>
          <cell r="W16">
            <v>0.6</v>
          </cell>
          <cell r="X16">
            <v>0.67</v>
          </cell>
        </row>
        <row r="17">
          <cell r="B17" t="str">
            <v>Data Centers-NR</v>
          </cell>
          <cell r="C17" t="str">
            <v>Only fraction beyond switching in code baseline OR</v>
          </cell>
          <cell r="F17" t="str">
            <v>Fraction with ElecHt</v>
          </cell>
          <cell r="G17">
            <v>9.379008321141083E-2</v>
          </cell>
          <cell r="H17">
            <v>5.7141018201974592E-2</v>
          </cell>
          <cell r="I17">
            <v>6.3540893141458221E-2</v>
          </cell>
          <cell r="J17">
            <v>0.52114684573848291</v>
          </cell>
          <cell r="K17">
            <v>0.64094486042254439</v>
          </cell>
          <cell r="L17">
            <v>0.56159710090996928</v>
          </cell>
          <cell r="M17">
            <v>0.19952525247533903</v>
          </cell>
          <cell r="N17">
            <v>0.22286467137317267</v>
          </cell>
          <cell r="O17">
            <v>0.15885643507420852</v>
          </cell>
          <cell r="P17">
            <v>0.52114684573848291</v>
          </cell>
          <cell r="Q17">
            <v>1.5377816133020691E-2</v>
          </cell>
          <cell r="R17">
            <v>0</v>
          </cell>
          <cell r="S17">
            <v>5.5212362541074519E-2</v>
          </cell>
          <cell r="T17">
            <v>0.34342063041492848</v>
          </cell>
          <cell r="U17">
            <v>0.10311447532768504</v>
          </cell>
          <cell r="V17">
            <v>5.6083613809662864E-3</v>
          </cell>
          <cell r="W17">
            <v>5.6083613809662864E-3</v>
          </cell>
          <cell r="X17">
            <v>0.24031041917780901</v>
          </cell>
        </row>
        <row r="18">
          <cell r="B18" t="str">
            <v>Commercial Computer Monitor-NR</v>
          </cell>
          <cell r="C18" t="str">
            <v>Only fraction beyond switching in code baseline OR</v>
          </cell>
          <cell r="F18" t="str">
            <v>Frac Meet Elec Ht Code</v>
          </cell>
          <cell r="G18">
            <v>0.5</v>
          </cell>
          <cell r="H18">
            <v>0.5</v>
          </cell>
          <cell r="I18">
            <v>0.5</v>
          </cell>
          <cell r="J18">
            <v>0.9</v>
          </cell>
          <cell r="K18">
            <v>0.9</v>
          </cell>
          <cell r="L18">
            <v>0.9</v>
          </cell>
          <cell r="M18">
            <v>0.5</v>
          </cell>
          <cell r="N18">
            <v>0.5</v>
          </cell>
          <cell r="O18">
            <v>0.5</v>
          </cell>
          <cell r="P18">
            <v>0.9</v>
          </cell>
          <cell r="Q18">
            <v>0.9</v>
          </cell>
          <cell r="R18">
            <v>0.9</v>
          </cell>
          <cell r="S18">
            <v>0.9</v>
          </cell>
          <cell r="T18">
            <v>0.9</v>
          </cell>
          <cell r="U18">
            <v>0.5</v>
          </cell>
          <cell r="V18">
            <v>0.5</v>
          </cell>
          <cell r="W18">
            <v>0.5</v>
          </cell>
          <cell r="X18">
            <v>0.9</v>
          </cell>
        </row>
        <row r="19">
          <cell r="B19" t="e">
            <v>#REF!</v>
          </cell>
          <cell r="F19" t="str">
            <v>WA Floor A Exceed Code</v>
          </cell>
          <cell r="G19">
            <v>3.37644299561079E-2</v>
          </cell>
          <cell r="H19">
            <v>2.0570766552710854E-2</v>
          </cell>
          <cell r="I19">
            <v>2.2874721530924957E-2</v>
          </cell>
          <cell r="J19">
            <v>3.1789957590047449E-2</v>
          </cell>
          <cell r="K19">
            <v>3.9097636485775196E-2</v>
          </cell>
          <cell r="L19">
            <v>3.4257423155508122E-2</v>
          </cell>
          <cell r="M19">
            <v>6.0855202004978404E-2</v>
          </cell>
          <cell r="N19">
            <v>7.5773988266878714E-2</v>
          </cell>
          <cell r="O19">
            <v>5.4011187925230901E-2</v>
          </cell>
          <cell r="P19">
            <v>2.5536195441185655E-2</v>
          </cell>
          <cell r="Q19">
            <v>9.5342460024728268E-4</v>
          </cell>
          <cell r="R19">
            <v>0</v>
          </cell>
          <cell r="S19">
            <v>3.0918923023001725E-3</v>
          </cell>
          <cell r="T19">
            <v>1.6827610890331492E-2</v>
          </cell>
          <cell r="U19">
            <v>2.8872053091751816E-2</v>
          </cell>
          <cell r="V19">
            <v>1.6544666073850544E-3</v>
          </cell>
          <cell r="W19">
            <v>1.6825084142898859E-3</v>
          </cell>
          <cell r="X19">
            <v>1.6100798084913201E-2</v>
          </cell>
        </row>
        <row r="20">
          <cell r="B20" t="str">
            <v>Commercial Computer Desktop-NR</v>
          </cell>
        </row>
        <row r="21">
          <cell r="B21" t="str">
            <v>Pre-Rinse Spray Valve-Retro</v>
          </cell>
          <cell r="F21" t="str">
            <v>Region Wide Frac Exceed Target</v>
          </cell>
          <cell r="G21">
            <v>0.05</v>
          </cell>
          <cell r="H21">
            <v>0.05</v>
          </cell>
          <cell r="I21">
            <v>0.05</v>
          </cell>
          <cell r="J21">
            <v>0.05</v>
          </cell>
          <cell r="K21">
            <v>0.05</v>
          </cell>
          <cell r="L21">
            <v>0.05</v>
          </cell>
          <cell r="M21">
            <v>0.05</v>
          </cell>
          <cell r="N21">
            <v>0.05</v>
          </cell>
          <cell r="O21">
            <v>0.05</v>
          </cell>
          <cell r="P21">
            <v>0.05</v>
          </cell>
          <cell r="Q21">
            <v>0.05</v>
          </cell>
          <cell r="R21">
            <v>0.05</v>
          </cell>
          <cell r="S21">
            <v>0.05</v>
          </cell>
          <cell r="T21">
            <v>0.05</v>
          </cell>
          <cell r="U21">
            <v>0.05</v>
          </cell>
          <cell r="V21">
            <v>0.05</v>
          </cell>
          <cell r="W21">
            <v>0.05</v>
          </cell>
          <cell r="X21">
            <v>0.05</v>
          </cell>
        </row>
        <row r="22">
          <cell r="B22" t="e">
            <v>#REF!</v>
          </cell>
        </row>
        <row r="23">
          <cell r="B23" t="str">
            <v>Cooking Equipment-NR</v>
          </cell>
          <cell r="C23" t="str">
            <v>Not applicable in Seattle due to code requirement</v>
          </cell>
        </row>
        <row r="24">
          <cell r="B24" t="str">
            <v>Premium HVAC Equipment-New</v>
          </cell>
          <cell r="C24" t="str">
            <v>Not applicable in Seattle due to code requirement</v>
          </cell>
          <cell r="F24" t="str">
            <v>Baseline Exceed Code New</v>
          </cell>
          <cell r="G24">
            <v>0.19376442995610788</v>
          </cell>
          <cell r="H24">
            <v>0.18057076655271087</v>
          </cell>
          <cell r="I24">
            <v>0.18287472153092493</v>
          </cell>
          <cell r="J24">
            <v>0.41178995759004744</v>
          </cell>
          <cell r="K24">
            <v>0.41909763648577519</v>
          </cell>
          <cell r="L24">
            <v>0.24925742315550814</v>
          </cell>
          <cell r="M24">
            <v>0.44085520200497841</v>
          </cell>
          <cell r="N24">
            <v>0.21577398826687871</v>
          </cell>
          <cell r="O24">
            <v>0.19401118792523092</v>
          </cell>
          <cell r="P24">
            <v>0.4955361954411856</v>
          </cell>
          <cell r="Q24">
            <v>0.2124534246002473</v>
          </cell>
          <cell r="R24">
            <v>0.22000000000000003</v>
          </cell>
          <cell r="S24">
            <v>0.22809189230230015</v>
          </cell>
          <cell r="T24">
            <v>0.25682761089033151</v>
          </cell>
          <cell r="U24">
            <v>0.20387205309175183</v>
          </cell>
          <cell r="V24">
            <v>0.17165446660738504</v>
          </cell>
          <cell r="W24">
            <v>0.17168250841428989</v>
          </cell>
          <cell r="X24">
            <v>0.23410079808491319</v>
          </cell>
        </row>
        <row r="25">
          <cell r="B25" t="e">
            <v>#REF!</v>
          </cell>
        </row>
        <row r="26">
          <cell r="B26" t="str">
            <v>Premium HVAC Equipment-NR</v>
          </cell>
          <cell r="C26" t="str">
            <v>Baseline adjusted to reflect codes</v>
          </cell>
          <cell r="F26" t="str">
            <v>Fract Excced Target CBSA New 2002-2004</v>
          </cell>
          <cell r="G26">
            <v>0.45</v>
          </cell>
          <cell r="H26">
            <v>0.45</v>
          </cell>
          <cell r="I26">
            <v>0.45</v>
          </cell>
          <cell r="J26">
            <v>0.2</v>
          </cell>
          <cell r="K26">
            <v>0.2</v>
          </cell>
          <cell r="L26">
            <v>0.2</v>
          </cell>
          <cell r="M26">
            <v>0.2</v>
          </cell>
          <cell r="N26">
            <v>0.45</v>
          </cell>
          <cell r="O26">
            <v>0.9</v>
          </cell>
          <cell r="P26">
            <v>0.2</v>
          </cell>
          <cell r="Q26">
            <v>0.1</v>
          </cell>
          <cell r="R26">
            <v>0.1</v>
          </cell>
          <cell r="S26">
            <v>0.25</v>
          </cell>
          <cell r="T26">
            <v>0.5</v>
          </cell>
          <cell r="U26">
            <v>0.75</v>
          </cell>
          <cell r="V26">
            <v>0.25</v>
          </cell>
          <cell r="W26">
            <v>0.2</v>
          </cell>
          <cell r="X26">
            <v>0.3</v>
          </cell>
        </row>
        <row r="27">
          <cell r="B27" t="str">
            <v>Glass-New</v>
          </cell>
          <cell r="C27" t="str">
            <v>Baseline adjusted to reflect codes</v>
          </cell>
        </row>
        <row r="28">
          <cell r="B28" t="e">
            <v>#REF!</v>
          </cell>
        </row>
        <row r="29">
          <cell r="B29" t="str">
            <v>Glass-NR</v>
          </cell>
          <cell r="C29" t="str">
            <v>Baseline adjusted to reflect codes.  Measure baseline excludes 50% of WA=ElecHt, OR&gt;30%glass.</v>
          </cell>
        </row>
        <row r="30">
          <cell r="B30" t="str">
            <v>Glass-Retro</v>
          </cell>
          <cell r="C30" t="str">
            <v>Baseline adjusted to reflect codes</v>
          </cell>
        </row>
        <row r="31">
          <cell r="B31" t="str">
            <v>Advanced Rooftop Controller-New</v>
          </cell>
          <cell r="C31" t="str">
            <v>Single Glazed Fraction from CBSA</v>
          </cell>
        </row>
        <row r="32">
          <cell r="B32" t="str">
            <v>Advanced Rooftop Controller-NR</v>
          </cell>
        </row>
        <row r="33">
          <cell r="B33" t="str">
            <v>Advanced Rooftop Controller-Retro</v>
          </cell>
        </row>
        <row r="34">
          <cell r="B34" t="str">
            <v>Variable Speed Chiller-New</v>
          </cell>
          <cell r="C34" t="str">
            <v>Assumes marginally-effective economizer in baseline</v>
          </cell>
        </row>
        <row r="35">
          <cell r="B35" t="str">
            <v>Variable Speed Chiller-NR</v>
          </cell>
          <cell r="C35" t="str">
            <v>Baseline assumes historic mix of chiller types and modular chiller control</v>
          </cell>
        </row>
        <row r="36">
          <cell r="B36" t="str">
            <v>Commercial EM-New</v>
          </cell>
          <cell r="C36" t="str">
            <v>Baseline assumes historic mix of chiller types and modular chiller control</v>
          </cell>
        </row>
        <row r="37">
          <cell r="B37" t="e">
            <v>#REF!</v>
          </cell>
          <cell r="C37" t="str">
            <v>Baseline at code and modular deployment</v>
          </cell>
        </row>
        <row r="38">
          <cell r="B38" t="str">
            <v>Commercial EM-NR</v>
          </cell>
          <cell r="C38" t="str">
            <v>Baseline assume partial penetration of measure</v>
          </cell>
        </row>
        <row r="39">
          <cell r="B39" t="str">
            <v>Commercial EM-Retro</v>
          </cell>
        </row>
        <row r="40">
          <cell r="B40" t="str">
            <v>Evaporative Assist Cooling-New</v>
          </cell>
        </row>
        <row r="41">
          <cell r="B41" t="str">
            <v>Evaporative Assist Cooling-NR</v>
          </cell>
          <cell r="C41" t="str">
            <v>Assumes marginally-effective economizer in baseline</v>
          </cell>
        </row>
        <row r="42">
          <cell r="B42" t="str">
            <v>Low Pressure Distribution Complex HVAC-New</v>
          </cell>
          <cell r="C42" t="str">
            <v>Assumes marginally-effective economizer in baseline</v>
          </cell>
        </row>
        <row r="43">
          <cell r="B43" t="e">
            <v>#REF!</v>
          </cell>
        </row>
        <row r="44">
          <cell r="B44" t="str">
            <v>Demand Control Ventilation-New</v>
          </cell>
          <cell r="C44" t="str">
            <v>Measure not in any code baseline</v>
          </cell>
        </row>
        <row r="45">
          <cell r="B45" t="e">
            <v>#REF!</v>
          </cell>
          <cell r="C45" t="str">
            <v>Measure not in any code baseline</v>
          </cell>
        </row>
        <row r="46">
          <cell r="B46" t="e">
            <v>#REF!</v>
          </cell>
        </row>
        <row r="47">
          <cell r="B47" t="str">
            <v>Demand Control Ventilation-NR</v>
          </cell>
          <cell r="C47" t="str">
            <v>Measure dropped due to code</v>
          </cell>
        </row>
        <row r="48">
          <cell r="B48" t="str">
            <v>Demand Control Ventilation-Retro</v>
          </cell>
          <cell r="C48" t="str">
            <v>Measure dropped due to code</v>
          </cell>
        </row>
        <row r="49">
          <cell r="B49" t="str">
            <v>Premium Fume Hood-NR</v>
          </cell>
        </row>
        <row r="50">
          <cell r="B50" t="e">
            <v>#REF!</v>
          </cell>
        </row>
        <row r="51">
          <cell r="B51" t="e">
            <v>#REF!</v>
          </cell>
        </row>
        <row r="52">
          <cell r="B52" t="e">
            <v>#REF!</v>
          </cell>
        </row>
        <row r="53">
          <cell r="B53" t="e">
            <v>#REF!</v>
          </cell>
        </row>
        <row r="54">
          <cell r="B54" t="e">
            <v>#REF!</v>
          </cell>
        </row>
        <row r="55">
          <cell r="B55" t="e">
            <v>#REF!</v>
          </cell>
        </row>
        <row r="56">
          <cell r="B56" t="e">
            <v>#REF!</v>
          </cell>
        </row>
        <row r="57">
          <cell r="B57" t="e">
            <v>#REF!</v>
          </cell>
        </row>
        <row r="58">
          <cell r="B58" t="e">
            <v>#REF!</v>
          </cell>
        </row>
        <row r="59">
          <cell r="B59" t="e">
            <v>#REF!</v>
          </cell>
        </row>
        <row r="60">
          <cell r="B60" t="e">
            <v>#REF!</v>
          </cell>
        </row>
        <row r="61">
          <cell r="B61" t="str">
            <v>DCV Restaurant Hood-Retro</v>
          </cell>
        </row>
        <row r="62">
          <cell r="B62" t="e">
            <v>#REF!</v>
          </cell>
        </row>
        <row r="63">
          <cell r="B63" t="e">
            <v>#REF!</v>
          </cell>
        </row>
        <row r="64">
          <cell r="B64" t="e">
            <v>#REF!</v>
          </cell>
        </row>
        <row r="65">
          <cell r="B65" t="e">
            <v>#REF!</v>
          </cell>
        </row>
        <row r="66">
          <cell r="B66" t="e">
            <v>#REF!</v>
          </cell>
        </row>
        <row r="67">
          <cell r="B67" t="e">
            <v>#REF!</v>
          </cell>
        </row>
        <row r="68">
          <cell r="B68" t="e">
            <v>#REF!</v>
          </cell>
        </row>
        <row r="69">
          <cell r="B69" t="e">
            <v>#REF!</v>
          </cell>
        </row>
        <row r="70">
          <cell r="B70" t="e">
            <v>#REF!</v>
          </cell>
        </row>
        <row r="71">
          <cell r="B71" t="e">
            <v>#REF!</v>
          </cell>
        </row>
        <row r="72">
          <cell r="B72" t="str">
            <v>DCV Parking Garage-Retro</v>
          </cell>
        </row>
        <row r="73">
          <cell r="B73" t="str">
            <v>Weatherization - School-Retro</v>
          </cell>
        </row>
        <row r="74">
          <cell r="B74" t="e">
            <v>#REF!</v>
          </cell>
        </row>
        <row r="75">
          <cell r="B75" t="str">
            <v>Commercial Computer Laptop-NR</v>
          </cell>
        </row>
        <row r="76">
          <cell r="B76" t="str">
            <v>AC Heat Recovery for Water Heating-NR</v>
          </cell>
        </row>
        <row r="77">
          <cell r="B77" t="str">
            <v>Room Occupancy Sensors in Lodging-Retro</v>
          </cell>
        </row>
        <row r="78">
          <cell r="B78" t="str">
            <v>Chiller - chilled water retrofit-Retro</v>
          </cell>
        </row>
        <row r="79">
          <cell r="B79" t="str">
            <v>Office Equipment</v>
          </cell>
          <cell r="C79" t="str">
            <v>New</v>
          </cell>
        </row>
        <row r="80">
          <cell r="B80" t="str">
            <v>Computer Servers and IT</v>
          </cell>
          <cell r="C80" t="str">
            <v>New</v>
          </cell>
        </row>
        <row r="81">
          <cell r="B81" t="e">
            <v>#REF!</v>
          </cell>
        </row>
        <row r="82">
          <cell r="B82" t="str">
            <v>Pool Blankets-Retro</v>
          </cell>
        </row>
        <row r="83">
          <cell r="B83" t="e">
            <v>#REF!</v>
          </cell>
        </row>
        <row r="84">
          <cell r="B84" t="e">
            <v>#REF!</v>
          </cell>
        </row>
        <row r="85">
          <cell r="B85" t="str">
            <v>Web-Enabled Thermostats-Retro</v>
          </cell>
        </row>
        <row r="86">
          <cell r="B86" t="e">
            <v>#REF!</v>
          </cell>
        </row>
        <row r="87">
          <cell r="B87" t="e">
            <v>#REF!</v>
          </cell>
        </row>
        <row r="88">
          <cell r="B88" t="str">
            <v>Garage CO2 ventilation-Retro</v>
          </cell>
        </row>
        <row r="89">
          <cell r="B89" t="e">
            <v>#REF!</v>
          </cell>
        </row>
        <row r="90">
          <cell r="B90" t="e">
            <v>#REF!</v>
          </cell>
        </row>
        <row r="91">
          <cell r="B91" t="e">
            <v>#REF!</v>
          </cell>
        </row>
        <row r="92">
          <cell r="B92" t="e">
            <v>#REF!</v>
          </cell>
        </row>
        <row r="93">
          <cell r="B93" t="e">
            <v>#REF!</v>
          </cell>
        </row>
        <row r="94">
          <cell r="B94" t="str">
            <v>Circ Pump ECM and drive-Retro</v>
          </cell>
        </row>
        <row r="95">
          <cell r="B95" t="str">
            <v>VRF-New</v>
          </cell>
        </row>
        <row r="96">
          <cell r="B96">
            <v>0</v>
          </cell>
        </row>
        <row r="97">
          <cell r="B97">
            <v>0</v>
          </cell>
        </row>
        <row r="98">
          <cell r="B98">
            <v>0</v>
          </cell>
        </row>
        <row r="99">
          <cell r="B99">
            <v>0</v>
          </cell>
        </row>
        <row r="100">
          <cell r="B100">
            <v>0</v>
          </cell>
        </row>
        <row r="101">
          <cell r="B101">
            <v>0</v>
          </cell>
        </row>
        <row r="102">
          <cell r="B102">
            <v>0</v>
          </cell>
        </row>
        <row r="103">
          <cell r="B103">
            <v>0</v>
          </cell>
        </row>
        <row r="104">
          <cell r="B104">
            <v>0</v>
          </cell>
        </row>
        <row r="105">
          <cell r="B105">
            <v>0</v>
          </cell>
        </row>
      </sheetData>
      <sheetData sheetId="11">
        <row r="13">
          <cell r="B13" t="str">
            <v>FORECAST</v>
          </cell>
        </row>
        <row r="14">
          <cell r="B14" t="str">
            <v>POST2013</v>
          </cell>
          <cell r="C14" t="str">
            <v>Office</v>
          </cell>
          <cell r="F14" t="str">
            <v>Retail</v>
          </cell>
          <cell r="J14" t="str">
            <v>School</v>
          </cell>
          <cell r="L14" t="str">
            <v>Warehouse</v>
          </cell>
          <cell r="M14" t="str">
            <v>Grocery</v>
          </cell>
          <cell r="O14" t="str">
            <v>Restaurant</v>
          </cell>
          <cell r="P14" t="str">
            <v>Lodging</v>
          </cell>
          <cell r="Q14" t="str">
            <v>Health</v>
          </cell>
          <cell r="S14" t="str">
            <v>Assembly</v>
          </cell>
          <cell r="T14" t="str">
            <v>Other</v>
          </cell>
        </row>
        <row r="15">
          <cell r="B15" t="str">
            <v>FloorA%ACT</v>
          </cell>
          <cell r="C15">
            <v>0.23374291413554329</v>
          </cell>
          <cell r="F15">
            <v>0.16379453573805774</v>
          </cell>
          <cell r="J15">
            <v>8.8639553331737689E-2</v>
          </cell>
          <cell r="L15">
            <v>9.6266945662747766E-2</v>
          </cell>
          <cell r="M15">
            <v>2.0434554153352484E-2</v>
          </cell>
          <cell r="O15">
            <v>1.255060122823257E-2</v>
          </cell>
          <cell r="P15">
            <v>5.5794347273117245E-2</v>
          </cell>
          <cell r="Q15">
            <v>7.398534349162611E-2</v>
          </cell>
          <cell r="S15">
            <v>0.12949316922883081</v>
          </cell>
          <cell r="T15">
            <v>0.12270755891365608</v>
          </cell>
        </row>
        <row r="16">
          <cell r="B16" t="str">
            <v>POST2013</v>
          </cell>
          <cell r="C16" t="str">
            <v>Large Off</v>
          </cell>
          <cell r="D16" t="str">
            <v>Medium Off</v>
          </cell>
          <cell r="E16" t="str">
            <v>Small Off</v>
          </cell>
          <cell r="F16" t="str">
            <v>Xlarge Ret</v>
          </cell>
          <cell r="G16" t="str">
            <v>Large Ret</v>
          </cell>
          <cell r="H16" t="str">
            <v>Medium Ret</v>
          </cell>
          <cell r="I16" t="str">
            <v>Small Ret</v>
          </cell>
          <cell r="J16" t="str">
            <v>School K-12</v>
          </cell>
          <cell r="K16" t="str">
            <v>University</v>
          </cell>
          <cell r="L16" t="str">
            <v>Warehouse</v>
          </cell>
          <cell r="M16" t="str">
            <v>Supermarket</v>
          </cell>
          <cell r="N16" t="str">
            <v>MiniMart</v>
          </cell>
          <cell r="O16" t="str">
            <v>Restaurant</v>
          </cell>
          <cell r="P16" t="str">
            <v>Lodging</v>
          </cell>
          <cell r="Q16" t="str">
            <v>Hospital</v>
          </cell>
          <cell r="R16" t="str">
            <v>Residential Care</v>
          </cell>
          <cell r="S16" t="str">
            <v>Assembly</v>
          </cell>
          <cell r="T16" t="str">
            <v>Other</v>
          </cell>
        </row>
        <row r="17">
          <cell r="B17" t="str">
            <v>FloorA%TYP</v>
          </cell>
          <cell r="C17">
            <v>0.49844828664156315</v>
          </cell>
          <cell r="D17">
            <v>0.39725857197361958</v>
          </cell>
          <cell r="E17">
            <v>0.10429314138481716</v>
          </cell>
          <cell r="F17">
            <v>0.29289805028089561</v>
          </cell>
          <cell r="G17">
            <v>0.11837446567671327</v>
          </cell>
          <cell r="H17">
            <v>0.44658380004081855</v>
          </cell>
          <cell r="I17">
            <v>0.14214368400157257</v>
          </cell>
          <cell r="J17">
            <v>0.58044164275770982</v>
          </cell>
          <cell r="K17">
            <v>0.41955835724229024</v>
          </cell>
          <cell r="L17">
            <v>1</v>
          </cell>
          <cell r="M17">
            <v>0.70766579331774959</v>
          </cell>
          <cell r="N17">
            <v>0.29233420668225041</v>
          </cell>
          <cell r="O17">
            <v>1</v>
          </cell>
          <cell r="P17">
            <v>1</v>
          </cell>
          <cell r="Q17">
            <v>1</v>
          </cell>
          <cell r="R17">
            <v>1</v>
          </cell>
          <cell r="S17">
            <v>1</v>
          </cell>
          <cell r="T17">
            <v>1</v>
          </cell>
        </row>
        <row r="18">
          <cell r="B18" t="str">
            <v>FloorA%REG</v>
          </cell>
          <cell r="C18">
            <v>0.15073291148870363</v>
          </cell>
          <cell r="D18">
            <v>0.12013270538231059</v>
          </cell>
          <cell r="E18">
            <v>3.1538695729415013E-2</v>
          </cell>
          <cell r="F18">
            <v>2.6820893655991742E-2</v>
          </cell>
          <cell r="G18">
            <v>1.0839638408159987E-2</v>
          </cell>
          <cell r="H18">
            <v>4.0894012773033235E-2</v>
          </cell>
          <cell r="I18">
            <v>1.3016203517984767E-2</v>
          </cell>
          <cell r="J18">
            <v>3.0886857559635036E-2</v>
          </cell>
          <cell r="K18">
            <v>2.2325826170102026E-2</v>
          </cell>
          <cell r="L18">
            <v>0.10087192274660353</v>
          </cell>
          <cell r="M18">
            <v>6.1675003194375045E-3</v>
          </cell>
          <cell r="N18">
            <v>2.5477723102065148E-3</v>
          </cell>
          <cell r="O18">
            <v>1.1693580853842011E-2</v>
          </cell>
          <cell r="P18">
            <v>2.3957473342185561E-2</v>
          </cell>
          <cell r="Q18">
            <v>4.4965056377242296E-2</v>
          </cell>
          <cell r="R18">
            <v>5.827742495837801E-2</v>
          </cell>
          <cell r="S18">
            <v>9.0984350406775827E-2</v>
          </cell>
          <cell r="T18">
            <v>0.21334717399999265</v>
          </cell>
        </row>
        <row r="19">
          <cell r="B19" t="str">
            <v>ElecHt%TYP</v>
          </cell>
          <cell r="C19">
            <v>9.379008321141083E-2</v>
          </cell>
          <cell r="D19">
            <v>5.7141018201974592E-2</v>
          </cell>
          <cell r="E19">
            <v>6.3540893141458221E-2</v>
          </cell>
          <cell r="F19">
            <v>0.52114684573848291</v>
          </cell>
          <cell r="G19">
            <v>0.64094486042254439</v>
          </cell>
          <cell r="H19">
            <v>0.56159710090996928</v>
          </cell>
          <cell r="I19">
            <v>0.19952525247533903</v>
          </cell>
          <cell r="J19">
            <v>0.22286467137317267</v>
          </cell>
          <cell r="K19">
            <v>0.15885643507420852</v>
          </cell>
          <cell r="L19">
            <v>0.52114684573848291</v>
          </cell>
          <cell r="M19">
            <v>1.5377816133020691E-2</v>
          </cell>
          <cell r="N19">
            <v>0</v>
          </cell>
          <cell r="O19">
            <v>5.5212362541074519E-2</v>
          </cell>
          <cell r="P19">
            <v>0.34342063041492848</v>
          </cell>
          <cell r="Q19">
            <v>0.10311447532768504</v>
          </cell>
          <cell r="R19">
            <v>5.6083613809662864E-3</v>
          </cell>
          <cell r="S19">
            <v>5.6083613809662864E-3</v>
          </cell>
          <cell r="T19">
            <v>0.24031041917780901</v>
          </cell>
        </row>
        <row r="20">
          <cell r="B20" t="str">
            <v>GasHt%TYP</v>
          </cell>
          <cell r="C20">
            <v>0.80872784176745371</v>
          </cell>
          <cell r="D20">
            <v>0.93108561158422598</v>
          </cell>
          <cell r="E20">
            <v>0.65879042006554966</v>
          </cell>
          <cell r="F20">
            <v>0.30364464955032466</v>
          </cell>
          <cell r="G20">
            <v>0.20980203614718312</v>
          </cell>
          <cell r="H20">
            <v>0.42422729730852854</v>
          </cell>
          <cell r="I20">
            <v>0.44747439425166918</v>
          </cell>
          <cell r="J20">
            <v>0.53090550528653346</v>
          </cell>
          <cell r="K20">
            <v>0.73038501205930684</v>
          </cell>
          <cell r="L20">
            <v>0.30364464955032466</v>
          </cell>
          <cell r="M20">
            <v>0.88455863187555051</v>
          </cell>
          <cell r="N20">
            <v>0.99620809267302346</v>
          </cell>
          <cell r="O20">
            <v>0.88366906107173016</v>
          </cell>
          <cell r="P20">
            <v>0.53617368361870132</v>
          </cell>
          <cell r="Q20">
            <v>0.74192623135844471</v>
          </cell>
          <cell r="R20">
            <v>0.98575716289794368</v>
          </cell>
          <cell r="S20">
            <v>0.98575716289794368</v>
          </cell>
          <cell r="T20">
            <v>0.6783643954380898</v>
          </cell>
        </row>
        <row r="21">
          <cell r="B21" t="str">
            <v>HtPmpHt%TYP</v>
          </cell>
          <cell r="C21">
            <v>9.7482075021135345E-2</v>
          </cell>
          <cell r="D21">
            <v>1.1773370213799438E-2</v>
          </cell>
          <cell r="E21">
            <v>0.27766868679299217</v>
          </cell>
          <cell r="F21">
            <v>0.17520850471119245</v>
          </cell>
          <cell r="G21">
            <v>0.14925310343027248</v>
          </cell>
          <cell r="H21">
            <v>1.4175601781502387E-2</v>
          </cell>
          <cell r="I21">
            <v>0.35300035327299167</v>
          </cell>
          <cell r="J21">
            <v>0.24622982334029381</v>
          </cell>
          <cell r="K21">
            <v>0.1107585528664846</v>
          </cell>
          <cell r="L21">
            <v>0.17520850471119245</v>
          </cell>
          <cell r="M21">
            <v>0.1000635519914288</v>
          </cell>
          <cell r="N21">
            <v>3.7919073269764856E-3</v>
          </cell>
          <cell r="O21">
            <v>6.1118576387195395E-2</v>
          </cell>
          <cell r="P21">
            <v>0.12040568596637012</v>
          </cell>
          <cell r="Q21">
            <v>0.15495929331387026</v>
          </cell>
          <cell r="R21">
            <v>8.6344757210899958E-3</v>
          </cell>
          <cell r="S21">
            <v>8.6344757210899958E-3</v>
          </cell>
          <cell r="T21">
            <v>8.1325185384101065E-2</v>
          </cell>
        </row>
        <row r="22">
          <cell r="B22" t="str">
            <v>CoolSat%TYP</v>
          </cell>
          <cell r="C22">
            <v>0.95128694884061893</v>
          </cell>
          <cell r="D22">
            <v>0.97665874571205136</v>
          </cell>
          <cell r="E22">
            <v>0.91122609210258287</v>
          </cell>
          <cell r="F22">
            <v>0.98608503921852686</v>
          </cell>
          <cell r="G22">
            <v>0.77181511362305244</v>
          </cell>
          <cell r="H22">
            <v>0.90527535536267667</v>
          </cell>
          <cell r="I22">
            <v>0.53668215741883951</v>
          </cell>
          <cell r="J22">
            <v>0.96128535178408803</v>
          </cell>
          <cell r="K22">
            <v>0.75</v>
          </cell>
          <cell r="L22">
            <v>0.18162271351024481</v>
          </cell>
          <cell r="M22">
            <v>0.92147944946531313</v>
          </cell>
          <cell r="N22">
            <v>0.83868998628257874</v>
          </cell>
          <cell r="O22">
            <v>0.99999997512427186</v>
          </cell>
          <cell r="P22">
            <v>0.94438859080377269</v>
          </cell>
          <cell r="Q22">
            <v>0.95</v>
          </cell>
          <cell r="R22">
            <v>0.8423386600487599</v>
          </cell>
          <cell r="S22">
            <v>0.91177234717447209</v>
          </cell>
          <cell r="T22">
            <v>0.87717751610580841</v>
          </cell>
        </row>
        <row r="23">
          <cell r="B23" t="str">
            <v>CoolSat%ACT</v>
          </cell>
          <cell r="C23">
            <v>0.95718804003839186</v>
          </cell>
          <cell r="F23">
            <v>0.86075287434919978</v>
          </cell>
          <cell r="J23">
            <v>0.87263881668019661</v>
          </cell>
          <cell r="L23">
            <v>0.18162271351024481</v>
          </cell>
          <cell r="M23">
            <v>0.897277257424139</v>
          </cell>
          <cell r="O23">
            <v>0.99999997512427186</v>
          </cell>
          <cell r="P23">
            <v>0.94438859080377269</v>
          </cell>
          <cell r="Q23">
            <v>0.89616933002437993</v>
          </cell>
          <cell r="S23">
            <v>0.91177234717447209</v>
          </cell>
          <cell r="T23">
            <v>0.87717751610580841</v>
          </cell>
        </row>
        <row r="24">
          <cell r="B24" t="str">
            <v>PackRT%TYP</v>
          </cell>
          <cell r="C24">
            <v>0.15</v>
          </cell>
          <cell r="D24">
            <v>0.75</v>
          </cell>
          <cell r="E24">
            <v>0.95</v>
          </cell>
          <cell r="F24">
            <v>0.95</v>
          </cell>
          <cell r="G24">
            <v>0.9</v>
          </cell>
          <cell r="H24">
            <v>0.9</v>
          </cell>
          <cell r="I24">
            <v>0.3</v>
          </cell>
          <cell r="J24">
            <v>0.3</v>
          </cell>
          <cell r="K24">
            <v>0.5</v>
          </cell>
          <cell r="L24">
            <v>0.35</v>
          </cell>
          <cell r="M24">
            <v>0.9</v>
          </cell>
          <cell r="N24">
            <v>0.9</v>
          </cell>
          <cell r="O24">
            <v>0.95</v>
          </cell>
          <cell r="P24">
            <v>0.5</v>
          </cell>
          <cell r="Q24">
            <v>0.1</v>
          </cell>
          <cell r="R24">
            <v>0.6</v>
          </cell>
          <cell r="S24">
            <v>0.5</v>
          </cell>
          <cell r="T24">
            <v>0.5</v>
          </cell>
        </row>
        <row r="25">
          <cell r="B25" t="str">
            <v>PackRT%ACT</v>
          </cell>
          <cell r="C25">
            <v>0.50026702886083674</v>
          </cell>
          <cell r="F25">
            <v>0.78455381811533043</v>
          </cell>
          <cell r="J25">
            <v>0.36953195539995587</v>
          </cell>
          <cell r="L25">
            <v>0.35</v>
          </cell>
          <cell r="M25">
            <v>0.90000000000000013</v>
          </cell>
          <cell r="O25">
            <v>0.95</v>
          </cell>
          <cell r="P25">
            <v>0.5</v>
          </cell>
          <cell r="Q25">
            <v>0.45832204515370584</v>
          </cell>
          <cell r="S25">
            <v>0.5</v>
          </cell>
          <cell r="T25">
            <v>0.5</v>
          </cell>
        </row>
        <row r="26">
          <cell r="B26" t="str">
            <v>BuiltUp%TYP</v>
          </cell>
          <cell r="C26">
            <v>0.85</v>
          </cell>
          <cell r="D26">
            <v>0.35</v>
          </cell>
          <cell r="E26">
            <v>0.18010901567330029</v>
          </cell>
          <cell r="F26">
            <v>0.2530928144049488</v>
          </cell>
          <cell r="G26">
            <v>0.2530928144049488</v>
          </cell>
          <cell r="H26">
            <v>0.2530928144049488</v>
          </cell>
          <cell r="I26">
            <v>0.2530928144049488</v>
          </cell>
          <cell r="J26">
            <v>0.45489304544728093</v>
          </cell>
          <cell r="K26">
            <v>0.45489304544728093</v>
          </cell>
          <cell r="L26">
            <v>0.68364721407456519</v>
          </cell>
          <cell r="M26">
            <v>0.20656505403266429</v>
          </cell>
          <cell r="N26">
            <v>0.20656505403266429</v>
          </cell>
          <cell r="O26">
            <v>5.8610362131589246E-2</v>
          </cell>
          <cell r="P26">
            <v>0.68482020855141457</v>
          </cell>
          <cell r="Q26">
            <v>0.53</v>
          </cell>
          <cell r="R26">
            <v>0.53</v>
          </cell>
          <cell r="S26">
            <v>0.27379566641599334</v>
          </cell>
          <cell r="T26">
            <v>0.46120223430256424</v>
          </cell>
          <cell r="U26" t="str">
            <v>Use for Com-EM</v>
          </cell>
        </row>
        <row r="27">
          <cell r="B27" t="str">
            <v>BuiltUp%ACT</v>
          </cell>
          <cell r="C27">
            <v>0.52249684792760431</v>
          </cell>
          <cell r="F27">
            <v>6.2181060258327321E-2</v>
          </cell>
          <cell r="J27">
            <v>0.75664862673331257</v>
          </cell>
          <cell r="L27">
            <v>0.10310000000000001</v>
          </cell>
          <cell r="M27">
            <v>0.11560000000000001</v>
          </cell>
          <cell r="O27">
            <v>0.11560000000000001</v>
          </cell>
          <cell r="P27">
            <v>0.32380000000000003</v>
          </cell>
          <cell r="Q27">
            <v>0.83345440239005475</v>
          </cell>
          <cell r="S27">
            <v>0.3</v>
          </cell>
          <cell r="T27">
            <v>0.47130000000000005</v>
          </cell>
        </row>
        <row r="28">
          <cell r="B28" t="str">
            <v>VAV%TYP</v>
          </cell>
          <cell r="C28">
            <v>0.6</v>
          </cell>
          <cell r="D28">
            <v>0.2</v>
          </cell>
          <cell r="E28">
            <v>0</v>
          </cell>
          <cell r="F28">
            <v>0.01</v>
          </cell>
          <cell r="G28">
            <v>0</v>
          </cell>
          <cell r="H28">
            <v>0</v>
          </cell>
          <cell r="I28">
            <v>0</v>
          </cell>
          <cell r="J28">
            <v>0.25</v>
          </cell>
          <cell r="K28">
            <v>0.4</v>
          </cell>
          <cell r="L28">
            <v>0</v>
          </cell>
          <cell r="M28">
            <v>0</v>
          </cell>
          <cell r="N28">
            <v>0</v>
          </cell>
          <cell r="O28">
            <v>0</v>
          </cell>
          <cell r="P28">
            <v>0</v>
          </cell>
          <cell r="Q28">
            <v>0.5</v>
          </cell>
          <cell r="R28">
            <v>0.4</v>
          </cell>
          <cell r="S28">
            <v>0.1</v>
          </cell>
          <cell r="T28">
            <v>0.3</v>
          </cell>
        </row>
        <row r="29">
          <cell r="B29" t="str">
            <v>VAV%ACT</v>
          </cell>
          <cell r="C29">
            <v>0.34868166674859297</v>
          </cell>
          <cell r="F29">
            <v>2.3808219851502894E-3</v>
          </cell>
          <cell r="J29">
            <v>0.30214896654996692</v>
          </cell>
          <cell r="L29">
            <v>0</v>
          </cell>
          <cell r="M29">
            <v>0</v>
          </cell>
          <cell r="O29">
            <v>0</v>
          </cell>
          <cell r="P29">
            <v>0</v>
          </cell>
          <cell r="Q29">
            <v>0.42833559096925883</v>
          </cell>
          <cell r="S29">
            <v>0.1</v>
          </cell>
          <cell r="T29">
            <v>0.3</v>
          </cell>
        </row>
        <row r="30">
          <cell r="B30" t="str">
            <v>LSYieldElecHt&amp;AC</v>
          </cell>
          <cell r="C30">
            <v>0.92464156437246825</v>
          </cell>
          <cell r="D30">
            <v>0.92743246202832574</v>
          </cell>
          <cell r="E30">
            <v>0.70313295749949067</v>
          </cell>
          <cell r="F30">
            <v>0.85735615745151994</v>
          </cell>
          <cell r="G30">
            <v>0.70892672045214944</v>
          </cell>
          <cell r="H30">
            <v>0.71863304264352112</v>
          </cell>
          <cell r="I30">
            <v>0.75976868046444901</v>
          </cell>
          <cell r="J30">
            <v>0.61612853517840882</v>
          </cell>
          <cell r="K30">
            <v>0.6725000000000001</v>
          </cell>
          <cell r="L30">
            <v>0.61</v>
          </cell>
          <cell r="M30">
            <v>0.85371835595722523</v>
          </cell>
          <cell r="N30">
            <v>0.72741659807956105</v>
          </cell>
          <cell r="O30">
            <v>0.42999999950248563</v>
          </cell>
          <cell r="P30">
            <v>0.69443885908037739</v>
          </cell>
          <cell r="Q30">
            <v>0.28950000000000004</v>
          </cell>
          <cell r="R30">
            <v>0.68423386600487623</v>
          </cell>
          <cell r="S30">
            <v>0.92029495818919216</v>
          </cell>
          <cell r="T30">
            <v>0.91648952677163908</v>
          </cell>
        </row>
        <row r="31">
          <cell r="B31" t="str">
            <v>LSYieldHtPmpHt&amp;AC</v>
          </cell>
          <cell r="C31">
            <v>1.02</v>
          </cell>
          <cell r="D31">
            <v>1.02</v>
          </cell>
          <cell r="E31">
            <v>0.95500000000000007</v>
          </cell>
          <cell r="F31">
            <v>1.0249999999999999</v>
          </cell>
          <cell r="G31">
            <v>0.96499999999999986</v>
          </cell>
          <cell r="H31">
            <v>0.92500000000000004</v>
          </cell>
          <cell r="I31">
            <v>0.97499999999999987</v>
          </cell>
          <cell r="J31">
            <v>0.8600000000000001</v>
          </cell>
          <cell r="K31">
            <v>0.95500000000000007</v>
          </cell>
          <cell r="L31">
            <v>0.80499999999999994</v>
          </cell>
          <cell r="M31">
            <v>0.9700000000000002</v>
          </cell>
          <cell r="N31">
            <v>0.94500000000000006</v>
          </cell>
          <cell r="O31">
            <v>0.72500000000000009</v>
          </cell>
          <cell r="P31">
            <v>0.90000000000000013</v>
          </cell>
          <cell r="Q31">
            <v>0.64999999999999991</v>
          </cell>
          <cell r="R31">
            <v>0.90000000000000013</v>
          </cell>
          <cell r="S31">
            <v>1.02</v>
          </cell>
          <cell r="T31">
            <v>1.02</v>
          </cell>
        </row>
        <row r="32">
          <cell r="B32" t="str">
            <v>LSYieldGasHt&amp;AC</v>
          </cell>
          <cell r="C32">
            <v>1.0878415643724679</v>
          </cell>
          <cell r="D32">
            <v>1.0906324620283256</v>
          </cell>
          <cell r="E32">
            <v>1.1292662908328239</v>
          </cell>
          <cell r="F32">
            <v>1.15655615745152</v>
          </cell>
          <cell r="G32">
            <v>1.0987933871188158</v>
          </cell>
          <cell r="H32">
            <v>1.0722330426435214</v>
          </cell>
          <cell r="I32">
            <v>1.0408353471311158</v>
          </cell>
          <cell r="J32">
            <v>1.051328535178409</v>
          </cell>
          <cell r="K32">
            <v>1.0986333333333334</v>
          </cell>
          <cell r="L32">
            <v>0.96360000000000001</v>
          </cell>
          <cell r="M32">
            <v>1.0531850226238919</v>
          </cell>
          <cell r="N32">
            <v>1.0810165980795612</v>
          </cell>
          <cell r="O32">
            <v>0.96493333283581861</v>
          </cell>
          <cell r="P32">
            <v>1.0571055257470443</v>
          </cell>
          <cell r="Q32">
            <v>0.94230000000000003</v>
          </cell>
          <cell r="R32">
            <v>1.0469005326715428</v>
          </cell>
          <cell r="S32">
            <v>1.0834949581891919</v>
          </cell>
          <cell r="T32">
            <v>1.0796895267716389</v>
          </cell>
        </row>
        <row r="33">
          <cell r="B33" t="str">
            <v>LSYieldElecHt</v>
          </cell>
          <cell r="C33">
            <v>0.82000000000000006</v>
          </cell>
          <cell r="D33">
            <v>0.82000000000000006</v>
          </cell>
          <cell r="E33">
            <v>0.53</v>
          </cell>
          <cell r="F33">
            <v>0.66999999999999993</v>
          </cell>
          <cell r="G33">
            <v>0.57000000000000006</v>
          </cell>
          <cell r="H33">
            <v>0.61</v>
          </cell>
          <cell r="I33">
            <v>0.69</v>
          </cell>
          <cell r="J33">
            <v>0.52</v>
          </cell>
          <cell r="K33">
            <v>0.53</v>
          </cell>
          <cell r="L33">
            <v>0.61</v>
          </cell>
          <cell r="M33">
            <v>0.78</v>
          </cell>
          <cell r="N33">
            <v>0.61</v>
          </cell>
          <cell r="O33">
            <v>0.41000000000000003</v>
          </cell>
          <cell r="P33">
            <v>0.6</v>
          </cell>
          <cell r="Q33">
            <v>0.28000000000000003</v>
          </cell>
          <cell r="R33">
            <v>0.6</v>
          </cell>
          <cell r="S33">
            <v>0.82000000000000006</v>
          </cell>
          <cell r="T33">
            <v>0.82000000000000006</v>
          </cell>
        </row>
        <row r="34">
          <cell r="B34" t="str">
            <v>LSYieldGasHt</v>
          </cell>
          <cell r="C34">
            <v>0.98319999999999996</v>
          </cell>
          <cell r="D34">
            <v>0.98319999999999996</v>
          </cell>
          <cell r="E34">
            <v>0.95613333333333328</v>
          </cell>
          <cell r="F34">
            <v>0.96919999999999995</v>
          </cell>
          <cell r="G34">
            <v>0.95986666666666665</v>
          </cell>
          <cell r="H34">
            <v>0.96360000000000001</v>
          </cell>
          <cell r="I34">
            <v>0.97106666666666663</v>
          </cell>
          <cell r="J34">
            <v>0.95520000000000005</v>
          </cell>
          <cell r="K34">
            <v>0.95613333333333328</v>
          </cell>
          <cell r="L34">
            <v>0.96360000000000001</v>
          </cell>
          <cell r="M34">
            <v>0.97946666666666671</v>
          </cell>
          <cell r="N34">
            <v>0.96360000000000001</v>
          </cell>
          <cell r="O34">
            <v>0.94493333333333329</v>
          </cell>
          <cell r="P34">
            <v>0.96266666666666667</v>
          </cell>
          <cell r="Q34">
            <v>0.93279999999999996</v>
          </cell>
          <cell r="R34">
            <v>0.96266666666666667</v>
          </cell>
          <cell r="S34">
            <v>0.98319999999999996</v>
          </cell>
          <cell r="T34">
            <v>0.98319999999999996</v>
          </cell>
        </row>
        <row r="35">
          <cell r="B35" t="str">
            <v>LSYieldThermsGasHt</v>
          </cell>
          <cell r="C35">
            <v>-8.1887999999999996E-3</v>
          </cell>
          <cell r="D35">
            <v>-8.1887999999999996E-3</v>
          </cell>
          <cell r="E35">
            <v>-2.1381866666666666E-2</v>
          </cell>
          <cell r="F35">
            <v>-1.50128E-2</v>
          </cell>
          <cell r="G35">
            <v>-1.9562133333333332E-2</v>
          </cell>
          <cell r="H35">
            <v>-1.7742399999999998E-2</v>
          </cell>
          <cell r="I35">
            <v>-1.4102933333333333E-2</v>
          </cell>
          <cell r="J35">
            <v>-2.18368E-2</v>
          </cell>
          <cell r="K35">
            <v>-2.1381866666666666E-2</v>
          </cell>
          <cell r="L35">
            <v>-1.7742399999999998E-2</v>
          </cell>
          <cell r="M35">
            <v>-1.0008533333333333E-2</v>
          </cell>
          <cell r="N35">
            <v>-1.7742399999999998E-2</v>
          </cell>
          <cell r="O35">
            <v>-2.6841066666666667E-2</v>
          </cell>
          <cell r="P35">
            <v>-1.8197333333333333E-2</v>
          </cell>
          <cell r="Q35">
            <v>-3.2755199999999998E-2</v>
          </cell>
          <cell r="R35">
            <v>-1.8197333333333333E-2</v>
          </cell>
          <cell r="S35">
            <v>-8.1887999999999996E-3</v>
          </cell>
          <cell r="T35">
            <v>-8.1887999999999996E-3</v>
          </cell>
        </row>
        <row r="36">
          <cell r="B36" t="str">
            <v>LSYieldThermsGasHt&amp;AC</v>
          </cell>
          <cell r="C36">
            <v>-8.1887999999999996E-3</v>
          </cell>
          <cell r="D36">
            <v>-8.1887999999999996E-3</v>
          </cell>
          <cell r="E36">
            <v>-2.1381866666666666E-2</v>
          </cell>
          <cell r="F36">
            <v>-1.50128E-2</v>
          </cell>
          <cell r="G36">
            <v>-1.9562133333333332E-2</v>
          </cell>
          <cell r="H36">
            <v>-1.7742399999999998E-2</v>
          </cell>
          <cell r="I36">
            <v>-1.4102933333333333E-2</v>
          </cell>
          <cell r="J36">
            <v>-2.18368E-2</v>
          </cell>
          <cell r="K36">
            <v>-2.1381866666666666E-2</v>
          </cell>
          <cell r="L36">
            <v>-1.7742399999999998E-2</v>
          </cell>
          <cell r="M36">
            <v>-1.0008533333333333E-2</v>
          </cell>
          <cell r="N36">
            <v>-1.7742399999999998E-2</v>
          </cell>
          <cell r="O36">
            <v>-2.6841066666666667E-2</v>
          </cell>
          <cell r="P36">
            <v>-1.8197333333333333E-2</v>
          </cell>
          <cell r="Q36">
            <v>-3.2755199999999998E-2</v>
          </cell>
          <cell r="R36">
            <v>-1.8197333333333333E-2</v>
          </cell>
          <cell r="S36">
            <v>-8.1887999999999996E-3</v>
          </cell>
          <cell r="T36">
            <v>-8.1887999999999996E-3</v>
          </cell>
        </row>
        <row r="37">
          <cell r="B37" t="str">
            <v>LPDAdjust</v>
          </cell>
          <cell r="C37">
            <v>1</v>
          </cell>
          <cell r="D37">
            <v>1</v>
          </cell>
          <cell r="E37">
            <v>1</v>
          </cell>
          <cell r="F37">
            <v>1</v>
          </cell>
          <cell r="G37">
            <v>1</v>
          </cell>
          <cell r="H37">
            <v>1</v>
          </cell>
          <cell r="I37">
            <v>1</v>
          </cell>
          <cell r="J37">
            <v>1</v>
          </cell>
          <cell r="K37">
            <v>1</v>
          </cell>
          <cell r="L37">
            <v>1</v>
          </cell>
          <cell r="M37">
            <v>1</v>
          </cell>
          <cell r="N37">
            <v>1</v>
          </cell>
          <cell r="O37">
            <v>1</v>
          </cell>
          <cell r="P37">
            <v>1</v>
          </cell>
          <cell r="Q37">
            <v>1</v>
          </cell>
          <cell r="R37">
            <v>1</v>
          </cell>
          <cell r="S37">
            <v>1</v>
          </cell>
          <cell r="T37">
            <v>1</v>
          </cell>
        </row>
        <row r="38">
          <cell r="B38" t="str">
            <v>Chiller%TYP</v>
          </cell>
          <cell r="C38">
            <v>0.6</v>
          </cell>
          <cell r="D38">
            <v>0.1</v>
          </cell>
          <cell r="E38">
            <v>0</v>
          </cell>
          <cell r="F38">
            <v>0.05</v>
          </cell>
          <cell r="G38">
            <v>0</v>
          </cell>
          <cell r="H38">
            <v>0</v>
          </cell>
          <cell r="I38">
            <v>0.4</v>
          </cell>
          <cell r="J38">
            <v>0.4</v>
          </cell>
          <cell r="K38">
            <v>0.6</v>
          </cell>
          <cell r="L38">
            <v>0.03</v>
          </cell>
          <cell r="M38">
            <v>0</v>
          </cell>
          <cell r="N38">
            <v>0</v>
          </cell>
          <cell r="O38">
            <v>0</v>
          </cell>
          <cell r="P38">
            <v>0.15</v>
          </cell>
          <cell r="Q38">
            <v>0.75</v>
          </cell>
          <cell r="R38">
            <v>0.2</v>
          </cell>
          <cell r="S38">
            <v>0.1</v>
          </cell>
          <cell r="T38">
            <v>0.3</v>
          </cell>
        </row>
        <row r="39">
          <cell r="B39" t="str">
            <v>HOURSLght</v>
          </cell>
          <cell r="C39">
            <v>3300</v>
          </cell>
          <cell r="D39">
            <v>2800</v>
          </cell>
          <cell r="E39">
            <v>2600</v>
          </cell>
          <cell r="F39">
            <v>6200</v>
          </cell>
          <cell r="G39">
            <v>3800</v>
          </cell>
          <cell r="H39">
            <v>3800</v>
          </cell>
          <cell r="I39">
            <v>2800</v>
          </cell>
          <cell r="J39">
            <v>2700</v>
          </cell>
          <cell r="K39">
            <v>3600</v>
          </cell>
          <cell r="L39">
            <v>2700</v>
          </cell>
          <cell r="M39">
            <v>7300</v>
          </cell>
          <cell r="N39">
            <v>6800</v>
          </cell>
          <cell r="O39">
            <v>5400</v>
          </cell>
          <cell r="P39">
            <v>3000</v>
          </cell>
          <cell r="Q39">
            <v>6400</v>
          </cell>
          <cell r="R39">
            <v>5700</v>
          </cell>
          <cell r="S39">
            <v>3000</v>
          </cell>
          <cell r="T39">
            <v>4100</v>
          </cell>
        </row>
        <row r="40">
          <cell r="B40" t="str">
            <v>UnCondArea%TYP</v>
          </cell>
          <cell r="C40">
            <v>0.12</v>
          </cell>
          <cell r="D40">
            <v>7.0000000000000007E-2</v>
          </cell>
          <cell r="E40">
            <v>0.05</v>
          </cell>
          <cell r="F40">
            <v>0.03</v>
          </cell>
          <cell r="G40">
            <v>0.13</v>
          </cell>
          <cell r="H40">
            <v>0.1</v>
          </cell>
          <cell r="I40">
            <v>0.12</v>
          </cell>
          <cell r="J40">
            <v>0.01</v>
          </cell>
          <cell r="K40">
            <v>0.1</v>
          </cell>
          <cell r="L40">
            <v>0.31</v>
          </cell>
          <cell r="M40">
            <v>0.04</v>
          </cell>
          <cell r="N40">
            <v>0.04</v>
          </cell>
          <cell r="O40">
            <v>0.13</v>
          </cell>
          <cell r="P40">
            <v>0.05</v>
          </cell>
          <cell r="Q40">
            <v>0.12</v>
          </cell>
          <cell r="R40">
            <v>0.03</v>
          </cell>
          <cell r="S40">
            <v>0.15</v>
          </cell>
          <cell r="T40">
            <v>0.15</v>
          </cell>
        </row>
        <row r="41">
          <cell r="B41" t="str">
            <v>RTEcono%TYP</v>
          </cell>
          <cell r="C41">
            <v>1</v>
          </cell>
          <cell r="D41">
            <v>1</v>
          </cell>
          <cell r="E41">
            <v>0.77500000000000002</v>
          </cell>
          <cell r="F41">
            <v>1</v>
          </cell>
          <cell r="G41">
            <v>0.77500000000000002</v>
          </cell>
          <cell r="H41">
            <v>0.95</v>
          </cell>
          <cell r="I41">
            <v>0.82499999999999996</v>
          </cell>
          <cell r="J41">
            <v>1</v>
          </cell>
          <cell r="K41">
            <v>1</v>
          </cell>
          <cell r="L41">
            <v>0.72500000000000009</v>
          </cell>
          <cell r="M41">
            <v>0.85</v>
          </cell>
          <cell r="N41">
            <v>0.85</v>
          </cell>
          <cell r="O41">
            <v>0.85</v>
          </cell>
          <cell r="P41">
            <v>0.85</v>
          </cell>
          <cell r="Q41">
            <v>1</v>
          </cell>
          <cell r="R41">
            <v>0.85</v>
          </cell>
          <cell r="S41">
            <v>0.6</v>
          </cell>
          <cell r="T41">
            <v>0.6</v>
          </cell>
        </row>
        <row r="42">
          <cell r="B42" t="str">
            <v>FloorA%PRE2002</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row>
        <row r="43">
          <cell r="B43" t="str">
            <v>FloorA%PRE2006</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row>
        <row r="44">
          <cell r="B44" t="str">
            <v>ElecHtComplex%TYP</v>
          </cell>
          <cell r="C44">
            <v>0.61680000000000001</v>
          </cell>
          <cell r="D44">
            <v>0.61680000000000001</v>
          </cell>
          <cell r="E44">
            <v>0.61680000000000001</v>
          </cell>
          <cell r="F44">
            <v>0.84279999999999999</v>
          </cell>
          <cell r="G44">
            <v>3.7900000000000003E-2</v>
          </cell>
          <cell r="H44">
            <v>3.7900000000000003E-2</v>
          </cell>
          <cell r="I44">
            <v>3.7900000000000003E-2</v>
          </cell>
          <cell r="J44">
            <v>6.0999999999999995E-3</v>
          </cell>
          <cell r="K44">
            <v>0.1794</v>
          </cell>
          <cell r="L44">
            <v>0.37840000000000001</v>
          </cell>
          <cell r="M44">
            <v>5.3399999999999996E-2</v>
          </cell>
          <cell r="N44">
            <v>5.3399999999999996E-2</v>
          </cell>
          <cell r="O44">
            <v>5.3399999999999996E-2</v>
          </cell>
          <cell r="P44">
            <v>7.7000000000000002E-3</v>
          </cell>
          <cell r="Q44">
            <v>8.1099999999999992E-2</v>
          </cell>
          <cell r="R44">
            <v>0.35409999999999997</v>
          </cell>
          <cell r="S44">
            <v>0.05</v>
          </cell>
          <cell r="T44">
            <v>0.31140000000000001</v>
          </cell>
        </row>
        <row r="45">
          <cell r="B45" t="str">
            <v>GasHtComplex%TYP</v>
          </cell>
          <cell r="C45">
            <v>0.25319999999999998</v>
          </cell>
          <cell r="D45">
            <v>0.25319999999999998</v>
          </cell>
          <cell r="E45">
            <v>0.25319999999999998</v>
          </cell>
          <cell r="F45">
            <v>0.15720000000000001</v>
          </cell>
          <cell r="G45">
            <v>0.31929999999999997</v>
          </cell>
          <cell r="H45">
            <v>0.31929999999999997</v>
          </cell>
          <cell r="I45">
            <v>0.31929999999999997</v>
          </cell>
          <cell r="J45">
            <v>0.83329999999999993</v>
          </cell>
          <cell r="K45">
            <v>0.82069999999999999</v>
          </cell>
          <cell r="L45">
            <v>0.62159999999999993</v>
          </cell>
          <cell r="M45">
            <v>0.9466</v>
          </cell>
          <cell r="N45">
            <v>0.9466</v>
          </cell>
          <cell r="O45">
            <v>0.9466</v>
          </cell>
          <cell r="P45">
            <v>0.56859999999999999</v>
          </cell>
          <cell r="Q45">
            <v>0.91890000000000005</v>
          </cell>
          <cell r="R45">
            <v>0.57330000000000003</v>
          </cell>
          <cell r="S45">
            <v>0.55000000000000004</v>
          </cell>
          <cell r="T45">
            <v>0.67430000000000001</v>
          </cell>
        </row>
        <row r="46">
          <cell r="B46" t="str">
            <v>HtPmpHtComplex%TYP</v>
          </cell>
          <cell r="C46">
            <v>0.13009999999999999</v>
          </cell>
          <cell r="D46">
            <v>0.13009999999999999</v>
          </cell>
          <cell r="E46">
            <v>0.13009999999999999</v>
          </cell>
          <cell r="F46">
            <v>0</v>
          </cell>
          <cell r="G46">
            <v>0.64280000000000004</v>
          </cell>
          <cell r="H46">
            <v>0.64280000000000004</v>
          </cell>
          <cell r="I46">
            <v>0.64280000000000004</v>
          </cell>
          <cell r="J46">
            <v>0.1605</v>
          </cell>
          <cell r="K46">
            <v>0</v>
          </cell>
          <cell r="L46">
            <v>0</v>
          </cell>
          <cell r="M46">
            <v>0</v>
          </cell>
          <cell r="N46">
            <v>0</v>
          </cell>
          <cell r="O46">
            <v>0</v>
          </cell>
          <cell r="P46">
            <v>0.42380000000000001</v>
          </cell>
          <cell r="Q46">
            <v>0</v>
          </cell>
          <cell r="R46">
            <v>7.2700000000000001E-2</v>
          </cell>
          <cell r="S46">
            <v>0.4</v>
          </cell>
          <cell r="T46">
            <v>1.4199999999999999E-2</v>
          </cell>
        </row>
        <row r="47">
          <cell r="B47" t="str">
            <v>ElecHtSimple%TYP</v>
          </cell>
          <cell r="C47">
            <v>0.05</v>
          </cell>
          <cell r="D47">
            <v>0.05</v>
          </cell>
          <cell r="E47">
            <v>0.05</v>
          </cell>
          <cell r="F47">
            <v>2.53E-2</v>
          </cell>
          <cell r="G47">
            <v>2.4700000000000003E-2</v>
          </cell>
          <cell r="H47">
            <v>2.4700000000000003E-2</v>
          </cell>
          <cell r="I47">
            <v>2.4700000000000003E-2</v>
          </cell>
          <cell r="J47">
            <v>2.41E-2</v>
          </cell>
          <cell r="K47">
            <v>0.18960000000000002</v>
          </cell>
          <cell r="L47">
            <v>0.1013</v>
          </cell>
          <cell r="M47">
            <v>1.03E-2</v>
          </cell>
          <cell r="N47">
            <v>1.03E-2</v>
          </cell>
          <cell r="O47">
            <v>1.03E-2</v>
          </cell>
          <cell r="P47">
            <v>0.37490000000000001</v>
          </cell>
          <cell r="Q47">
            <v>0.18149999999999999</v>
          </cell>
          <cell r="R47">
            <v>5.6999999999999993E-3</v>
          </cell>
          <cell r="S47">
            <v>0.1</v>
          </cell>
          <cell r="T47">
            <v>8.3400000000000002E-2</v>
          </cell>
        </row>
        <row r="48">
          <cell r="B48" t="str">
            <v>GasHtSimple%TYP</v>
          </cell>
          <cell r="C48">
            <v>0.85</v>
          </cell>
          <cell r="D48">
            <v>0.85</v>
          </cell>
          <cell r="E48">
            <v>0.85</v>
          </cell>
          <cell r="F48">
            <v>0.96689999999999998</v>
          </cell>
          <cell r="G48">
            <v>0.83260000000000001</v>
          </cell>
          <cell r="H48">
            <v>0.83260000000000001</v>
          </cell>
          <cell r="I48">
            <v>0.83260000000000001</v>
          </cell>
          <cell r="J48">
            <v>0.92970000000000008</v>
          </cell>
          <cell r="K48">
            <v>0.73620000000000008</v>
          </cell>
          <cell r="L48">
            <v>0.86060000000000003</v>
          </cell>
          <cell r="M48">
            <v>0.98720000000000008</v>
          </cell>
          <cell r="N48">
            <v>0.98720000000000008</v>
          </cell>
          <cell r="O48">
            <v>0.98720000000000008</v>
          </cell>
          <cell r="P48">
            <v>0.37859999999999994</v>
          </cell>
          <cell r="Q48">
            <v>0.78300000000000003</v>
          </cell>
          <cell r="R48">
            <v>0.99429999999999996</v>
          </cell>
          <cell r="S48">
            <v>0.8</v>
          </cell>
          <cell r="T48">
            <v>0.85329999999999995</v>
          </cell>
        </row>
        <row r="49">
          <cell r="B49" t="str">
            <v>HtPmpHtSimple%TYP</v>
          </cell>
          <cell r="C49">
            <v>0.1</v>
          </cell>
          <cell r="D49">
            <v>0.1</v>
          </cell>
          <cell r="E49">
            <v>0.1</v>
          </cell>
          <cell r="F49">
            <v>7.8000000000000005E-3</v>
          </cell>
          <cell r="G49">
            <v>0.14269999999999999</v>
          </cell>
          <cell r="H49">
            <v>0.14269999999999999</v>
          </cell>
          <cell r="I49">
            <v>0.14269999999999999</v>
          </cell>
          <cell r="J49">
            <v>4.6199999999999998E-2</v>
          </cell>
          <cell r="K49">
            <v>7.4200000000000002E-2</v>
          </cell>
          <cell r="L49">
            <v>3.8100000000000002E-2</v>
          </cell>
          <cell r="M49">
            <v>2.5000000000000001E-3</v>
          </cell>
          <cell r="N49">
            <v>2.5000000000000001E-3</v>
          </cell>
          <cell r="O49">
            <v>2.5000000000000001E-3</v>
          </cell>
          <cell r="P49">
            <v>0.24660000000000001</v>
          </cell>
          <cell r="Q49">
            <v>3.5400000000000001E-2</v>
          </cell>
          <cell r="R49">
            <v>0</v>
          </cell>
          <cell r="S49">
            <v>0.1</v>
          </cell>
          <cell r="T49">
            <v>6.3200000000000006E-2</v>
          </cell>
        </row>
        <row r="50">
          <cell r="B50" t="str">
            <v>ChillerAir%TYP</v>
          </cell>
          <cell r="C50">
            <v>0.5</v>
          </cell>
          <cell r="D50">
            <v>0.8</v>
          </cell>
          <cell r="E50">
            <v>0.8</v>
          </cell>
          <cell r="F50">
            <v>0.8</v>
          </cell>
          <cell r="G50">
            <v>0.8</v>
          </cell>
          <cell r="H50">
            <v>0.8</v>
          </cell>
          <cell r="I50">
            <v>0.8</v>
          </cell>
          <cell r="J50">
            <v>0.8</v>
          </cell>
          <cell r="K50">
            <v>0.8</v>
          </cell>
          <cell r="L50">
            <v>0.9</v>
          </cell>
          <cell r="M50">
            <v>1</v>
          </cell>
          <cell r="N50">
            <v>1</v>
          </cell>
          <cell r="O50">
            <v>1</v>
          </cell>
          <cell r="P50">
            <v>0.2</v>
          </cell>
          <cell r="Q50">
            <v>0.2</v>
          </cell>
          <cell r="R50">
            <v>0.6</v>
          </cell>
          <cell r="S50">
            <v>0.6</v>
          </cell>
          <cell r="T50">
            <v>0.2</v>
          </cell>
        </row>
        <row r="51">
          <cell r="B51" t="str">
            <v>ChillerWater%TYP</v>
          </cell>
          <cell r="C51">
            <v>0.5</v>
          </cell>
          <cell r="D51">
            <v>0.2</v>
          </cell>
          <cell r="E51">
            <v>0.2</v>
          </cell>
          <cell r="F51">
            <v>0.2</v>
          </cell>
          <cell r="G51">
            <v>0.2</v>
          </cell>
          <cell r="H51">
            <v>0.2</v>
          </cell>
          <cell r="I51">
            <v>0.2</v>
          </cell>
          <cell r="J51">
            <v>0.2</v>
          </cell>
          <cell r="K51">
            <v>0.2</v>
          </cell>
          <cell r="L51">
            <v>0.1</v>
          </cell>
          <cell r="M51">
            <v>0</v>
          </cell>
          <cell r="N51">
            <v>0</v>
          </cell>
          <cell r="O51">
            <v>0</v>
          </cell>
          <cell r="P51">
            <v>0.8</v>
          </cell>
          <cell r="Q51">
            <v>0.8</v>
          </cell>
          <cell r="R51">
            <v>0.4</v>
          </cell>
          <cell r="S51">
            <v>0.4</v>
          </cell>
          <cell r="T51">
            <v>0.8</v>
          </cell>
        </row>
        <row r="52">
          <cell r="B52" t="str">
            <v>WinFloorRatio%TYP</v>
          </cell>
          <cell r="C52">
            <v>0.16</v>
          </cell>
          <cell r="D52">
            <v>0.16</v>
          </cell>
          <cell r="E52">
            <v>0.16</v>
          </cell>
          <cell r="F52">
            <v>0.02</v>
          </cell>
          <cell r="G52">
            <v>0.16</v>
          </cell>
          <cell r="H52">
            <v>0.16</v>
          </cell>
          <cell r="I52">
            <v>0.04</v>
          </cell>
          <cell r="J52">
            <v>7.0000000000000007E-2</v>
          </cell>
          <cell r="K52">
            <v>0.12</v>
          </cell>
          <cell r="L52">
            <v>0.03</v>
          </cell>
          <cell r="M52">
            <v>0.04</v>
          </cell>
          <cell r="N52">
            <v>0.15</v>
          </cell>
          <cell r="O52">
            <v>0.18</v>
          </cell>
          <cell r="P52">
            <v>0.11</v>
          </cell>
          <cell r="Q52">
            <v>0.11</v>
          </cell>
          <cell r="R52">
            <v>0.12</v>
          </cell>
          <cell r="S52">
            <v>0.08</v>
          </cell>
          <cell r="T52">
            <v>0.1</v>
          </cell>
        </row>
        <row r="56">
          <cell r="B56" t="str">
            <v>CoolSat%TYP</v>
          </cell>
          <cell r="C56">
            <v>0.82</v>
          </cell>
          <cell r="D56">
            <v>0.9</v>
          </cell>
          <cell r="E56">
            <v>0.95</v>
          </cell>
          <cell r="F56">
            <v>0.88</v>
          </cell>
          <cell r="G56">
            <v>0.88</v>
          </cell>
          <cell r="H56">
            <v>0.88</v>
          </cell>
          <cell r="I56">
            <v>0.88</v>
          </cell>
          <cell r="J56">
            <v>0.83</v>
          </cell>
          <cell r="K56">
            <v>0.75</v>
          </cell>
          <cell r="L56">
            <v>0.24</v>
          </cell>
          <cell r="M56">
            <v>0.94</v>
          </cell>
          <cell r="N56">
            <v>0.94</v>
          </cell>
          <cell r="O56">
            <v>1</v>
          </cell>
          <cell r="P56">
            <v>0.88</v>
          </cell>
          <cell r="Q56">
            <v>0.95</v>
          </cell>
          <cell r="R56">
            <v>0.95</v>
          </cell>
          <cell r="S56">
            <v>0.95</v>
          </cell>
          <cell r="T56">
            <v>0.7</v>
          </cell>
        </row>
        <row r="61">
          <cell r="C61" t="str">
            <v>Office</v>
          </cell>
          <cell r="D61" t="str">
            <v>Office</v>
          </cell>
          <cell r="E61" t="str">
            <v>Office</v>
          </cell>
          <cell r="F61" t="str">
            <v>Retail/Service</v>
          </cell>
          <cell r="G61" t="str">
            <v>Retail/Service</v>
          </cell>
          <cell r="H61" t="str">
            <v>Retail/Service</v>
          </cell>
          <cell r="I61" t="str">
            <v>Retail/Service</v>
          </cell>
          <cell r="M61" t="str">
            <v>Grocery</v>
          </cell>
          <cell r="N61" t="str">
            <v>Grocery</v>
          </cell>
          <cell r="Y61" t="str">
            <v>Average of msf.pnw.frac</v>
          </cell>
        </row>
        <row r="62">
          <cell r="B62" t="str">
            <v>_PRE2013</v>
          </cell>
          <cell r="C62" t="str">
            <v>Office</v>
          </cell>
          <cell r="F62" t="str">
            <v>Retail/Service</v>
          </cell>
          <cell r="J62" t="str">
            <v>School</v>
          </cell>
          <cell r="L62" t="str">
            <v>Warehouse</v>
          </cell>
          <cell r="M62" t="str">
            <v>Grocery</v>
          </cell>
          <cell r="O62" t="str">
            <v>Restaurant</v>
          </cell>
          <cell r="P62" t="str">
            <v>Lodging</v>
          </cell>
          <cell r="Q62" t="str">
            <v>Health</v>
          </cell>
          <cell r="S62" t="str">
            <v>Assembly</v>
          </cell>
          <cell r="T62" t="str">
            <v>Other</v>
          </cell>
          <cell r="Y62" t="str">
            <v>Row Labels</v>
          </cell>
        </row>
        <row r="63">
          <cell r="B63" t="str">
            <v>FloorA%ACT</v>
          </cell>
          <cell r="C63">
            <v>0.21925891959556321</v>
          </cell>
          <cell r="F63">
            <v>0.170463671983236</v>
          </cell>
          <cell r="J63">
            <v>0.11027533939050128</v>
          </cell>
          <cell r="L63">
            <v>0.13203580856943528</v>
          </cell>
          <cell r="M63">
            <v>2.3026138677721724E-2</v>
          </cell>
          <cell r="O63">
            <v>1.5835296654172451E-2</v>
          </cell>
          <cell r="P63">
            <v>5.1068065124091046E-2</v>
          </cell>
          <cell r="Q63">
            <v>6.8347557000163706E-2</v>
          </cell>
          <cell r="S63">
            <v>0.11013494038183547</v>
          </cell>
          <cell r="T63">
            <v>9.9554262623279946E-2</v>
          </cell>
          <cell r="Y63" t="str">
            <v>Assembly</v>
          </cell>
        </row>
        <row r="64">
          <cell r="B64" t="str">
            <v>_PRE2013</v>
          </cell>
          <cell r="C64" t="str">
            <v>Large Off</v>
          </cell>
          <cell r="D64" t="str">
            <v>Medium Off</v>
          </cell>
          <cell r="E64" t="str">
            <v>Small Off</v>
          </cell>
          <cell r="F64" t="str">
            <v>Xlarge Ret</v>
          </cell>
          <cell r="G64" t="str">
            <v>Large Ret</v>
          </cell>
          <cell r="H64" t="str">
            <v>Medium Ret</v>
          </cell>
          <cell r="I64" t="str">
            <v>Small Ret</v>
          </cell>
          <cell r="J64" t="str">
            <v>School K-12</v>
          </cell>
          <cell r="K64" t="str">
            <v>University</v>
          </cell>
          <cell r="L64" t="str">
            <v>Warehouse</v>
          </cell>
          <cell r="M64" t="str">
            <v>Supermarket</v>
          </cell>
          <cell r="N64" t="str">
            <v>MiniMart</v>
          </cell>
          <cell r="O64" t="str">
            <v>Restaurant</v>
          </cell>
          <cell r="P64" t="str">
            <v>Lodging</v>
          </cell>
          <cell r="Q64" t="str">
            <v>Hospital</v>
          </cell>
          <cell r="R64" t="str">
            <v>Residential Care</v>
          </cell>
          <cell r="S64" t="str">
            <v>Assembly</v>
          </cell>
          <cell r="T64" t="str">
            <v>Other</v>
          </cell>
          <cell r="Y64" t="str">
            <v>Food</v>
          </cell>
        </row>
        <row r="65">
          <cell r="B65" t="str">
            <v>FloorA%TYP</v>
          </cell>
          <cell r="C65">
            <v>0.43937391922213881</v>
          </cell>
          <cell r="D65">
            <v>0.43063730719145626</v>
          </cell>
          <cell r="E65">
            <v>0.12998877358640493</v>
          </cell>
          <cell r="F65">
            <v>0.23462323739305441</v>
          </cell>
          <cell r="G65">
            <v>5.5262096022427078E-2</v>
          </cell>
          <cell r="H65">
            <v>0.60637878991755256</v>
          </cell>
          <cell r="I65">
            <v>0.10373587666696588</v>
          </cell>
          <cell r="J65">
            <v>0.66429751499430445</v>
          </cell>
          <cell r="K65">
            <v>0.33570248500569549</v>
          </cell>
          <cell r="L65">
            <v>1</v>
          </cell>
          <cell r="M65">
            <v>0.84840559081310307</v>
          </cell>
          <cell r="N65">
            <v>0.15159440918689687</v>
          </cell>
          <cell r="O65">
            <v>1</v>
          </cell>
          <cell r="P65">
            <v>1</v>
          </cell>
          <cell r="Q65">
            <v>1</v>
          </cell>
          <cell r="R65">
            <v>1</v>
          </cell>
          <cell r="S65">
            <v>1</v>
          </cell>
          <cell r="T65">
            <v>1</v>
          </cell>
          <cell r="Y65" t="str">
            <v>Service</v>
          </cell>
        </row>
        <row r="66">
          <cell r="B66" t="str">
            <v>FloorA%REG</v>
          </cell>
          <cell r="C66">
            <v>9.6336650827114415E-2</v>
          </cell>
          <cell r="D66">
            <v>9.4421070712341362E-2</v>
          </cell>
          <cell r="E66">
            <v>2.8501198056107426E-2</v>
          </cell>
          <cell r="F66">
            <v>3.999473857861454E-2</v>
          </cell>
          <cell r="G66">
            <v>9.4201798094731004E-3</v>
          </cell>
          <cell r="H66">
            <v>0.10336555514209726</v>
          </cell>
          <cell r="I66">
            <v>1.7683198453051097E-2</v>
          </cell>
          <cell r="J66">
            <v>7.3255633922263544E-2</v>
          </cell>
          <cell r="K66">
            <v>3.701970546823774E-2</v>
          </cell>
          <cell r="L66">
            <v>0.13203580856943528</v>
          </cell>
          <cell r="M66">
            <v>1.9535504789016944E-2</v>
          </cell>
          <cell r="N66">
            <v>3.4906338887047794E-3</v>
          </cell>
          <cell r="O66">
            <v>1.5835296654172451E-2</v>
          </cell>
          <cell r="P66">
            <v>5.1068065124091046E-2</v>
          </cell>
          <cell r="Q66">
            <v>3.0978070527759683E-2</v>
          </cell>
          <cell r="R66">
            <v>3.7369486472404026E-2</v>
          </cell>
          <cell r="S66">
            <v>0.11013494038183547</v>
          </cell>
          <cell r="T66">
            <v>9.9554262623279946E-2</v>
          </cell>
          <cell r="Y66" t="str">
            <v>Grocery</v>
          </cell>
        </row>
        <row r="67">
          <cell r="B67" t="str">
            <v>ElecHt%TYP</v>
          </cell>
          <cell r="C67">
            <v>0.20943280302167308</v>
          </cell>
          <cell r="D67">
            <v>0.22131165109110185</v>
          </cell>
          <cell r="E67">
            <v>0.30640942705415353</v>
          </cell>
          <cell r="F67">
            <v>5.2995881766435368E-2</v>
          </cell>
          <cell r="G67">
            <v>1.0593107738682607E-2</v>
          </cell>
          <cell r="H67">
            <v>0.12006240959495594</v>
          </cell>
          <cell r="I67">
            <v>0.2732917310450087</v>
          </cell>
          <cell r="J67">
            <v>5.8369343906151915E-2</v>
          </cell>
          <cell r="K67">
            <v>0.1</v>
          </cell>
          <cell r="L67">
            <v>6.3929137015483993E-3</v>
          </cell>
          <cell r="M67">
            <v>3.9182634298973458E-2</v>
          </cell>
          <cell r="N67">
            <v>9.8940421863423066E-3</v>
          </cell>
          <cell r="O67">
            <v>3.0050555941853869E-2</v>
          </cell>
          <cell r="P67">
            <v>0.44679184687802564</v>
          </cell>
          <cell r="Q67">
            <v>0.08</v>
          </cell>
          <cell r="R67">
            <v>0.33985691133471541</v>
          </cell>
          <cell r="S67">
            <v>0.10640191237323121</v>
          </cell>
          <cell r="T67">
            <v>0.16939513747697868</v>
          </cell>
          <cell r="Y67" t="str">
            <v>Lodging</v>
          </cell>
        </row>
        <row r="68">
          <cell r="B68" t="str">
            <v>GasHt%TYP</v>
          </cell>
          <cell r="C68">
            <v>0.54037060186620078</v>
          </cell>
          <cell r="D68">
            <v>0.51430081857580845</v>
          </cell>
          <cell r="E68">
            <v>0.3275419203320854</v>
          </cell>
          <cell r="F68">
            <v>0.91606730000738101</v>
          </cell>
          <cell r="G68">
            <v>0.98322307122393326</v>
          </cell>
          <cell r="H68">
            <v>0.80985008893074606</v>
          </cell>
          <cell r="I68">
            <v>0.56717178566142912</v>
          </cell>
          <cell r="J68">
            <v>0.84777782221188291</v>
          </cell>
          <cell r="K68">
            <v>0.8</v>
          </cell>
          <cell r="L68">
            <v>0.98700382329725422</v>
          </cell>
          <cell r="M68">
            <v>0.46957192737561176</v>
          </cell>
          <cell r="N68">
            <v>0.86606113087441317</v>
          </cell>
          <cell r="O68">
            <v>0.79365284945968273</v>
          </cell>
          <cell r="P68">
            <v>0.24941748529786834</v>
          </cell>
          <cell r="Q68">
            <v>0.91</v>
          </cell>
          <cell r="R68">
            <v>0.40556621261939335</v>
          </cell>
          <cell r="S68">
            <v>0.77815390025512432</v>
          </cell>
          <cell r="T68">
            <v>0.7257160432726234</v>
          </cell>
          <cell r="Y68" t="str">
            <v>Office</v>
          </cell>
        </row>
        <row r="69">
          <cell r="B69" t="str">
            <v>HtPmpHt%TYP</v>
          </cell>
          <cell r="C69">
            <v>0.25019659511212627</v>
          </cell>
          <cell r="D69">
            <v>0.26438753033308959</v>
          </cell>
          <cell r="E69">
            <v>0.36604865261376096</v>
          </cell>
          <cell r="F69">
            <v>3.0936818226183656E-2</v>
          </cell>
          <cell r="G69">
            <v>6.1838210373840949E-3</v>
          </cell>
          <cell r="H69">
            <v>7.0087501474297986E-2</v>
          </cell>
          <cell r="I69">
            <v>0.15953648329356207</v>
          </cell>
          <cell r="J69">
            <v>9.3852833881965178E-2</v>
          </cell>
          <cell r="K69">
            <v>0.1</v>
          </cell>
          <cell r="L69">
            <v>6.6032630011973147E-3</v>
          </cell>
          <cell r="M69">
            <v>6.234756715808213E-2</v>
          </cell>
          <cell r="N69">
            <v>1.5743440192688529E-2</v>
          </cell>
          <cell r="O69">
            <v>0.17629659459846331</v>
          </cell>
          <cell r="P69">
            <v>0.30379066782410608</v>
          </cell>
          <cell r="Q69">
            <v>0.01</v>
          </cell>
          <cell r="R69">
            <v>0.25457687604589124</v>
          </cell>
          <cell r="S69">
            <v>0.11544418737164447</v>
          </cell>
          <cell r="T69">
            <v>0.104888819250398</v>
          </cell>
          <cell r="Y69" t="str">
            <v>Other</v>
          </cell>
        </row>
        <row r="70">
          <cell r="B70" t="str">
            <v>CoolSat%TYP</v>
          </cell>
          <cell r="C70">
            <v>0.76889412716362515</v>
          </cell>
          <cell r="D70">
            <v>0.9156533727398849</v>
          </cell>
          <cell r="E70">
            <v>0.85579006639653332</v>
          </cell>
          <cell r="F70">
            <v>0.95160006380782447</v>
          </cell>
          <cell r="G70">
            <v>0.98526989662125641</v>
          </cell>
          <cell r="H70">
            <v>0.65234151837252696</v>
          </cell>
          <cell r="I70">
            <v>0.66014461756611731</v>
          </cell>
          <cell r="J70">
            <v>0.69618308739231149</v>
          </cell>
          <cell r="K70">
            <v>0.75</v>
          </cell>
          <cell r="L70">
            <v>0.23</v>
          </cell>
          <cell r="M70">
            <v>0.89440943169321674</v>
          </cell>
          <cell r="N70">
            <v>0.91392039395838554</v>
          </cell>
          <cell r="O70">
            <v>0.9581056413122655</v>
          </cell>
          <cell r="P70">
            <v>0.82644591140120194</v>
          </cell>
          <cell r="Q70">
            <v>0.95</v>
          </cell>
          <cell r="R70">
            <v>0.82648440258098632</v>
          </cell>
          <cell r="S70">
            <v>0.77184416415983825</v>
          </cell>
          <cell r="T70">
            <v>0.71310077098671132</v>
          </cell>
          <cell r="Y70" t="str">
            <v>Residential Care</v>
          </cell>
        </row>
        <row r="71">
          <cell r="B71" t="str">
            <v>CoolSat%ACT</v>
          </cell>
          <cell r="C71">
            <v>0.84338963005455969</v>
          </cell>
          <cell r="F71">
            <v>0.74176230846303148</v>
          </cell>
          <cell r="J71">
            <v>0.7142495586900468</v>
          </cell>
          <cell r="L71">
            <v>0.23</v>
          </cell>
          <cell r="M71">
            <v>0.8973671844904727</v>
          </cell>
          <cell r="O71">
            <v>0.96</v>
          </cell>
          <cell r="P71">
            <v>0.88</v>
          </cell>
          <cell r="Q71">
            <v>0.88824220129049314</v>
          </cell>
          <cell r="S71">
            <v>0.77184416415983825</v>
          </cell>
          <cell r="T71">
            <v>0.71310077098671132</v>
          </cell>
          <cell r="Y71" t="str">
            <v>Retail</v>
          </cell>
        </row>
        <row r="72">
          <cell r="B72" t="str">
            <v>PackRT%TYP</v>
          </cell>
          <cell r="C72">
            <v>0.15</v>
          </cell>
          <cell r="D72">
            <v>0.75000000000000011</v>
          </cell>
          <cell r="E72">
            <v>0.95</v>
          </cell>
          <cell r="F72">
            <v>0.90880480523807783</v>
          </cell>
          <cell r="G72">
            <v>0.72388464763320426</v>
          </cell>
          <cell r="H72">
            <v>0.72388464763320426</v>
          </cell>
          <cell r="I72">
            <v>0.21126457727609282</v>
          </cell>
          <cell r="J72">
            <v>0.38624918003188907</v>
          </cell>
          <cell r="K72">
            <v>0.24174716638708693</v>
          </cell>
          <cell r="L72">
            <v>0.31046750131883327</v>
          </cell>
          <cell r="M72">
            <v>0.90000000000000013</v>
          </cell>
          <cell r="N72">
            <v>0.9</v>
          </cell>
          <cell r="O72">
            <v>0.76718515286285394</v>
          </cell>
          <cell r="P72">
            <v>0.41303161997673743</v>
          </cell>
          <cell r="Q72">
            <v>0.10000000000000002</v>
          </cell>
          <cell r="R72">
            <v>0.68523001119875304</v>
          </cell>
          <cell r="S72">
            <v>0.5</v>
          </cell>
          <cell r="T72">
            <v>0.49999999999999994</v>
          </cell>
          <cell r="Y72" t="str">
            <v>School</v>
          </cell>
        </row>
        <row r="73">
          <cell r="B73" t="str">
            <v>PackRT%ACT</v>
          </cell>
          <cell r="C73">
            <v>0.48584254414953354</v>
          </cell>
          <cell r="F73">
            <v>0.63256057960735712</v>
          </cell>
          <cell r="J73">
            <v>0.33750430289294164</v>
          </cell>
          <cell r="L73">
            <v>0.31046750131883327</v>
          </cell>
          <cell r="M73">
            <v>0.90000000000000013</v>
          </cell>
          <cell r="O73">
            <v>0.76718515286285394</v>
          </cell>
          <cell r="P73">
            <v>0.41303161997673743</v>
          </cell>
          <cell r="Q73">
            <v>0.49902981576861571</v>
          </cell>
          <cell r="S73">
            <v>0.5</v>
          </cell>
          <cell r="T73">
            <v>0.49999999999999994</v>
          </cell>
          <cell r="Y73" t="str">
            <v>Warehouse</v>
          </cell>
        </row>
        <row r="74">
          <cell r="B74" t="str">
            <v>BuiltUp%TYP</v>
          </cell>
          <cell r="C74">
            <v>0.72977881629252517</v>
          </cell>
          <cell r="D74">
            <v>0.46635610541382266</v>
          </cell>
          <cell r="E74">
            <v>0.18010901567330029</v>
          </cell>
          <cell r="F74">
            <v>0.2530928144049488</v>
          </cell>
          <cell r="G74">
            <v>0.2530928144049488</v>
          </cell>
          <cell r="H74">
            <v>0.2530928144049488</v>
          </cell>
          <cell r="I74">
            <v>0.2530928144049488</v>
          </cell>
          <cell r="J74">
            <v>0.45489304544728093</v>
          </cell>
          <cell r="K74">
            <v>0.45489304544728093</v>
          </cell>
          <cell r="L74">
            <v>0.68364721407456519</v>
          </cell>
          <cell r="M74">
            <v>0.20656505403266429</v>
          </cell>
          <cell r="N74">
            <v>0.20656505403266429</v>
          </cell>
          <cell r="O74">
            <v>5.8610362131589246E-2</v>
          </cell>
          <cell r="P74">
            <v>0.68482020855141457</v>
          </cell>
          <cell r="Q74">
            <v>0.53</v>
          </cell>
          <cell r="R74">
            <v>0.53</v>
          </cell>
          <cell r="S74">
            <v>0.27379566641599334</v>
          </cell>
          <cell r="T74">
            <v>0.46120223430256424</v>
          </cell>
          <cell r="U74" t="str">
            <v>Used for the Com-EM measure</v>
          </cell>
          <cell r="Y74" t="str">
            <v>Grand Total</v>
          </cell>
        </row>
        <row r="75">
          <cell r="B75" t="str">
            <v>BuiltUp%ACT</v>
          </cell>
          <cell r="C75">
            <v>0.54488826616667041</v>
          </cell>
          <cell r="F75">
            <v>0.2530928144049488</v>
          </cell>
          <cell r="J75">
            <v>0.45489304544728093</v>
          </cell>
          <cell r="L75">
            <v>5.6541361272701172E-2</v>
          </cell>
          <cell r="M75">
            <v>8.7372210868686184E-2</v>
          </cell>
          <cell r="O75">
            <v>5.746308592387158E-2</v>
          </cell>
          <cell r="P75">
            <v>0.3949582335084047</v>
          </cell>
          <cell r="Q75">
            <v>0.5613264299674231</v>
          </cell>
          <cell r="S75">
            <v>0.1626109504520151</v>
          </cell>
          <cell r="T75">
            <v>0.43951473469986913</v>
          </cell>
        </row>
        <row r="76">
          <cell r="B76" t="str">
            <v>VAV%TYP</v>
          </cell>
          <cell r="C76">
            <v>0.51262713316969566</v>
          </cell>
          <cell r="D76">
            <v>4.1499660445302379E-2</v>
          </cell>
          <cell r="E76">
            <v>0</v>
          </cell>
          <cell r="F76">
            <v>2.6890823009043455E-2</v>
          </cell>
          <cell r="G76">
            <v>0</v>
          </cell>
          <cell r="H76">
            <v>0</v>
          </cell>
          <cell r="I76">
            <v>0</v>
          </cell>
          <cell r="J76">
            <v>0.10981313781515661</v>
          </cell>
          <cell r="K76">
            <v>0.33</v>
          </cell>
          <cell r="L76">
            <v>0</v>
          </cell>
          <cell r="M76">
            <v>0</v>
          </cell>
          <cell r="N76">
            <v>0</v>
          </cell>
          <cell r="O76">
            <v>0</v>
          </cell>
          <cell r="P76">
            <v>3.1992300477329191E-2</v>
          </cell>
          <cell r="Q76">
            <v>0.33</v>
          </cell>
          <cell r="R76">
            <v>2.5191285207445461E-2</v>
          </cell>
          <cell r="S76">
            <v>0.15375982167586399</v>
          </cell>
          <cell r="T76">
            <v>0.18076091596327465</v>
          </cell>
          <cell r="U76">
            <v>0.13301950033749044</v>
          </cell>
        </row>
        <row r="77">
          <cell r="B77" t="str">
            <v>VAV%ACT</v>
          </cell>
          <cell r="C77">
            <v>0.35</v>
          </cell>
          <cell r="F77">
            <v>0.01</v>
          </cell>
          <cell r="J77">
            <v>0.11</v>
          </cell>
          <cell r="L77">
            <v>0</v>
          </cell>
          <cell r="M77">
            <v>0</v>
          </cell>
          <cell r="O77">
            <v>0</v>
          </cell>
          <cell r="P77">
            <v>0.04</v>
          </cell>
          <cell r="Q77">
            <v>0.21527670664708273</v>
          </cell>
          <cell r="S77">
            <v>0.17</v>
          </cell>
          <cell r="T77">
            <v>0.2</v>
          </cell>
          <cell r="U77" t="str">
            <v>See ECM-VAV workbook</v>
          </cell>
        </row>
        <row r="78">
          <cell r="B78" t="str">
            <v>LSYieldElecHt&amp;AC</v>
          </cell>
          <cell r="C78">
            <v>0.90457835398799891</v>
          </cell>
          <cell r="D78">
            <v>0.92072187100138758</v>
          </cell>
          <cell r="E78">
            <v>0.69260011261534127</v>
          </cell>
          <cell r="F78">
            <v>0.85080401212348655</v>
          </cell>
          <cell r="G78">
            <v>0.74734858139182614</v>
          </cell>
          <cell r="H78">
            <v>0.68828098220470324</v>
          </cell>
          <cell r="I78">
            <v>0.77581880028359507</v>
          </cell>
          <cell r="J78">
            <v>0.58961830873923127</v>
          </cell>
          <cell r="K78">
            <v>0.6725000000000001</v>
          </cell>
          <cell r="L78">
            <v>0.61</v>
          </cell>
          <cell r="M78">
            <v>0.85155275453545742</v>
          </cell>
          <cell r="N78">
            <v>0.73794885515417397</v>
          </cell>
          <cell r="O78">
            <v>0.4291621128262455</v>
          </cell>
          <cell r="P78">
            <v>0.68264459114012044</v>
          </cell>
          <cell r="Q78">
            <v>0.28950000000000004</v>
          </cell>
          <cell r="R78">
            <v>0.68264844025809879</v>
          </cell>
          <cell r="S78">
            <v>0.90490285805758242</v>
          </cell>
          <cell r="T78">
            <v>0.89844108480853846</v>
          </cell>
        </row>
        <row r="79">
          <cell r="B79" t="str">
            <v>LSYieldHtPmpHt&amp;AC</v>
          </cell>
          <cell r="C79">
            <v>1.02</v>
          </cell>
          <cell r="D79">
            <v>1.02</v>
          </cell>
          <cell r="E79">
            <v>0.95500000000000007</v>
          </cell>
          <cell r="F79">
            <v>1.0249999999999999</v>
          </cell>
          <cell r="G79">
            <v>0.96499999999999986</v>
          </cell>
          <cell r="H79">
            <v>0.92500000000000004</v>
          </cell>
          <cell r="I79">
            <v>0.97499999999999987</v>
          </cell>
          <cell r="J79">
            <v>0.8600000000000001</v>
          </cell>
          <cell r="K79">
            <v>0.95500000000000007</v>
          </cell>
          <cell r="L79">
            <v>0.80499999999999994</v>
          </cell>
          <cell r="M79">
            <v>0.9700000000000002</v>
          </cell>
          <cell r="N79">
            <v>0.94500000000000006</v>
          </cell>
          <cell r="O79">
            <v>0.72500000000000009</v>
          </cell>
          <cell r="P79">
            <v>0.90000000000000013</v>
          </cell>
          <cell r="Q79">
            <v>0.64999999999999991</v>
          </cell>
          <cell r="R79">
            <v>0.90000000000000013</v>
          </cell>
          <cell r="S79">
            <v>1.02</v>
          </cell>
          <cell r="T79">
            <v>1.02</v>
          </cell>
        </row>
        <row r="80">
          <cell r="B80" t="str">
            <v>LSYieldGasHt&amp;AC</v>
          </cell>
          <cell r="C80">
            <v>1.0677783539879988</v>
          </cell>
          <cell r="D80">
            <v>1.0839218710013874</v>
          </cell>
          <cell r="E80">
            <v>1.1187334459486746</v>
          </cell>
          <cell r="F80">
            <v>1.1500040121234862</v>
          </cell>
          <cell r="G80">
            <v>1.1372152480584925</v>
          </cell>
          <cell r="H80">
            <v>1.0418809822047033</v>
          </cell>
          <cell r="I80">
            <v>1.0568854669502619</v>
          </cell>
          <cell r="J80">
            <v>1.0248183087392313</v>
          </cell>
          <cell r="K80">
            <v>1.0986333333333334</v>
          </cell>
          <cell r="L80">
            <v>0.96360000000000012</v>
          </cell>
          <cell r="M80">
            <v>1.051019421202124</v>
          </cell>
          <cell r="N80">
            <v>1.0915488551541741</v>
          </cell>
          <cell r="O80">
            <v>0.96409544615957854</v>
          </cell>
          <cell r="P80">
            <v>1.0453112578067871</v>
          </cell>
          <cell r="Q80">
            <v>0.94230000000000003</v>
          </cell>
          <cell r="R80">
            <v>1.0453151069247655</v>
          </cell>
          <cell r="S80">
            <v>1.0681028580575822</v>
          </cell>
          <cell r="T80">
            <v>1.0616410848085382</v>
          </cell>
          <cell r="Y80" t="str">
            <v>Row Labels</v>
          </cell>
        </row>
        <row r="81">
          <cell r="B81" t="str">
            <v>LSYieldElecHt</v>
          </cell>
          <cell r="C81">
            <v>0.82000000000000006</v>
          </cell>
          <cell r="D81">
            <v>0.82000000000000006</v>
          </cell>
          <cell r="E81">
            <v>0.53</v>
          </cell>
          <cell r="F81">
            <v>0.66999999999999993</v>
          </cell>
          <cell r="G81">
            <v>0.57000000000000006</v>
          </cell>
          <cell r="H81">
            <v>0.61</v>
          </cell>
          <cell r="I81">
            <v>0.69</v>
          </cell>
          <cell r="J81">
            <v>0.52</v>
          </cell>
          <cell r="K81">
            <v>0.53</v>
          </cell>
          <cell r="L81">
            <v>0.61</v>
          </cell>
          <cell r="M81">
            <v>0.78</v>
          </cell>
          <cell r="N81">
            <v>0.61</v>
          </cell>
          <cell r="O81">
            <v>0.41000000000000003</v>
          </cell>
          <cell r="P81">
            <v>0.6</v>
          </cell>
          <cell r="Q81">
            <v>0.28000000000000003</v>
          </cell>
          <cell r="R81">
            <v>0.6</v>
          </cell>
          <cell r="S81">
            <v>0.82000000000000006</v>
          </cell>
          <cell r="T81">
            <v>0.82000000000000006</v>
          </cell>
          <cell r="Y81" t="str">
            <v>Assembly</v>
          </cell>
        </row>
        <row r="82">
          <cell r="B82" t="str">
            <v>LSYieldGasHt</v>
          </cell>
          <cell r="C82">
            <v>0.98319999999999996</v>
          </cell>
          <cell r="D82">
            <v>0.98319999999999996</v>
          </cell>
          <cell r="E82">
            <v>0.95613333333333328</v>
          </cell>
          <cell r="F82">
            <v>0.96919999999999995</v>
          </cell>
          <cell r="G82">
            <v>0.95986666666666665</v>
          </cell>
          <cell r="H82">
            <v>0.96360000000000001</v>
          </cell>
          <cell r="I82">
            <v>0.97106666666666663</v>
          </cell>
          <cell r="J82">
            <v>0.95520000000000005</v>
          </cell>
          <cell r="K82">
            <v>0.95613333333333328</v>
          </cell>
          <cell r="L82">
            <v>0.96360000000000001</v>
          </cell>
          <cell r="M82">
            <v>0.97946666666666671</v>
          </cell>
          <cell r="N82">
            <v>0.96360000000000001</v>
          </cell>
          <cell r="O82">
            <v>0.94493333333333329</v>
          </cell>
          <cell r="P82">
            <v>0.96266666666666667</v>
          </cell>
          <cell r="Q82">
            <v>0.93279999999999996</v>
          </cell>
          <cell r="R82">
            <v>0.96266666666666667</v>
          </cell>
          <cell r="S82">
            <v>0.98319999999999996</v>
          </cell>
          <cell r="T82">
            <v>0.98319999999999996</v>
          </cell>
          <cell r="Y82" t="str">
            <v>&lt;5,001</v>
          </cell>
        </row>
        <row r="83">
          <cell r="B83" t="str">
            <v>LSYieldThermsGasHt</v>
          </cell>
          <cell r="C83">
            <v>-8.1887999999999996E-3</v>
          </cell>
          <cell r="D83">
            <v>-8.1887999999999996E-3</v>
          </cell>
          <cell r="E83">
            <v>-2.1381866666666666E-2</v>
          </cell>
          <cell r="F83">
            <v>-1.50128E-2</v>
          </cell>
          <cell r="G83">
            <v>-1.9562133333333332E-2</v>
          </cell>
          <cell r="H83">
            <v>-1.7742399999999998E-2</v>
          </cell>
          <cell r="I83">
            <v>-1.4102933333333333E-2</v>
          </cell>
          <cell r="J83">
            <v>-2.18368E-2</v>
          </cell>
          <cell r="K83">
            <v>-2.1381866666666666E-2</v>
          </cell>
          <cell r="L83">
            <v>-1.7742399999999998E-2</v>
          </cell>
          <cell r="M83">
            <v>-1.0008533333333333E-2</v>
          </cell>
          <cell r="N83">
            <v>-1.7742399999999998E-2</v>
          </cell>
          <cell r="O83">
            <v>-2.6841066666666667E-2</v>
          </cell>
          <cell r="P83">
            <v>-1.8197333333333333E-2</v>
          </cell>
          <cell r="Q83">
            <v>-3.2755199999999998E-2</v>
          </cell>
          <cell r="R83">
            <v>-1.8197333333333333E-2</v>
          </cell>
          <cell r="S83">
            <v>-8.1887999999999996E-3</v>
          </cell>
          <cell r="T83">
            <v>-8.1887999999999996E-3</v>
          </cell>
          <cell r="Y83" t="str">
            <v>5,001-20,000</v>
          </cell>
        </row>
        <row r="84">
          <cell r="B84" t="str">
            <v>LSYieldThermsGasHt&amp;AC</v>
          </cell>
          <cell r="C84">
            <v>-8.1887999999999996E-3</v>
          </cell>
          <cell r="D84">
            <v>-8.1887999999999996E-3</v>
          </cell>
          <cell r="E84">
            <v>-2.1381866666666666E-2</v>
          </cell>
          <cell r="F84">
            <v>-1.50128E-2</v>
          </cell>
          <cell r="G84">
            <v>-1.9562133333333332E-2</v>
          </cell>
          <cell r="H84">
            <v>-1.7742399999999998E-2</v>
          </cell>
          <cell r="I84">
            <v>-1.4102933333333333E-2</v>
          </cell>
          <cell r="J84">
            <v>-2.18368E-2</v>
          </cell>
          <cell r="K84">
            <v>-2.1381866666666666E-2</v>
          </cell>
          <cell r="L84">
            <v>-1.7742399999999998E-2</v>
          </cell>
          <cell r="M84">
            <v>-1.0008533333333333E-2</v>
          </cell>
          <cell r="N84">
            <v>-1.7742399999999998E-2</v>
          </cell>
          <cell r="O84">
            <v>-2.6841066666666667E-2</v>
          </cell>
          <cell r="P84">
            <v>-1.8197333333333333E-2</v>
          </cell>
          <cell r="Q84">
            <v>-3.2755199999999998E-2</v>
          </cell>
          <cell r="R84">
            <v>-1.8197333333333333E-2</v>
          </cell>
          <cell r="S84">
            <v>-8.1887999999999996E-3</v>
          </cell>
          <cell r="T84">
            <v>-8.1887999999999996E-3</v>
          </cell>
          <cell r="Y84" t="str">
            <v>20,001-50,000</v>
          </cell>
        </row>
        <row r="85">
          <cell r="B85" t="str">
            <v>LPDAdjust</v>
          </cell>
          <cell r="C85">
            <v>1</v>
          </cell>
          <cell r="D85">
            <v>1</v>
          </cell>
          <cell r="E85">
            <v>1</v>
          </cell>
          <cell r="F85">
            <v>1</v>
          </cell>
          <cell r="G85">
            <v>1</v>
          </cell>
          <cell r="H85">
            <v>1</v>
          </cell>
          <cell r="I85">
            <v>1</v>
          </cell>
          <cell r="J85">
            <v>1</v>
          </cell>
          <cell r="K85">
            <v>1</v>
          </cell>
          <cell r="L85">
            <v>1</v>
          </cell>
          <cell r="M85">
            <v>1</v>
          </cell>
          <cell r="N85">
            <v>1</v>
          </cell>
          <cell r="O85">
            <v>1</v>
          </cell>
          <cell r="P85">
            <v>1</v>
          </cell>
          <cell r="Q85">
            <v>1</v>
          </cell>
          <cell r="R85">
            <v>1</v>
          </cell>
          <cell r="S85">
            <v>1</v>
          </cell>
          <cell r="T85">
            <v>1</v>
          </cell>
          <cell r="Y85" t="str">
            <v>50,001-100,000</v>
          </cell>
        </row>
        <row r="86">
          <cell r="B86" t="str">
            <v>Chiller%TYP</v>
          </cell>
          <cell r="C86">
            <v>0.58498758462529865</v>
          </cell>
          <cell r="D86">
            <v>8.7818054713883376E-2</v>
          </cell>
          <cell r="E86">
            <v>0</v>
          </cell>
          <cell r="F86">
            <v>0.09</v>
          </cell>
          <cell r="G86">
            <v>0</v>
          </cell>
          <cell r="H86">
            <v>0</v>
          </cell>
          <cell r="I86">
            <v>0</v>
          </cell>
          <cell r="J86">
            <v>0.4348146874874485</v>
          </cell>
          <cell r="K86">
            <v>0.56010354277348595</v>
          </cell>
          <cell r="L86">
            <v>0</v>
          </cell>
          <cell r="M86">
            <v>0.15653169058088007</v>
          </cell>
          <cell r="N86">
            <v>0</v>
          </cell>
          <cell r="O86">
            <v>0</v>
          </cell>
          <cell r="P86">
            <v>0.15653169058088007</v>
          </cell>
          <cell r="Q86">
            <v>0.40098917705864051</v>
          </cell>
          <cell r="R86">
            <v>6.7888585236503013E-2</v>
          </cell>
          <cell r="S86">
            <v>0.17470421367705091</v>
          </cell>
          <cell r="T86">
            <v>0.1656240064846628</v>
          </cell>
          <cell r="Y86" t="str">
            <v>100,001+</v>
          </cell>
        </row>
        <row r="87">
          <cell r="B87" t="str">
            <v>HOURSLght</v>
          </cell>
          <cell r="C87">
            <v>3300</v>
          </cell>
          <cell r="D87">
            <v>2800</v>
          </cell>
          <cell r="E87">
            <v>2600</v>
          </cell>
          <cell r="F87">
            <v>6200</v>
          </cell>
          <cell r="G87">
            <v>3800</v>
          </cell>
          <cell r="H87">
            <v>3800</v>
          </cell>
          <cell r="I87">
            <v>2800</v>
          </cell>
          <cell r="J87">
            <v>2700</v>
          </cell>
          <cell r="K87">
            <v>3600</v>
          </cell>
          <cell r="L87">
            <v>2700</v>
          </cell>
          <cell r="M87">
            <v>7300</v>
          </cell>
          <cell r="N87">
            <v>6800</v>
          </cell>
          <cell r="O87">
            <v>5400</v>
          </cell>
          <cell r="P87">
            <v>3000</v>
          </cell>
          <cell r="Q87">
            <v>6400</v>
          </cell>
          <cell r="R87">
            <v>5700</v>
          </cell>
          <cell r="S87">
            <v>3000</v>
          </cell>
          <cell r="T87">
            <v>4100</v>
          </cell>
          <cell r="Y87" t="str">
            <v>Grocery</v>
          </cell>
        </row>
        <row r="88">
          <cell r="B88" t="str">
            <v>UnCondArea%TYP</v>
          </cell>
          <cell r="C88">
            <v>9.7915019519809049E-2</v>
          </cell>
          <cell r="D88">
            <v>2.2419448966079808E-2</v>
          </cell>
          <cell r="E88">
            <v>7.0265950135785918E-2</v>
          </cell>
          <cell r="F88">
            <v>1.9928358103564997E-2</v>
          </cell>
          <cell r="G88">
            <v>0.96021448828880007</v>
          </cell>
          <cell r="H88">
            <v>1.682861062838684E-2</v>
          </cell>
          <cell r="I88">
            <v>0.24046941503104796</v>
          </cell>
          <cell r="J88">
            <v>9.3965911445071555E-3</v>
          </cell>
          <cell r="K88">
            <v>9.3350590462247668E-2</v>
          </cell>
          <cell r="L88">
            <v>0.23147891652780339</v>
          </cell>
          <cell r="M88">
            <v>3.4175742327895269E-2</v>
          </cell>
          <cell r="N88">
            <v>5.7197564623818434E-2</v>
          </cell>
          <cell r="O88">
            <v>0.11219535867382037</v>
          </cell>
          <cell r="P88">
            <v>4.431584636138023E-2</v>
          </cell>
          <cell r="Q88">
            <v>7.2657454104040925E-2</v>
          </cell>
          <cell r="R88">
            <v>3.2474970371947381E-2</v>
          </cell>
          <cell r="S88">
            <v>8.1305475226007548E-2</v>
          </cell>
          <cell r="T88">
            <v>0.1783274256014224</v>
          </cell>
          <cell r="Y88" t="str">
            <v>&lt;5,001</v>
          </cell>
        </row>
        <row r="89">
          <cell r="B89" t="str">
            <v>RTEcono%TYP</v>
          </cell>
          <cell r="C89">
            <v>0.76153165389450173</v>
          </cell>
          <cell r="D89">
            <v>0.30073914524177386</v>
          </cell>
          <cell r="E89">
            <v>1.1359292164334371</v>
          </cell>
          <cell r="F89">
            <v>0.6263769264185407</v>
          </cell>
          <cell r="G89">
            <v>5.9822174868305114</v>
          </cell>
          <cell r="H89">
            <v>0.14273935163045462</v>
          </cell>
          <cell r="I89">
            <v>1.788329150005399</v>
          </cell>
          <cell r="J89">
            <v>0.87933859533450087</v>
          </cell>
          <cell r="K89">
            <v>0.87302047036538133</v>
          </cell>
          <cell r="L89">
            <v>0.54576541658209587</v>
          </cell>
          <cell r="M89">
            <v>0.76125181103107264</v>
          </cell>
          <cell r="N89">
            <v>1.2711829434238073</v>
          </cell>
          <cell r="O89">
            <v>0.77847937636462106</v>
          </cell>
          <cell r="P89">
            <v>0.79264014660550641</v>
          </cell>
          <cell r="Q89">
            <v>0.56873556010588189</v>
          </cell>
          <cell r="R89">
            <v>0.97419410677203033</v>
          </cell>
          <cell r="S89">
            <v>0.34099838347588574</v>
          </cell>
          <cell r="T89">
            <v>0.74814105584849844</v>
          </cell>
          <cell r="Y89" t="str">
            <v>5,001-20,000</v>
          </cell>
        </row>
        <row r="90">
          <cell r="B90" t="str">
            <v>DCV%TYP</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Y90" t="str">
            <v>20,001-50,000</v>
          </cell>
        </row>
        <row r="91">
          <cell r="B91" t="str">
            <v>FloorA%PRE2006</v>
          </cell>
          <cell r="C91">
            <v>1</v>
          </cell>
          <cell r="D91">
            <v>1</v>
          </cell>
          <cell r="E91">
            <v>1</v>
          </cell>
          <cell r="F91">
            <v>1</v>
          </cell>
          <cell r="G91">
            <v>1</v>
          </cell>
          <cell r="H91">
            <v>1</v>
          </cell>
          <cell r="I91">
            <v>1</v>
          </cell>
          <cell r="J91">
            <v>1</v>
          </cell>
          <cell r="K91">
            <v>1</v>
          </cell>
          <cell r="L91">
            <v>1</v>
          </cell>
          <cell r="M91">
            <v>1</v>
          </cell>
          <cell r="N91">
            <v>1</v>
          </cell>
          <cell r="O91">
            <v>1</v>
          </cell>
          <cell r="P91">
            <v>1</v>
          </cell>
          <cell r="Q91">
            <v>1</v>
          </cell>
          <cell r="R91">
            <v>1</v>
          </cell>
          <cell r="S91">
            <v>1</v>
          </cell>
          <cell r="T91">
            <v>1</v>
          </cell>
          <cell r="Y91" t="str">
            <v>50,001-100,000</v>
          </cell>
        </row>
        <row r="92">
          <cell r="B92" t="str">
            <v>ElecHtComplex%TYP</v>
          </cell>
          <cell r="C92">
            <v>0.5032832003318185</v>
          </cell>
          <cell r="D92">
            <v>0.19754737317540033</v>
          </cell>
          <cell r="E92">
            <v>0.86680076087505498</v>
          </cell>
          <cell r="F92">
            <v>0.55985400698948606</v>
          </cell>
          <cell r="G92">
            <v>0.27993945466265791</v>
          </cell>
          <cell r="H92">
            <v>6.3780434281586118E-3</v>
          </cell>
          <cell r="I92">
            <v>7.5948256913972667E-2</v>
          </cell>
          <cell r="J92">
            <v>5.7319205981493631E-3</v>
          </cell>
          <cell r="K92">
            <v>0.1674709592892723</v>
          </cell>
          <cell r="L92">
            <v>0.2825536194003897</v>
          </cell>
          <cell r="M92">
            <v>4.5624616007740176E-2</v>
          </cell>
          <cell r="N92">
            <v>7.6358748772797594E-2</v>
          </cell>
          <cell r="O92">
            <v>4.608640117832314E-2</v>
          </cell>
          <cell r="P92">
            <v>6.824640339652556E-3</v>
          </cell>
          <cell r="Q92">
            <v>4.9104329398647659E-2</v>
          </cell>
          <cell r="R92">
            <v>0.38331290029021892</v>
          </cell>
          <cell r="S92">
            <v>2.7101825075335855E-2</v>
          </cell>
          <cell r="T92">
            <v>0.37020773554855302</v>
          </cell>
          <cell r="Y92" t="str">
            <v>Lodging</v>
          </cell>
        </row>
        <row r="93">
          <cell r="B93" t="str">
            <v>GasHtComplex%TYP</v>
          </cell>
          <cell r="C93">
            <v>0.20660069118679708</v>
          </cell>
          <cell r="D93">
            <v>8.1094349688734371E-2</v>
          </cell>
          <cell r="E93">
            <v>0.35582677148761982</v>
          </cell>
          <cell r="F93">
            <v>0.1044245964626806</v>
          </cell>
          <cell r="G93">
            <v>2.3584345085431835</v>
          </cell>
          <cell r="H93">
            <v>5.3733753736439169E-2</v>
          </cell>
          <cell r="I93">
            <v>0.63984903516178027</v>
          </cell>
          <cell r="J93">
            <v>0.78301794007178116</v>
          </cell>
          <cell r="K93">
            <v>0.76612829592366649</v>
          </cell>
          <cell r="L93">
            <v>0.46415256294736318</v>
          </cell>
          <cell r="M93">
            <v>0.80876894218964157</v>
          </cell>
          <cell r="N93">
            <v>1.3535803668226631</v>
          </cell>
          <cell r="O93">
            <v>0.81695481938952597</v>
          </cell>
          <cell r="P93">
            <v>0.50395980482161595</v>
          </cell>
          <cell r="Q93">
            <v>0.55637445480169345</v>
          </cell>
          <cell r="R93">
            <v>0.62059668380791444</v>
          </cell>
          <cell r="S93">
            <v>0.29812007582869443</v>
          </cell>
          <cell r="T93">
            <v>0.80164122055359432</v>
          </cell>
          <cell r="Y93" t="str">
            <v>&lt;5,001</v>
          </cell>
        </row>
        <row r="94">
          <cell r="B94" t="str">
            <v>HtPmpHtComplex%TYP</v>
          </cell>
          <cell r="C94">
            <v>0.10615620032939298</v>
          </cell>
          <cell r="D94">
            <v>4.1668147292671175E-2</v>
          </cell>
          <cell r="E94">
            <v>0.18283200225331492</v>
          </cell>
          <cell r="F94">
            <v>0</v>
          </cell>
          <cell r="G94">
            <v>4.7478913313233901</v>
          </cell>
          <cell r="H94">
            <v>0.10817430911927059</v>
          </cell>
          <cell r="I94">
            <v>1.2881144998496472</v>
          </cell>
          <cell r="J94">
            <v>0.15081528786933984</v>
          </cell>
          <cell r="K94">
            <v>0</v>
          </cell>
          <cell r="L94">
            <v>0</v>
          </cell>
          <cell r="M94">
            <v>0</v>
          </cell>
          <cell r="N94">
            <v>0</v>
          </cell>
          <cell r="O94">
            <v>0</v>
          </cell>
          <cell r="P94">
            <v>0.37562111375905877</v>
          </cell>
          <cell r="Q94">
            <v>0</v>
          </cell>
          <cell r="R94">
            <v>7.8697678201352483E-2</v>
          </cell>
          <cell r="S94">
            <v>0.21681460060268684</v>
          </cell>
          <cell r="T94">
            <v>1.6881662956934655E-2</v>
          </cell>
          <cell r="Y94" t="str">
            <v>5,001-20,000</v>
          </cell>
        </row>
        <row r="95">
          <cell r="B95" t="str">
            <v>ElecHtSimple%TYP</v>
          </cell>
          <cell r="C95">
            <v>4.0797924799920442E-2</v>
          </cell>
          <cell r="D95">
            <v>7.6712861227859655E-2</v>
          </cell>
          <cell r="E95">
            <v>0.34629799136803036</v>
          </cell>
          <cell r="F95">
            <v>9.4309392161736581E-3</v>
          </cell>
          <cell r="G95">
            <v>0.69059559002041793</v>
          </cell>
          <cell r="H95">
            <v>1.5734290365582385E-2</v>
          </cell>
          <cell r="I95">
            <v>2.5440517986723227E-2</v>
          </cell>
          <cell r="J95">
            <v>0.22063592478811844</v>
          </cell>
          <cell r="K95">
            <v>0.18449615182326545</v>
          </cell>
          <cell r="L95">
            <v>8.5433934010164969E-2</v>
          </cell>
          <cell r="M95">
            <v>0.16530992978116466</v>
          </cell>
          <cell r="N95">
            <v>0.25453305525840347</v>
          </cell>
          <cell r="O95">
            <v>0.12256320691297852</v>
          </cell>
          <cell r="P95">
            <v>0.1701802809460462</v>
          </cell>
          <cell r="Q95">
            <v>7.6529644813639303E-2</v>
          </cell>
          <cell r="R95">
            <v>8.48023297102318E-2</v>
          </cell>
          <cell r="S95">
            <v>5.420365015067171E-2</v>
          </cell>
          <cell r="T95">
            <v>0.20159565917150249</v>
          </cell>
          <cell r="Y95" t="str">
            <v>20,001-50,000</v>
          </cell>
        </row>
        <row r="96">
          <cell r="B96" t="str">
            <v>GasHtSimple%TYP</v>
          </cell>
          <cell r="C96">
            <v>0.59645431773702551</v>
          </cell>
          <cell r="D96">
            <v>0.1751178154419134</v>
          </cell>
          <cell r="E96">
            <v>0.75286988633676921</v>
          </cell>
          <cell r="F96">
            <v>0.64860578911648015</v>
          </cell>
          <cell r="G96">
            <v>5.6577342666812855</v>
          </cell>
          <cell r="H96">
            <v>0.12890385494734588</v>
          </cell>
          <cell r="I96">
            <v>1.9096725785396154</v>
          </cell>
          <cell r="J96">
            <v>0.52936088218329336</v>
          </cell>
          <cell r="K96">
            <v>0.62505513690134207</v>
          </cell>
          <cell r="L96">
            <v>0.58469762342365594</v>
          </cell>
          <cell r="M96">
            <v>0.61036689721002213</v>
          </cell>
          <cell r="N96">
            <v>1.0544939191728511</v>
          </cell>
          <cell r="O96">
            <v>0.61909451647609204</v>
          </cell>
          <cell r="P96">
            <v>0.45909862320270312</v>
          </cell>
          <cell r="Q96">
            <v>0.45317337392380236</v>
          </cell>
          <cell r="R96">
            <v>0.90611735760696566</v>
          </cell>
          <cell r="S96">
            <v>0.43362920120537368</v>
          </cell>
          <cell r="T96">
            <v>0.74796368935357349</v>
          </cell>
          <cell r="Y96" t="str">
            <v>50,001-100,000</v>
          </cell>
        </row>
        <row r="97">
          <cell r="B97" t="str">
            <v>HtPmpHtSimple%TYP</v>
          </cell>
          <cell r="C97">
            <v>0.17870625346146285</v>
          </cell>
          <cell r="D97">
            <v>6.8447165702795604E-2</v>
          </cell>
          <cell r="E97">
            <v>0.30615112501091846</v>
          </cell>
          <cell r="F97">
            <v>5.1813731069269E-3</v>
          </cell>
          <cell r="G97">
            <v>1.0540200575293213</v>
          </cell>
          <cell r="H97">
            <v>2.4014427366708016E-2</v>
          </cell>
          <cell r="I97">
            <v>6.8798695399061222E-2</v>
          </cell>
          <cell r="J97">
            <v>0.18966230747930371</v>
          </cell>
          <cell r="K97">
            <v>0.12395461589786912</v>
          </cell>
          <cell r="L97">
            <v>7.657462491393198E-2</v>
          </cell>
          <cell r="M97">
            <v>7.8716731206195087E-2</v>
          </cell>
          <cell r="N97">
            <v>0.131827238222366</v>
          </cell>
          <cell r="O97">
            <v>0.12138349717877855</v>
          </cell>
          <cell r="P97">
            <v>0.25705457832201301</v>
          </cell>
          <cell r="Q97">
            <v>7.5760149152072437E-2</v>
          </cell>
          <cell r="R97">
            <v>9.1579325081048712E-2</v>
          </cell>
          <cell r="S97">
            <v>5.420365015067171E-2</v>
          </cell>
          <cell r="T97">
            <v>0.23925913126345466</v>
          </cell>
          <cell r="Y97" t="str">
            <v>100,001+</v>
          </cell>
        </row>
        <row r="98">
          <cell r="B98" t="str">
            <v>ChillerAir%TYP</v>
          </cell>
          <cell r="C98">
            <v>0.5</v>
          </cell>
          <cell r="D98">
            <v>0.8</v>
          </cell>
          <cell r="E98">
            <v>0.8</v>
          </cell>
          <cell r="F98">
            <v>0.8</v>
          </cell>
          <cell r="G98">
            <v>0.8</v>
          </cell>
          <cell r="H98">
            <v>0.8</v>
          </cell>
          <cell r="I98">
            <v>0.8</v>
          </cell>
          <cell r="J98">
            <v>0.8</v>
          </cell>
          <cell r="K98">
            <v>0.8</v>
          </cell>
          <cell r="L98">
            <v>0.9</v>
          </cell>
          <cell r="M98">
            <v>1</v>
          </cell>
          <cell r="N98">
            <v>1</v>
          </cell>
          <cell r="O98">
            <v>1</v>
          </cell>
          <cell r="P98">
            <v>0.2</v>
          </cell>
          <cell r="Q98">
            <v>0.2</v>
          </cell>
          <cell r="R98">
            <v>0.6</v>
          </cell>
          <cell r="S98">
            <v>0.6</v>
          </cell>
          <cell r="T98">
            <v>0.2</v>
          </cell>
          <cell r="Y98" t="str">
            <v>Office</v>
          </cell>
        </row>
        <row r="99">
          <cell r="B99" t="str">
            <v>ChillerWater%TYP</v>
          </cell>
          <cell r="C99">
            <v>0.5</v>
          </cell>
          <cell r="D99">
            <v>0.2</v>
          </cell>
          <cell r="E99">
            <v>0.2</v>
          </cell>
          <cell r="F99">
            <v>0.2</v>
          </cell>
          <cell r="G99">
            <v>0.2</v>
          </cell>
          <cell r="H99">
            <v>0.2</v>
          </cell>
          <cell r="I99">
            <v>0.2</v>
          </cell>
          <cell r="J99">
            <v>0.2</v>
          </cell>
          <cell r="K99">
            <v>0.2</v>
          </cell>
          <cell r="L99">
            <v>0.1</v>
          </cell>
          <cell r="M99">
            <v>0</v>
          </cell>
          <cell r="N99">
            <v>0</v>
          </cell>
          <cell r="O99">
            <v>0</v>
          </cell>
          <cell r="P99">
            <v>0.8</v>
          </cell>
          <cell r="Q99">
            <v>0.8</v>
          </cell>
          <cell r="R99">
            <v>0.4</v>
          </cell>
          <cell r="S99">
            <v>0.4</v>
          </cell>
          <cell r="T99">
            <v>0.8</v>
          </cell>
          <cell r="Y99" t="str">
            <v>&lt;5,001</v>
          </cell>
        </row>
        <row r="100">
          <cell r="B100" t="str">
            <v>WinFloorRatio%TYP</v>
          </cell>
          <cell r="C100">
            <v>0.11113127858742104</v>
          </cell>
          <cell r="D100">
            <v>4.3960578486503234E-2</v>
          </cell>
          <cell r="E100">
            <v>0.1917271954866456</v>
          </cell>
          <cell r="F100">
            <v>1.3285572069043333E-2</v>
          </cell>
          <cell r="G100">
            <v>1.1818024471246773</v>
          </cell>
          <cell r="H100">
            <v>2.6925777005418945E-2</v>
          </cell>
          <cell r="I100">
            <v>8.015647167701602E-2</v>
          </cell>
          <cell r="J100">
            <v>6.5776138011550078E-2</v>
          </cell>
          <cell r="K100">
            <v>0.11202070855469719</v>
          </cell>
          <cell r="L100">
            <v>2.2401185470432586E-2</v>
          </cell>
          <cell r="M100">
            <v>3.4175742327895269E-2</v>
          </cell>
          <cell r="N100">
            <v>0.21449086733931913</v>
          </cell>
          <cell r="O100">
            <v>0.15534741970221283</v>
          </cell>
          <cell r="P100">
            <v>9.7494861995036486E-2</v>
          </cell>
          <cell r="Q100">
            <v>6.6602666262037521E-2</v>
          </cell>
          <cell r="R100">
            <v>0.12989988148778953</v>
          </cell>
          <cell r="S100">
            <v>4.3362920120537364E-2</v>
          </cell>
          <cell r="T100">
            <v>0.11888495040094829</v>
          </cell>
          <cell r="Y100" t="str">
            <v>5,001-20,000</v>
          </cell>
        </row>
        <row r="101">
          <cell r="Y101" t="str">
            <v>20,001-50,000</v>
          </cell>
        </row>
        <row r="102">
          <cell r="Y102" t="str">
            <v>50,001-100,000</v>
          </cell>
        </row>
        <row r="103">
          <cell r="Y103" t="str">
            <v>100,001+</v>
          </cell>
        </row>
        <row r="104">
          <cell r="Y104" t="str">
            <v>Other</v>
          </cell>
        </row>
        <row r="105">
          <cell r="Y105" t="str">
            <v>&lt;5,001</v>
          </cell>
        </row>
        <row r="106">
          <cell r="Y106" t="str">
            <v>5,001-20,000</v>
          </cell>
        </row>
        <row r="107">
          <cell r="Y107" t="str">
            <v>20,001-50,000</v>
          </cell>
        </row>
        <row r="108">
          <cell r="Y108" t="str">
            <v>50,001-100,000</v>
          </cell>
        </row>
        <row r="109">
          <cell r="Y109" t="str">
            <v>100,001+</v>
          </cell>
        </row>
        <row r="110">
          <cell r="Y110" t="str">
            <v>Residential Care</v>
          </cell>
        </row>
        <row r="111">
          <cell r="Y111" t="str">
            <v>&lt;5,001</v>
          </cell>
        </row>
        <row r="112">
          <cell r="Y112" t="str">
            <v>5,001-20,000</v>
          </cell>
        </row>
        <row r="113">
          <cell r="Y113" t="str">
            <v>20,001-50,000</v>
          </cell>
        </row>
        <row r="114">
          <cell r="Y114" t="str">
            <v>50,001-100,000</v>
          </cell>
        </row>
        <row r="115">
          <cell r="Y115" t="str">
            <v>100,001+</v>
          </cell>
        </row>
        <row r="116">
          <cell r="Y116" t="str">
            <v>Restaurant</v>
          </cell>
        </row>
        <row r="117">
          <cell r="Y117" t="str">
            <v>&lt;5,001</v>
          </cell>
        </row>
        <row r="118">
          <cell r="Y118" t="str">
            <v>5,001-20,000</v>
          </cell>
        </row>
        <row r="119">
          <cell r="Y119" t="str">
            <v>Retail/Service</v>
          </cell>
        </row>
      </sheetData>
      <sheetData sheetId="12">
        <row r="11">
          <cell r="B11" t="str">
            <v>Large Ret</v>
          </cell>
          <cell r="C11">
            <v>162.46577996251671</v>
          </cell>
          <cell r="D11">
            <v>9.4301657982802961E-2</v>
          </cell>
          <cell r="E11">
            <v>24.358988178585392</v>
          </cell>
          <cell r="F11">
            <v>8.1303479290576602E-2</v>
          </cell>
          <cell r="G11">
            <v>26.622026639013747</v>
          </cell>
          <cell r="H11">
            <v>5.9898486998525451E-2</v>
          </cell>
          <cell r="I11">
            <v>19.595488823905271</v>
          </cell>
          <cell r="J11">
            <v>7.2059028966541455E-2</v>
          </cell>
          <cell r="K11">
            <v>48.694678620881028</v>
          </cell>
          <cell r="L11">
            <v>4.8512225564269561E-2</v>
          </cell>
          <cell r="M11">
            <v>31.55076</v>
          </cell>
          <cell r="N11">
            <v>9.4201798094731004E-3</v>
          </cell>
          <cell r="O11">
            <v>186.82476814110208</v>
          </cell>
          <cell r="P11">
            <v>9.237609484492941E-2</v>
          </cell>
          <cell r="Q11">
            <v>213.44679478011582</v>
          </cell>
          <cell r="R11">
            <v>8.6524695525496798E-2</v>
          </cell>
          <cell r="S11">
            <v>50.981014817599139</v>
          </cell>
          <cell r="T11">
            <v>6.8517515567489626E-2</v>
          </cell>
        </row>
        <row r="12">
          <cell r="B12" t="str">
            <v>Medium Ret</v>
          </cell>
          <cell r="C12">
            <v>40.616444990629176</v>
          </cell>
          <cell r="D12">
            <v>2.357541449570074E-2</v>
          </cell>
          <cell r="E12">
            <v>6.089747044646348</v>
          </cell>
          <cell r="F12">
            <v>2.0325869822644151E-2</v>
          </cell>
          <cell r="G12">
            <v>6.6555066597534367</v>
          </cell>
          <cell r="H12">
            <v>1.4974621749631363E-2</v>
          </cell>
          <cell r="I12">
            <v>4.8988722059763177</v>
          </cell>
          <cell r="J12">
            <v>1.8014757241635364E-2</v>
          </cell>
          <cell r="K12">
            <v>12.173669655220257</v>
          </cell>
          <cell r="L12">
            <v>1.212805639106739E-2</v>
          </cell>
          <cell r="M12">
            <v>346.19952999999998</v>
          </cell>
          <cell r="N12">
            <v>0.10336555514209726</v>
          </cell>
          <cell r="O12">
            <v>46.706192035275521</v>
          </cell>
          <cell r="P12">
            <v>2.3094023711232353E-2</v>
          </cell>
          <cell r="Q12">
            <v>53.361698695028956</v>
          </cell>
          <cell r="R12">
            <v>2.1631173881374199E-2</v>
          </cell>
          <cell r="S12">
            <v>12.745253704399785</v>
          </cell>
          <cell r="T12">
            <v>1.7129378891872406E-2</v>
          </cell>
          <cell r="V12" t="str">
            <v>Medium Ret</v>
          </cell>
          <cell r="W12">
            <v>346199530</v>
          </cell>
          <cell r="X12">
            <v>0.10336555514209725</v>
          </cell>
        </row>
        <row r="13">
          <cell r="B13" t="str">
            <v>Small Ret</v>
          </cell>
          <cell r="C13">
            <v>84.617593730477466</v>
          </cell>
          <cell r="D13">
            <v>4.9115446866043223E-2</v>
          </cell>
          <cell r="E13">
            <v>11.757582599423802</v>
          </cell>
          <cell r="F13">
            <v>3.9243517274657636E-2</v>
          </cell>
          <cell r="G13">
            <v>12.849904720075388</v>
          </cell>
          <cell r="H13">
            <v>2.891176773445828E-2</v>
          </cell>
          <cell r="I13">
            <v>9.4583394324111882</v>
          </cell>
          <cell r="J13">
            <v>3.4781411235020585E-2</v>
          </cell>
          <cell r="K13">
            <v>23.503919860708013</v>
          </cell>
          <cell r="L13">
            <v>2.3415853522816665E-2</v>
          </cell>
          <cell r="M13">
            <v>59.225870599999993</v>
          </cell>
          <cell r="N13">
            <v>1.7683198453051097E-2</v>
          </cell>
          <cell r="O13">
            <v>96.375176329901265</v>
          </cell>
          <cell r="P13">
            <v>4.7653009383765522E-2</v>
          </cell>
          <cell r="Q13">
            <v>109.22508104997665</v>
          </cell>
          <cell r="R13">
            <v>4.4276452552649621E-2</v>
          </cell>
          <cell r="S13">
            <v>24.607487319499192</v>
          </cell>
          <cell r="T13">
            <v>3.3071995556050615E-2</v>
          </cell>
          <cell r="V13" t="str">
            <v>Small Ret</v>
          </cell>
          <cell r="W13">
            <v>59225870.599999994</v>
          </cell>
          <cell r="X13">
            <v>1.768319845305109E-2</v>
          </cell>
        </row>
        <row r="14">
          <cell r="B14" t="str">
            <v>School K-12</v>
          </cell>
          <cell r="C14">
            <v>147.99830237381886</v>
          </cell>
          <cell r="D14">
            <v>8.5904153451337839E-2</v>
          </cell>
          <cell r="E14">
            <v>26.796913439999997</v>
          </cell>
          <cell r="F14">
            <v>8.9440590920592866E-2</v>
          </cell>
          <cell r="G14">
            <v>29.344991280000002</v>
          </cell>
          <cell r="H14">
            <v>6.6025047697947925E-2</v>
          </cell>
          <cell r="I14">
            <v>26.40813</v>
          </cell>
          <cell r="J14">
            <v>9.7111341376731539E-2</v>
          </cell>
          <cell r="K14">
            <v>57.689056256798111</v>
          </cell>
          <cell r="L14">
            <v>5.7472902357744132E-2</v>
          </cell>
          <cell r="M14">
            <v>245.35316429999997</v>
          </cell>
          <cell r="N14">
            <v>7.3255633922263544E-2</v>
          </cell>
          <cell r="O14">
            <v>174.79521581381886</v>
          </cell>
          <cell r="P14">
            <v>8.6428044820385158E-2</v>
          </cell>
          <cell r="Q14">
            <v>204.14020709381884</v>
          </cell>
          <cell r="R14">
            <v>8.2752094176445301E-2</v>
          </cell>
          <cell r="S14">
            <v>56.141904719999999</v>
          </cell>
          <cell r="T14">
            <v>7.5453653568959556E-2</v>
          </cell>
          <cell r="V14" t="str">
            <v>School K-12</v>
          </cell>
          <cell r="W14">
            <v>245353164.29999998</v>
          </cell>
          <cell r="X14">
            <v>7.325563392226353E-2</v>
          </cell>
        </row>
        <row r="15">
          <cell r="B15" t="str">
            <v>University</v>
          </cell>
          <cell r="C15">
            <v>74.995360082968432</v>
          </cell>
          <cell r="D15">
            <v>4.3530316343988885E-2</v>
          </cell>
          <cell r="E15">
            <v>13.80447056</v>
          </cell>
          <cell r="F15">
            <v>4.6075455928790268E-2</v>
          </cell>
          <cell r="G15">
            <v>15.11711672</v>
          </cell>
          <cell r="H15">
            <v>3.4012903359548929E-2</v>
          </cell>
          <cell r="I15">
            <v>11.827631999999999</v>
          </cell>
          <cell r="J15">
            <v>4.3494075833099652E-2</v>
          </cell>
          <cell r="K15">
            <v>30.744945239348489</v>
          </cell>
          <cell r="L15">
            <v>3.0629747657330442E-2</v>
          </cell>
          <cell r="M15">
            <v>123.989124</v>
          </cell>
          <cell r="N15">
            <v>3.701970546823774E-2</v>
          </cell>
          <cell r="O15">
            <v>88.799830642968431</v>
          </cell>
          <cell r="P15">
            <v>4.3907355857083691E-2</v>
          </cell>
          <cell r="Q15">
            <v>103.91694736296843</v>
          </cell>
          <cell r="R15">
            <v>4.2124700161379681E-2</v>
          </cell>
          <cell r="S15">
            <v>28.921587280000001</v>
          </cell>
          <cell r="T15">
            <v>3.887006395976704E-2</v>
          </cell>
          <cell r="V15" t="str">
            <v>University</v>
          </cell>
          <cell r="W15">
            <v>123989124</v>
          </cell>
          <cell r="X15">
            <v>3.7019705468237733E-2</v>
          </cell>
        </row>
        <row r="16">
          <cell r="B16" t="str">
            <v>Warehouse</v>
          </cell>
          <cell r="C16">
            <v>170.26080912869836</v>
          </cell>
          <cell r="D16">
            <v>9.8826205703343439E-2</v>
          </cell>
          <cell r="E16">
            <v>47.959277200000002</v>
          </cell>
          <cell r="F16">
            <v>0.16007463331540012</v>
          </cell>
          <cell r="G16">
            <v>74.676567000000006</v>
          </cell>
          <cell r="H16">
            <v>0.16801926608355783</v>
          </cell>
          <cell r="I16">
            <v>37.314782000000001</v>
          </cell>
          <cell r="J16">
            <v>0.13721867217407357</v>
          </cell>
          <cell r="K16">
            <v>264.56959853302936</v>
          </cell>
          <cell r="L16">
            <v>0.26357828832612473</v>
          </cell>
          <cell r="M16">
            <v>442.22405430000003</v>
          </cell>
          <cell r="N16">
            <v>0.13203580856943528</v>
          </cell>
          <cell r="O16">
            <v>218.22008632869836</v>
          </cell>
          <cell r="P16">
            <v>0.1078996087742695</v>
          </cell>
          <cell r="Q16">
            <v>292.89665332869833</v>
          </cell>
          <cell r="R16">
            <v>0.11873119845069458</v>
          </cell>
          <cell r="S16">
            <v>122.63584420000001</v>
          </cell>
          <cell r="T16">
            <v>0.16482024522597455</v>
          </cell>
          <cell r="V16" t="str">
            <v>Warehouse</v>
          </cell>
          <cell r="W16">
            <v>442224054.30000001</v>
          </cell>
          <cell r="X16">
            <v>0.13203580856943525</v>
          </cell>
        </row>
        <row r="17">
          <cell r="B17" t="str">
            <v>Supermarket</v>
          </cell>
          <cell r="C17">
            <v>39.444968890646628</v>
          </cell>
          <cell r="D17">
            <v>2.2895442759246026E-2</v>
          </cell>
          <cell r="E17">
            <v>6.5560353076108635</v>
          </cell>
          <cell r="F17">
            <v>2.1882209431392876E-2</v>
          </cell>
          <cell r="G17">
            <v>7.7755945123131065</v>
          </cell>
          <cell r="H17">
            <v>1.7494774275338444E-2</v>
          </cell>
          <cell r="I17">
            <v>2.1261594000455211</v>
          </cell>
          <cell r="J17">
            <v>7.8185843268405338E-3</v>
          </cell>
          <cell r="K17">
            <v>5.5712742628747005</v>
          </cell>
          <cell r="L17">
            <v>5.550399373723129E-3</v>
          </cell>
          <cell r="M17">
            <v>65.429751400000001</v>
          </cell>
          <cell r="N17">
            <v>1.9535504789016944E-2</v>
          </cell>
          <cell r="O17">
            <v>46.00100419825749</v>
          </cell>
          <cell r="P17">
            <v>2.2745341364860224E-2</v>
          </cell>
          <cell r="Q17">
            <v>53.776598710570596</v>
          </cell>
          <cell r="R17">
            <v>2.1799361450343065E-2</v>
          </cell>
          <cell r="S17">
            <v>14.33162981992397</v>
          </cell>
          <cell r="T17">
            <v>1.9261438259074323E-2</v>
          </cell>
          <cell r="V17" t="str">
            <v>Supermarket</v>
          </cell>
          <cell r="W17">
            <v>65429751.399999999</v>
          </cell>
          <cell r="X17">
            <v>1.9535504789016941E-2</v>
          </cell>
        </row>
        <row r="18">
          <cell r="B18" t="str">
            <v>MiniMart</v>
          </cell>
          <cell r="C18">
            <v>9.861242222661657</v>
          </cell>
          <cell r="D18">
            <v>5.7238606898115064E-3</v>
          </cell>
          <cell r="E18">
            <v>2.6529426023891371</v>
          </cell>
          <cell r="F18">
            <v>8.8547792852108377E-3</v>
          </cell>
          <cell r="G18">
            <v>3.1464452176868947</v>
          </cell>
          <cell r="H18">
            <v>7.0793749295930053E-3</v>
          </cell>
          <cell r="I18">
            <v>1.0569141353249265</v>
          </cell>
          <cell r="J18">
            <v>3.886619363106436E-3</v>
          </cell>
          <cell r="K18">
            <v>5.5136009102243984</v>
          </cell>
          <cell r="L18">
            <v>5.4929421161323709E-3</v>
          </cell>
          <cell r="M18">
            <v>11.691088099999998</v>
          </cell>
          <cell r="N18">
            <v>3.4906338887047794E-3</v>
          </cell>
          <cell r="O18">
            <v>12.514184825050794</v>
          </cell>
          <cell r="P18">
            <v>6.1876780889821544E-3</v>
          </cell>
          <cell r="Q18">
            <v>15.660630042737688</v>
          </cell>
          <cell r="R18">
            <v>6.34833260242312E-3</v>
          </cell>
          <cell r="S18">
            <v>5.7993878200760314</v>
          </cell>
          <cell r="T18">
            <v>7.79426707502097E-3</v>
          </cell>
          <cell r="V18" t="str">
            <v>MiniMart</v>
          </cell>
          <cell r="W18">
            <v>11691088.099999998</v>
          </cell>
          <cell r="X18">
            <v>3.4906338887047785E-3</v>
          </cell>
        </row>
        <row r="19">
          <cell r="B19" t="str">
            <v>Restaurant</v>
          </cell>
          <cell r="C19">
            <v>34.202617971384306</v>
          </cell>
          <cell r="D19">
            <v>1.9852571924980713E-2</v>
          </cell>
          <cell r="E19">
            <v>3.2246579999999998</v>
          </cell>
          <cell r="F19">
            <v>1.0763005137983428E-2</v>
          </cell>
          <cell r="G19">
            <v>3.8728280000000002</v>
          </cell>
          <cell r="H19">
            <v>8.7137069146182508E-3</v>
          </cell>
          <cell r="I19">
            <v>4.4727904066295521</v>
          </cell>
          <cell r="J19">
            <v>1.6447914944555799E-2</v>
          </cell>
          <cell r="K19">
            <v>12.653329220172839</v>
          </cell>
          <cell r="L19">
            <v>1.2605918729788336E-2</v>
          </cell>
          <cell r="M19">
            <v>53.036741800000001</v>
          </cell>
          <cell r="N19">
            <v>1.5835296654172451E-2</v>
          </cell>
          <cell r="O19">
            <v>37.427275971384304</v>
          </cell>
          <cell r="P19">
            <v>1.8506034447791763E-2</v>
          </cell>
          <cell r="Q19">
            <v>41.300103971384303</v>
          </cell>
          <cell r="R19">
            <v>1.674177831986955E-2</v>
          </cell>
          <cell r="S19">
            <v>7.097486</v>
          </cell>
          <cell r="T19">
            <v>9.5388863724062915E-3</v>
          </cell>
          <cell r="V19" t="str">
            <v>Restaurant</v>
          </cell>
          <cell r="W19">
            <v>53036741.800000004</v>
          </cell>
          <cell r="X19">
            <v>1.5835296654172448E-2</v>
          </cell>
        </row>
        <row r="20">
          <cell r="B20" t="str">
            <v>Lodging</v>
          </cell>
          <cell r="C20">
            <v>104.80752289890377</v>
          </cell>
          <cell r="D20">
            <v>6.0834491920190768E-2</v>
          </cell>
          <cell r="E20">
            <v>14.038995999999999</v>
          </cell>
          <cell r="F20">
            <v>4.6858236154075493E-2</v>
          </cell>
          <cell r="G20">
            <v>22.906410000000001</v>
          </cell>
          <cell r="H20">
            <v>5.1538499310085716E-2</v>
          </cell>
          <cell r="I20">
            <v>9.8435380000000006</v>
          </cell>
          <cell r="J20">
            <v>3.6197912501673889E-2</v>
          </cell>
          <cell r="K20">
            <v>49.956394059769231</v>
          </cell>
          <cell r="L20">
            <v>4.9769213508389983E-2</v>
          </cell>
          <cell r="M20">
            <v>171.0409248</v>
          </cell>
          <cell r="N20">
            <v>5.1068065124091046E-2</v>
          </cell>
          <cell r="O20">
            <v>118.84651889890377</v>
          </cell>
          <cell r="P20">
            <v>5.8764035470409912E-2</v>
          </cell>
          <cell r="Q20">
            <v>141.75292889890378</v>
          </cell>
          <cell r="R20">
            <v>5.7462230929539518E-2</v>
          </cell>
          <cell r="S20">
            <v>36.945405999999998</v>
          </cell>
          <cell r="T20">
            <v>4.9653923912835844E-2</v>
          </cell>
          <cell r="V20" t="str">
            <v>Lodging</v>
          </cell>
          <cell r="W20">
            <v>171040924.80000001</v>
          </cell>
          <cell r="X20">
            <v>5.1068065124091039E-2</v>
          </cell>
        </row>
        <row r="21">
          <cell r="B21" t="str">
            <v>Hospital</v>
          </cell>
          <cell r="C21">
            <v>38.122577697323266</v>
          </cell>
          <cell r="D21">
            <v>2.2127873846820151E-2</v>
          </cell>
          <cell r="E21">
            <v>7.1310139360000004</v>
          </cell>
          <cell r="F21">
            <v>2.3801327034432621E-2</v>
          </cell>
          <cell r="G21">
            <v>9.8604596719999993</v>
          </cell>
          <cell r="H21">
            <v>2.2185636858962184E-2</v>
          </cell>
          <cell r="I21">
            <v>7.7068158439999994</v>
          </cell>
          <cell r="J21">
            <v>2.8340485462404467E-2</v>
          </cell>
          <cell r="K21">
            <v>26.576579483888366</v>
          </cell>
          <cell r="L21">
            <v>2.647700026294586E-2</v>
          </cell>
          <cell r="M21">
            <v>103.75403529999998</v>
          </cell>
          <cell r="N21">
            <v>3.0978070527759683E-2</v>
          </cell>
          <cell r="O21">
            <v>45.253591633323268</v>
          </cell>
          <cell r="P21">
            <v>2.2375780868820909E-2</v>
          </cell>
          <cell r="Q21">
            <v>55.114051305323265</v>
          </cell>
          <cell r="R21">
            <v>2.2341523157010872E-2</v>
          </cell>
          <cell r="S21">
            <v>16.991473608</v>
          </cell>
          <cell r="T21">
            <v>2.2836217788446831E-2</v>
          </cell>
          <cell r="V21" t="str">
            <v>Hospital</v>
          </cell>
          <cell r="W21">
            <v>103754035.29999998</v>
          </cell>
          <cell r="X21">
            <v>3.0978070527759676E-2</v>
          </cell>
        </row>
        <row r="22">
          <cell r="B22" t="str">
            <v>Residential Care</v>
          </cell>
          <cell r="C22">
            <v>83.220501437886071</v>
          </cell>
          <cell r="D22">
            <v>4.8304518438058199E-2</v>
          </cell>
          <cell r="E22">
            <v>14.779390064000003</v>
          </cell>
          <cell r="F22">
            <v>4.9329464146304278E-2</v>
          </cell>
          <cell r="G22">
            <v>20.110348328000001</v>
          </cell>
          <cell r="H22">
            <v>4.5247473236889213E-2</v>
          </cell>
          <cell r="I22">
            <v>17.376025356</v>
          </cell>
          <cell r="J22">
            <v>6.3897335029676816E-2</v>
          </cell>
          <cell r="K22">
            <v>67.215639329268541</v>
          </cell>
          <cell r="L22">
            <v>6.6963790478530669E-2</v>
          </cell>
          <cell r="M22">
            <v>125.16063630000001</v>
          </cell>
          <cell r="N22">
            <v>3.7369486472404026E-2</v>
          </cell>
          <cell r="O22">
            <v>97.999891501886069</v>
          </cell>
          <cell r="P22">
            <v>4.8456354916141135E-2</v>
          </cell>
          <cell r="Q22">
            <v>118.11023982988607</v>
          </cell>
          <cell r="R22">
            <v>4.7878219723336488E-2</v>
          </cell>
          <cell r="S22">
            <v>34.889738392000005</v>
          </cell>
          <cell r="T22">
            <v>4.6891145693597626E-2</v>
          </cell>
          <cell r="V22" t="str">
            <v>Residential Care</v>
          </cell>
          <cell r="W22">
            <v>125160636.30000001</v>
          </cell>
          <cell r="X22">
            <v>3.7369486472404019E-2</v>
          </cell>
        </row>
        <row r="23">
          <cell r="B23" t="str">
            <v>Assembly</v>
          </cell>
          <cell r="C23">
            <v>121.12093749549824</v>
          </cell>
          <cell r="D23">
            <v>7.0303452363273886E-2</v>
          </cell>
          <cell r="E23">
            <v>18.999077640324</v>
          </cell>
          <cell r="F23">
            <v>6.3413599290142786E-2</v>
          </cell>
          <cell r="G23">
            <v>37.96334830112</v>
          </cell>
          <cell r="H23">
            <v>8.5416003652506733E-2</v>
          </cell>
          <cell r="I23">
            <v>21.858754000000001</v>
          </cell>
          <cell r="J23">
            <v>8.038179612732882E-2</v>
          </cell>
          <cell r="K23">
            <v>101.73028648155328</v>
          </cell>
          <cell r="L23">
            <v>0.10134911543280216</v>
          </cell>
          <cell r="M23">
            <v>368.87205360000002</v>
          </cell>
          <cell r="N23">
            <v>0.11013494038183547</v>
          </cell>
          <cell r="O23">
            <v>140.12001513582223</v>
          </cell>
          <cell r="P23">
            <v>6.9282782666609352E-2</v>
          </cell>
          <cell r="Q23">
            <v>178.08336343694222</v>
          </cell>
          <cell r="R23">
            <v>7.2189459745278128E-2</v>
          </cell>
          <cell r="S23">
            <v>56.962425941443996</v>
          </cell>
          <cell r="T23">
            <v>7.6556418505375382E-2</v>
          </cell>
          <cell r="V23" t="str">
            <v>Assembly</v>
          </cell>
          <cell r="W23">
            <v>368872053.60000002</v>
          </cell>
          <cell r="X23">
            <v>0.11013494038183544</v>
          </cell>
        </row>
        <row r="24">
          <cell r="B24" t="str">
            <v>Other</v>
          </cell>
          <cell r="C24">
            <v>235.11711396184955</v>
          </cell>
          <cell r="D24">
            <v>0.13647140752870815</v>
          </cell>
          <cell r="E24">
            <v>38.748420104276001</v>
          </cell>
          <cell r="F24">
            <v>0.1293313724032325</v>
          </cell>
          <cell r="G24">
            <v>76.933264310880006</v>
          </cell>
          <cell r="H24">
            <v>0.17309674408206832</v>
          </cell>
          <cell r="I24">
            <v>45.604604000000002</v>
          </cell>
          <cell r="J24">
            <v>0.1677030621779981</v>
          </cell>
          <cell r="K24">
            <v>85.543246891752517</v>
          </cell>
          <cell r="L24">
            <v>8.5222726717682065E-2</v>
          </cell>
          <cell r="M24">
            <v>333.43446839999996</v>
          </cell>
          <cell r="N24">
            <v>9.9554262623279946E-2</v>
          </cell>
          <cell r="O24">
            <v>273.86553406612558</v>
          </cell>
          <cell r="P24">
            <v>0.13541367561362375</v>
          </cell>
          <cell r="Q24">
            <v>350.7987983770056</v>
          </cell>
          <cell r="R24">
            <v>0.14220292814211019</v>
          </cell>
          <cell r="S24">
            <v>115.68168441515601</v>
          </cell>
          <cell r="T24">
            <v>0.15547398656436054</v>
          </cell>
          <cell r="V24" t="str">
            <v>Other</v>
          </cell>
          <cell r="W24">
            <v>333434468.39999998</v>
          </cell>
          <cell r="X24">
            <v>9.9554262623279918E-2</v>
          </cell>
        </row>
        <row r="25">
          <cell r="W25">
            <v>3349273648.5000005</v>
          </cell>
          <cell r="X25">
            <v>0.99999999999999989</v>
          </cell>
        </row>
        <row r="26">
          <cell r="C26">
            <v>1722.8305783567907</v>
          </cell>
          <cell r="D26">
            <v>0.99999999999999978</v>
          </cell>
          <cell r="E26">
            <v>299.6057289446</v>
          </cell>
          <cell r="F26">
            <v>1</v>
          </cell>
          <cell r="G26">
            <v>444.45240561200006</v>
          </cell>
          <cell r="H26">
            <v>0.99999999999999978</v>
          </cell>
          <cell r="I26">
            <v>271.93662064199998</v>
          </cell>
          <cell r="J26">
            <v>1</v>
          </cell>
          <cell r="K26">
            <v>1003.7609706520216</v>
          </cell>
          <cell r="L26">
            <v>0.99999999999999989</v>
          </cell>
          <cell r="M26">
            <v>3349.2736484999996</v>
          </cell>
          <cell r="N26">
            <v>1</v>
          </cell>
          <cell r="O26">
            <v>2022.4363073013908</v>
          </cell>
          <cell r="P26">
            <v>1</v>
          </cell>
          <cell r="Q26">
            <v>2466.8887129133909</v>
          </cell>
          <cell r="R26">
            <v>1</v>
          </cell>
          <cell r="S26">
            <v>744.05813455660018</v>
          </cell>
          <cell r="T26">
            <v>1</v>
          </cell>
        </row>
        <row r="29">
          <cell r="B29" t="str">
            <v>FloorA%PRE2002</v>
          </cell>
        </row>
        <row r="30">
          <cell r="B30" t="str">
            <v>BTYPE</v>
          </cell>
          <cell r="C30">
            <v>0</v>
          </cell>
          <cell r="D30" t="str">
            <v>PRE1987</v>
          </cell>
          <cell r="E30">
            <v>0</v>
          </cell>
          <cell r="F30" t="str">
            <v>V1987_1994</v>
          </cell>
          <cell r="G30">
            <v>0</v>
          </cell>
          <cell r="H30" t="str">
            <v>V1995_2001</v>
          </cell>
          <cell r="I30">
            <v>0</v>
          </cell>
          <cell r="J30" t="str">
            <v>V2002_2006</v>
          </cell>
          <cell r="K30">
            <v>0</v>
          </cell>
          <cell r="L30" t="str">
            <v>Post2013</v>
          </cell>
          <cell r="M30">
            <v>0</v>
          </cell>
          <cell r="N30" t="str">
            <v>_PRE2013</v>
          </cell>
          <cell r="O30">
            <v>0</v>
          </cell>
          <cell r="P30" t="str">
            <v>PRE1995</v>
          </cell>
          <cell r="Q30">
            <v>0</v>
          </cell>
          <cell r="R30" t="str">
            <v>PRE2002</v>
          </cell>
          <cell r="S30">
            <v>0</v>
          </cell>
          <cell r="T30" t="str">
            <v>V1987_2001</v>
          </cell>
        </row>
        <row r="31">
          <cell r="B31" t="str">
            <v>Large Off</v>
          </cell>
          <cell r="D31">
            <v>0.72517203989003609</v>
          </cell>
          <cell r="F31">
            <v>0.10331790304121433</v>
          </cell>
          <cell r="H31">
            <v>0.17151005706874964</v>
          </cell>
          <cell r="P31">
            <v>0.82848994293125033</v>
          </cell>
          <cell r="R31">
            <v>1</v>
          </cell>
          <cell r="T31">
            <v>0.27482796010996396</v>
          </cell>
        </row>
        <row r="32">
          <cell r="B32" t="str">
            <v>Medium Off</v>
          </cell>
          <cell r="D32">
            <v>0.67327274986190366</v>
          </cell>
          <cell r="F32">
            <v>0.12282874834563298</v>
          </cell>
          <cell r="H32">
            <v>0.20389850179246344</v>
          </cell>
          <cell r="P32">
            <v>0.79610149820753662</v>
          </cell>
          <cell r="R32">
            <v>1</v>
          </cell>
          <cell r="T32">
            <v>0.32672725013809645</v>
          </cell>
        </row>
        <row r="33">
          <cell r="B33" t="str">
            <v>Small Off</v>
          </cell>
          <cell r="D33">
            <v>0.71392868640620422</v>
          </cell>
          <cell r="F33">
            <v>0.10754469170069367</v>
          </cell>
          <cell r="H33">
            <v>0.17852662189310214</v>
          </cell>
          <cell r="P33">
            <v>0.82147337810689791</v>
          </cell>
          <cell r="R33">
            <v>1</v>
          </cell>
          <cell r="T33">
            <v>0.28607131359379578</v>
          </cell>
        </row>
        <row r="34">
          <cell r="B34" t="str">
            <v>Xlarge Ret</v>
          </cell>
          <cell r="D34">
            <v>0.64780779047689696</v>
          </cell>
          <cell r="F34">
            <v>0.16827922902393005</v>
          </cell>
          <cell r="H34">
            <v>0.1839129804991731</v>
          </cell>
          <cell r="P34">
            <v>0.81608701950082696</v>
          </cell>
          <cell r="R34">
            <v>1</v>
          </cell>
          <cell r="T34">
            <v>0.35219220952310321</v>
          </cell>
        </row>
        <row r="35">
          <cell r="B35" t="str">
            <v>Large Ret</v>
          </cell>
          <cell r="D35">
            <v>0.76115352366795819</v>
          </cell>
          <cell r="F35">
            <v>0.11412206120817615</v>
          </cell>
          <cell r="H35">
            <v>0.12472441512386574</v>
          </cell>
          <cell r="P35">
            <v>0.87527558487613433</v>
          </cell>
          <cell r="R35">
            <v>1</v>
          </cell>
          <cell r="T35">
            <v>0.2388464763320419</v>
          </cell>
        </row>
        <row r="36">
          <cell r="B36" t="str">
            <v>Medium Ret</v>
          </cell>
          <cell r="D36">
            <v>0.76115352366795819</v>
          </cell>
          <cell r="F36">
            <v>0.11412206120817615</v>
          </cell>
          <cell r="H36">
            <v>0.12472441512386574</v>
          </cell>
          <cell r="P36">
            <v>0.87527558487613433</v>
          </cell>
          <cell r="R36">
            <v>1</v>
          </cell>
          <cell r="T36">
            <v>0.2388464763320419</v>
          </cell>
        </row>
        <row r="37">
          <cell r="B37" t="str">
            <v>Small Ret</v>
          </cell>
          <cell r="D37">
            <v>0.7747084544781444</v>
          </cell>
          <cell r="F37">
            <v>0.10764544632421964</v>
          </cell>
          <cell r="H37">
            <v>0.11764609919763602</v>
          </cell>
          <cell r="P37">
            <v>0.88235390080236398</v>
          </cell>
          <cell r="R37">
            <v>1</v>
          </cell>
          <cell r="T37">
            <v>0.22529154552185568</v>
          </cell>
        </row>
        <row r="38">
          <cell r="B38" t="str">
            <v>School K-12</v>
          </cell>
          <cell r="D38">
            <v>0.72498360063778</v>
          </cell>
          <cell r="F38">
            <v>0.13126720023206725</v>
          </cell>
          <cell r="H38">
            <v>0.14374919913015283</v>
          </cell>
          <cell r="P38">
            <v>0.85625080086984728</v>
          </cell>
          <cell r="R38">
            <v>1</v>
          </cell>
          <cell r="T38">
            <v>0.27501639936222011</v>
          </cell>
        </row>
        <row r="39">
          <cell r="B39" t="str">
            <v>University</v>
          </cell>
          <cell r="D39">
            <v>0.72168555741942031</v>
          </cell>
          <cell r="F39">
            <v>0.13284137871932258</v>
          </cell>
          <cell r="H39">
            <v>0.14547306386125711</v>
          </cell>
          <cell r="P39">
            <v>0.85452693613874287</v>
          </cell>
          <cell r="R39">
            <v>1</v>
          </cell>
          <cell r="T39">
            <v>0.27831444258057969</v>
          </cell>
        </row>
        <row r="40">
          <cell r="B40" t="str">
            <v>Warehouse</v>
          </cell>
          <cell r="D40">
            <v>0.58129994724666945</v>
          </cell>
          <cell r="F40">
            <v>0.16374129459983455</v>
          </cell>
          <cell r="H40">
            <v>0.25495875815349617</v>
          </cell>
          <cell r="P40">
            <v>0.74504124184650389</v>
          </cell>
          <cell r="R40">
            <v>1</v>
          </cell>
          <cell r="T40">
            <v>0.41870005275333072</v>
          </cell>
        </row>
        <row r="41">
          <cell r="B41" t="str">
            <v>Supermarket</v>
          </cell>
          <cell r="D41">
            <v>0.73349690825450309</v>
          </cell>
          <cell r="F41">
            <v>0.12191242036142715</v>
          </cell>
          <cell r="H41">
            <v>0.14459067138406984</v>
          </cell>
          <cell r="P41">
            <v>0.85540932861593022</v>
          </cell>
          <cell r="R41">
            <v>1</v>
          </cell>
          <cell r="T41">
            <v>0.26650309174549697</v>
          </cell>
        </row>
        <row r="42">
          <cell r="B42" t="str">
            <v>MiniMart</v>
          </cell>
          <cell r="D42">
            <v>0.62968362037481473</v>
          </cell>
          <cell r="F42">
            <v>0.16940203524055455</v>
          </cell>
          <cell r="H42">
            <v>0.20091434438463077</v>
          </cell>
          <cell r="P42">
            <v>0.79908565561536926</v>
          </cell>
          <cell r="R42">
            <v>1</v>
          </cell>
          <cell r="T42">
            <v>0.37031637962518527</v>
          </cell>
        </row>
        <row r="43">
          <cell r="B43" t="str">
            <v>Restaurant</v>
          </cell>
          <cell r="D43">
            <v>0.82814847137146075</v>
          </cell>
          <cell r="F43">
            <v>7.8078689638027929E-2</v>
          </cell>
          <cell r="H43">
            <v>9.3772838990511392E-2</v>
          </cell>
          <cell r="P43">
            <v>0.90622716100948864</v>
          </cell>
          <cell r="R43">
            <v>1</v>
          </cell>
          <cell r="T43">
            <v>0.17185152862853931</v>
          </cell>
        </row>
        <row r="44">
          <cell r="B44" t="str">
            <v>Lodging</v>
          </cell>
          <cell r="D44">
            <v>0.73936760046525063</v>
          </cell>
          <cell r="F44">
            <v>9.9038489779723821E-2</v>
          </cell>
          <cell r="H44">
            <v>0.16159390975502549</v>
          </cell>
          <cell r="P44">
            <v>0.83840609024497448</v>
          </cell>
          <cell r="R44">
            <v>1</v>
          </cell>
          <cell r="T44">
            <v>0.26063239953474931</v>
          </cell>
        </row>
        <row r="45">
          <cell r="B45" t="str">
            <v>Hospital</v>
          </cell>
          <cell r="D45">
            <v>0.69170341853713713</v>
          </cell>
          <cell r="F45">
            <v>0.12938649522415424</v>
          </cell>
          <cell r="H45">
            <v>0.17891008623870866</v>
          </cell>
          <cell r="P45">
            <v>0.82108991376129137</v>
          </cell>
          <cell r="R45">
            <v>1</v>
          </cell>
          <cell r="T45">
            <v>0.30829658146286293</v>
          </cell>
        </row>
        <row r="46">
          <cell r="B46" t="str">
            <v>Residential Care</v>
          </cell>
          <cell r="D46">
            <v>0.7046002239750625</v>
          </cell>
          <cell r="F46">
            <v>0.12513216538453167</v>
          </cell>
          <cell r="H46">
            <v>0.17026761064040588</v>
          </cell>
          <cell r="P46">
            <v>0.82973238935959415</v>
          </cell>
          <cell r="R46">
            <v>1</v>
          </cell>
          <cell r="T46">
            <v>0.29539977602493755</v>
          </cell>
        </row>
        <row r="47">
          <cell r="B47" t="str">
            <v>Assembly</v>
          </cell>
          <cell r="D47">
            <v>0.68013617419341987</v>
          </cell>
          <cell r="F47">
            <v>0.10668642636599465</v>
          </cell>
          <cell r="H47">
            <v>0.21317739944058556</v>
          </cell>
          <cell r="P47">
            <v>0.78682260055941444</v>
          </cell>
          <cell r="R47">
            <v>1</v>
          </cell>
          <cell r="T47">
            <v>0.31986382580658018</v>
          </cell>
        </row>
        <row r="48">
          <cell r="B48" t="str">
            <v>Other</v>
          </cell>
          <cell r="D48">
            <v>0.67023352146482484</v>
          </cell>
          <cell r="F48">
            <v>0.11045767626214283</v>
          </cell>
          <cell r="H48">
            <v>0.21930880227303218</v>
          </cell>
          <cell r="P48">
            <v>0.78069119772696782</v>
          </cell>
          <cell r="R48">
            <v>1</v>
          </cell>
          <cell r="T48">
            <v>0.32976647853517504</v>
          </cell>
        </row>
        <row r="51">
          <cell r="B51" t="str">
            <v>FloorA%PRE2012</v>
          </cell>
        </row>
        <row r="52">
          <cell r="B52" t="str">
            <v>BTYPE</v>
          </cell>
          <cell r="C52">
            <v>0</v>
          </cell>
          <cell r="D52" t="str">
            <v>PRE1987</v>
          </cell>
          <cell r="E52">
            <v>0</v>
          </cell>
          <cell r="F52" t="str">
            <v>V1987_1994</v>
          </cell>
          <cell r="G52">
            <v>0</v>
          </cell>
          <cell r="H52" t="str">
            <v>V1995_2001</v>
          </cell>
          <cell r="I52">
            <v>0</v>
          </cell>
          <cell r="J52" t="str">
            <v>V2002_2006</v>
          </cell>
          <cell r="K52">
            <v>0</v>
          </cell>
          <cell r="L52" t="str">
            <v>Post2013</v>
          </cell>
          <cell r="M52">
            <v>0</v>
          </cell>
          <cell r="N52" t="str">
            <v>_PRE2013</v>
          </cell>
          <cell r="O52">
            <v>0</v>
          </cell>
          <cell r="P52" t="str">
            <v>PRE1995</v>
          </cell>
          <cell r="Q52">
            <v>0</v>
          </cell>
          <cell r="R52" t="str">
            <v>PRE2002</v>
          </cell>
          <cell r="S52">
            <v>0</v>
          </cell>
          <cell r="T52" t="str">
            <v>V1987_2001</v>
          </cell>
        </row>
        <row r="53">
          <cell r="B53" t="str">
            <v>Large Off</v>
          </cell>
          <cell r="D53">
            <v>0.54426842103907014</v>
          </cell>
          <cell r="F53">
            <v>7.754390525293349E-2</v>
          </cell>
          <cell r="H53">
            <v>0.12872463749055224</v>
          </cell>
          <cell r="J53">
            <v>6.5421532215852923E-2</v>
          </cell>
          <cell r="N53">
            <v>1</v>
          </cell>
          <cell r="P53">
            <v>0.62181232629200356</v>
          </cell>
          <cell r="R53">
            <v>0.75053696378255585</v>
          </cell>
          <cell r="T53">
            <v>0.20626854274348572</v>
          </cell>
        </row>
        <row r="54">
          <cell r="B54" t="str">
            <v>Medium Off</v>
          </cell>
          <cell r="D54">
            <v>0.19538697130794791</v>
          </cell>
          <cell r="F54">
            <v>3.5645490083657562E-2</v>
          </cell>
          <cell r="H54">
            <v>5.9172320174296529E-2</v>
          </cell>
          <cell r="J54">
            <v>3.0073060806666684E-2</v>
          </cell>
          <cell r="N54">
            <v>1</v>
          </cell>
          <cell r="P54">
            <v>0.23103246139160546</v>
          </cell>
          <cell r="R54">
            <v>0.29020478156590196</v>
          </cell>
          <cell r="T54">
            <v>9.4817810257954091E-2</v>
          </cell>
        </row>
        <row r="55">
          <cell r="B55" t="str">
            <v>Small Off</v>
          </cell>
          <cell r="D55">
            <v>0.91983847013459319</v>
          </cell>
          <cell r="F55">
            <v>0.13856250150561658</v>
          </cell>
          <cell r="H55">
            <v>0.23001688808315263</v>
          </cell>
          <cell r="J55">
            <v>0.11690114299235574</v>
          </cell>
          <cell r="N55">
            <v>1</v>
          </cell>
          <cell r="P55">
            <v>1.0584009716402099</v>
          </cell>
          <cell r="R55">
            <v>1.2884178597233624</v>
          </cell>
          <cell r="T55">
            <v>0.36857938958876918</v>
          </cell>
        </row>
        <row r="56">
          <cell r="B56" t="str">
            <v>Xlarge Ret</v>
          </cell>
          <cell r="D56">
            <v>0.37901677033625886</v>
          </cell>
          <cell r="F56">
            <v>9.8456132879124802E-2</v>
          </cell>
          <cell r="H56">
            <v>0.10760306516288785</v>
          </cell>
          <cell r="J56">
            <v>7.9202635073895064E-2</v>
          </cell>
          <cell r="N56">
            <v>1</v>
          </cell>
          <cell r="P56">
            <v>0.47747290321538366</v>
          </cell>
          <cell r="R56">
            <v>0.58507596837827147</v>
          </cell>
          <cell r="T56">
            <v>0.20605919804201267</v>
          </cell>
        </row>
        <row r="57">
          <cell r="B57" t="str">
            <v>Large Ret</v>
          </cell>
          <cell r="D57">
            <v>5.1493460050571427</v>
          </cell>
          <cell r="F57">
            <v>0.77205709715345661</v>
          </cell>
          <cell r="H57">
            <v>0.84378400517178498</v>
          </cell>
          <cell r="J57">
            <v>0.62107818714684748</v>
          </cell>
          <cell r="N57">
            <v>1</v>
          </cell>
          <cell r="P57">
            <v>5.9214031022105988</v>
          </cell>
          <cell r="R57">
            <v>6.7651871073823839</v>
          </cell>
          <cell r="T57">
            <v>1.6158411023252415</v>
          </cell>
        </row>
        <row r="58">
          <cell r="B58" t="str">
            <v>Medium Ret</v>
          </cell>
          <cell r="D58">
            <v>0.11732091314690456</v>
          </cell>
          <cell r="F58">
            <v>1.759028108630404E-2</v>
          </cell>
          <cell r="H58">
            <v>1.9224482077585248E-2</v>
          </cell>
          <cell r="J58">
            <v>1.4150429973074538E-2</v>
          </cell>
          <cell r="N58">
            <v>1</v>
          </cell>
          <cell r="P58">
            <v>0.13491119423320858</v>
          </cell>
          <cell r="R58">
            <v>0.15413567631079383</v>
          </cell>
          <cell r="T58">
            <v>3.6814763163889291E-2</v>
          </cell>
        </row>
        <row r="59">
          <cell r="B59" t="str">
            <v>Small Ret</v>
          </cell>
          <cell r="D59">
            <v>1.4287268869708685</v>
          </cell>
          <cell r="F59">
            <v>0.19852105980564183</v>
          </cell>
          <cell r="H59">
            <v>0.2169643871824383</v>
          </cell>
          <cell r="J59">
            <v>0.15969945796645138</v>
          </cell>
          <cell r="N59">
            <v>1</v>
          </cell>
          <cell r="P59">
            <v>1.6272479467765102</v>
          </cell>
          <cell r="R59">
            <v>1.8442123339589485</v>
          </cell>
          <cell r="T59">
            <v>0.41548544698808015</v>
          </cell>
        </row>
        <row r="60">
          <cell r="B60" t="str">
            <v>School K-12</v>
          </cell>
          <cell r="D60">
            <v>0.60320519116214588</v>
          </cell>
          <cell r="F60">
            <v>0.10921772097968414</v>
          </cell>
          <cell r="H60">
            <v>0.11960306835137893</v>
          </cell>
          <cell r="J60">
            <v>0.10763313395750651</v>
          </cell>
          <cell r="N60">
            <v>1</v>
          </cell>
          <cell r="P60">
            <v>0.71242291214182996</v>
          </cell>
          <cell r="R60">
            <v>0.83202598049320886</v>
          </cell>
          <cell r="T60">
            <v>0.22882078933106306</v>
          </cell>
        </row>
        <row r="61">
          <cell r="B61" t="str">
            <v>University</v>
          </cell>
          <cell r="D61">
            <v>0.6048543425709535</v>
          </cell>
          <cell r="F61">
            <v>0.11133614074086047</v>
          </cell>
          <cell r="H61">
            <v>0.12192292543336301</v>
          </cell>
          <cell r="J61">
            <v>9.5392495877299685E-2</v>
          </cell>
          <cell r="N61">
            <v>1</v>
          </cell>
          <cell r="P61">
            <v>0.7161904833118139</v>
          </cell>
          <cell r="R61">
            <v>0.83811340874517692</v>
          </cell>
          <cell r="T61">
            <v>0.23325906617422348</v>
          </cell>
        </row>
        <row r="62">
          <cell r="B62" t="str">
            <v>Warehouse</v>
          </cell>
          <cell r="D62">
            <v>0.38501028488422129</v>
          </cell>
          <cell r="F62">
            <v>0.10845017753707478</v>
          </cell>
          <cell r="H62">
            <v>0.16886590920117661</v>
          </cell>
          <cell r="J62">
            <v>8.4379810725280113E-2</v>
          </cell>
          <cell r="N62">
            <v>1</v>
          </cell>
          <cell r="P62">
            <v>0.49346046242129604</v>
          </cell>
          <cell r="R62">
            <v>0.66232637162247265</v>
          </cell>
          <cell r="T62">
            <v>0.27731608673825142</v>
          </cell>
        </row>
        <row r="63">
          <cell r="B63" t="str">
            <v>Supermarket</v>
          </cell>
          <cell r="D63">
            <v>0.6028598312945237</v>
          </cell>
          <cell r="F63">
            <v>0.1001996059488446</v>
          </cell>
          <cell r="H63">
            <v>0.11883882096353351</v>
          </cell>
          <cell r="J63">
            <v>3.2495299990479884E-2</v>
          </cell>
          <cell r="N63">
            <v>1</v>
          </cell>
          <cell r="P63">
            <v>0.70305943724336828</v>
          </cell>
          <cell r="R63">
            <v>0.82189825820690177</v>
          </cell>
          <cell r="T63">
            <v>0.21903842691237813</v>
          </cell>
        </row>
        <row r="64">
          <cell r="B64" t="str">
            <v>MiniMart</v>
          </cell>
          <cell r="D64">
            <v>0.8434836978656981</v>
          </cell>
          <cell r="F64">
            <v>0.22692007618941282</v>
          </cell>
          <cell r="H64">
            <v>0.26913193971114591</v>
          </cell>
          <cell r="J64">
            <v>9.040340182920413E-2</v>
          </cell>
          <cell r="N64">
            <v>1</v>
          </cell>
          <cell r="P64">
            <v>1.0704037740551109</v>
          </cell>
          <cell r="R64">
            <v>1.3395357137662567</v>
          </cell>
          <cell r="T64">
            <v>0.4960520159005587</v>
          </cell>
        </row>
        <row r="65">
          <cell r="B65" t="str">
            <v>Restaurant</v>
          </cell>
          <cell r="D65">
            <v>0.64488535325871588</v>
          </cell>
          <cell r="F65">
            <v>6.0800454374819832E-2</v>
          </cell>
          <cell r="H65">
            <v>7.3021604807556262E-2</v>
          </cell>
          <cell r="J65">
            <v>8.433380812675699E-2</v>
          </cell>
          <cell r="N65">
            <v>1</v>
          </cell>
          <cell r="P65">
            <v>0.70568580763353572</v>
          </cell>
          <cell r="R65">
            <v>0.77870741244109198</v>
          </cell>
          <cell r="T65">
            <v>0.13382205918237608</v>
          </cell>
        </row>
        <row r="66">
          <cell r="B66" t="str">
            <v>Lodging</v>
          </cell>
          <cell r="D66">
            <v>0.61276284036382722</v>
          </cell>
          <cell r="F66">
            <v>8.2079747969183103E-2</v>
          </cell>
          <cell r="H66">
            <v>0.13392356260225272</v>
          </cell>
          <cell r="J66">
            <v>5.7550776292341475E-2</v>
          </cell>
          <cell r="N66">
            <v>1</v>
          </cell>
          <cell r="P66">
            <v>0.69484258833301027</v>
          </cell>
          <cell r="R66">
            <v>0.82876615093526307</v>
          </cell>
          <cell r="T66">
            <v>0.21600331057143582</v>
          </cell>
        </row>
        <row r="67">
          <cell r="B67" t="str">
            <v>Hospital</v>
          </cell>
          <cell r="D67">
            <v>0.3674322409445917</v>
          </cell>
          <cell r="F67">
            <v>6.8729991227627962E-2</v>
          </cell>
          <cell r="H67">
            <v>9.5036878743934516E-2</v>
          </cell>
          <cell r="J67">
            <v>7.4279673284186956E-2</v>
          </cell>
          <cell r="N67">
            <v>1</v>
          </cell>
          <cell r="P67">
            <v>0.43616223217221967</v>
          </cell>
          <cell r="R67">
            <v>0.53119911091615413</v>
          </cell>
          <cell r="T67">
            <v>0.16376686997156248</v>
          </cell>
        </row>
        <row r="68">
          <cell r="B68" t="str">
            <v>Residential Care</v>
          </cell>
          <cell r="D68">
            <v>0.66490954263298252</v>
          </cell>
          <cell r="F68">
            <v>0.11808337270333934</v>
          </cell>
          <cell r="H68">
            <v>0.16067630304944366</v>
          </cell>
          <cell r="J68">
            <v>0.13882979401248058</v>
          </cell>
          <cell r="N68">
            <v>1</v>
          </cell>
          <cell r="P68">
            <v>0.78299291533632176</v>
          </cell>
          <cell r="R68">
            <v>0.94366921838576545</v>
          </cell>
          <cell r="T68">
            <v>0.27875967575278299</v>
          </cell>
        </row>
        <row r="69">
          <cell r="B69" t="str">
            <v>Assembly</v>
          </cell>
          <cell r="D69">
            <v>0.32835487620550452</v>
          </cell>
          <cell r="F69">
            <v>5.1505874340175277E-2</v>
          </cell>
          <cell r="H69">
            <v>0.10291738810413367</v>
          </cell>
          <cell r="J69">
            <v>5.9258362856903619E-2</v>
          </cell>
          <cell r="N69">
            <v>1</v>
          </cell>
          <cell r="P69">
            <v>0.3798607505456798</v>
          </cell>
          <cell r="R69">
            <v>0.48277813864981345</v>
          </cell>
          <cell r="T69">
            <v>0.15442326244430893</v>
          </cell>
        </row>
        <row r="70">
          <cell r="B70" t="str">
            <v>Other</v>
          </cell>
          <cell r="D70">
            <v>0.70513739953181631</v>
          </cell>
          <cell r="F70">
            <v>0.11621000159405237</v>
          </cell>
          <cell r="H70">
            <v>0.23072978831507035</v>
          </cell>
          <cell r="J70">
            <v>0.13677231456854388</v>
          </cell>
          <cell r="N70">
            <v>1</v>
          </cell>
          <cell r="P70">
            <v>0.82134740112586879</v>
          </cell>
          <cell r="R70">
            <v>1.0520771894409391</v>
          </cell>
          <cell r="T70">
            <v>0.34693978990912278</v>
          </cell>
        </row>
      </sheetData>
      <sheetData sheetId="13">
        <row r="11">
          <cell r="B11" t="str">
            <v>Floor Area of HEat Pump Space Heat as percent for Building Type</v>
          </cell>
          <cell r="C11">
            <v>6</v>
          </cell>
        </row>
        <row r="12">
          <cell r="B12" t="str">
            <v>Cooling Saturation as percent of Floor Area in Building Type</v>
          </cell>
          <cell r="C12">
            <v>7</v>
          </cell>
        </row>
        <row r="13">
          <cell r="B13" t="str">
            <v>Cooling Saturation as percent of Floor Area in Activity Type</v>
          </cell>
          <cell r="C13">
            <v>8</v>
          </cell>
        </row>
        <row r="14">
          <cell r="B14" t="str">
            <v>Package Roof Top Units as percentage of Building Type</v>
          </cell>
          <cell r="C14">
            <v>9</v>
          </cell>
        </row>
        <row r="15">
          <cell r="B15" t="str">
            <v>Package Roof Top Units as percentage of Activity Type</v>
          </cell>
          <cell r="C15">
            <v>10</v>
          </cell>
        </row>
        <row r="16">
          <cell r="B16" t="str">
            <v>Built-Up Systems as percentage of Building Type</v>
          </cell>
          <cell r="C16">
            <v>11</v>
          </cell>
        </row>
        <row r="17">
          <cell r="B17" t="str">
            <v>Built-Up Systems as percentage of Activity Type</v>
          </cell>
          <cell r="C17">
            <v>12</v>
          </cell>
        </row>
        <row r="18">
          <cell r="B18" t="str">
            <v>Multi-Zone VAV System as percentage of Building Type</v>
          </cell>
          <cell r="C18">
            <v>13</v>
          </cell>
        </row>
        <row r="19">
          <cell r="B19" t="str">
            <v>Multi-Zone VAV System as percentage of Activity Type</v>
          </cell>
          <cell r="C19">
            <v>14</v>
          </cell>
        </row>
        <row r="20">
          <cell r="B20" t="str">
            <v>Lighting savings yield for electric heat buildings with cooling weighted for cooling saturation</v>
          </cell>
          <cell r="C20">
            <v>15</v>
          </cell>
        </row>
        <row r="21">
          <cell r="B21" t="str">
            <v>Lighting savings yield for heat pump heat buildings with cooling  weighted for cooling saturation</v>
          </cell>
          <cell r="C21">
            <v>16</v>
          </cell>
        </row>
        <row r="22">
          <cell r="B22" t="str">
            <v>Lighting savings yield for gas or fossil heat buildings with cooling  weighted for cooling saturation</v>
          </cell>
          <cell r="C22">
            <v>17</v>
          </cell>
        </row>
        <row r="23">
          <cell r="B23" t="str">
            <v>Lighting savings yield for electric heat buildings with NO cooling</v>
          </cell>
          <cell r="C23">
            <v>18</v>
          </cell>
        </row>
        <row r="24">
          <cell r="B24" t="str">
            <v>Lighting savings yield for gas or fossil heat buildings with NO cooling</v>
          </cell>
          <cell r="C24">
            <v>19</v>
          </cell>
        </row>
        <row r="25">
          <cell r="B25" t="str">
            <v>Lighting savings yield IN THERMS for gas or fossil heat buildings with NO cooling</v>
          </cell>
          <cell r="C25">
            <v>20</v>
          </cell>
        </row>
        <row r="26">
          <cell r="B26" t="str">
            <v>Lighting savings yield IN THERMS for gas or fossil heat buildings with cooling</v>
          </cell>
          <cell r="C26">
            <v>21</v>
          </cell>
        </row>
        <row r="27">
          <cell r="B27" t="str">
            <v>Adjustment to LPD to reflect fraction of lights actually on during operating Hours (Effective on-hours LPD)</v>
          </cell>
          <cell r="C27">
            <v>22</v>
          </cell>
        </row>
        <row r="28">
          <cell r="B28" t="str">
            <v>Chiller system as percentage of Building Type</v>
          </cell>
          <cell r="C28">
            <v>23</v>
          </cell>
        </row>
        <row r="29">
          <cell r="B29" t="str">
            <v>Annaul hours of lighting system operation by Building Type</v>
          </cell>
          <cell r="C29">
            <v>24</v>
          </cell>
        </row>
        <row r="30">
          <cell r="B30" t="str">
            <v>Floor area not thermally conditioned by Building Type</v>
          </cell>
          <cell r="C30">
            <v>25</v>
          </cell>
        </row>
        <row r="31">
          <cell r="B31" t="str">
            <v>Fraction of package roof-top units with economizers</v>
          </cell>
          <cell r="C31">
            <v>26</v>
          </cell>
        </row>
        <row r="32">
          <cell r="B32" t="str">
            <v xml:space="preserve">Floor Area for Vintage Cohort of PRE2002 Stock </v>
          </cell>
          <cell r="C32">
            <v>27</v>
          </cell>
        </row>
        <row r="33">
          <cell r="B33" t="str">
            <v xml:space="preserve">Floor Area for Vintage Cohort of PRE2006 Stock </v>
          </cell>
          <cell r="C33">
            <v>28</v>
          </cell>
        </row>
        <row r="34">
          <cell r="B34" t="str">
            <v>Floor Area of Electric Space Heat for Complex HVAC Systems as percent for Building Type</v>
          </cell>
          <cell r="C34">
            <v>29</v>
          </cell>
        </row>
        <row r="35">
          <cell r="B35" t="str">
            <v>Floor Area of Fossil Fuel Space Heat  for Complex HVAC Systems as percent for Building Type, includes gas, oil, steam, propane</v>
          </cell>
          <cell r="C35">
            <v>30</v>
          </cell>
        </row>
        <row r="36">
          <cell r="B36" t="str">
            <v>Floor Area of Heat Pump Space Heat for Complex HVAC Systems as percent for Building Type</v>
          </cell>
          <cell r="C36">
            <v>31</v>
          </cell>
        </row>
        <row r="37">
          <cell r="B37" t="str">
            <v>Floor Area of Electric Space Heat for Simple HVAC Systems as percent for Building Type</v>
          </cell>
          <cell r="C37">
            <v>32</v>
          </cell>
        </row>
        <row r="38">
          <cell r="B38" t="str">
            <v>Floor Area of Fossil Fuel Space Heat  for Simple HVAC Systems as percent for Building Type, includes gas, oil, steam, propane</v>
          </cell>
          <cell r="C38">
            <v>33</v>
          </cell>
        </row>
        <row r="39">
          <cell r="B39" t="str">
            <v>Floor Area of Heat Pump Space Heat for Simple HVAC Systems as percent for Building Type</v>
          </cell>
          <cell r="C39">
            <v>34</v>
          </cell>
        </row>
        <row r="40">
          <cell r="B40" t="str">
            <v>Fraction of Chiller-Served Cooling Capacity that is served by Air-Cooled Chiller for HVAC system</v>
          </cell>
          <cell r="C40">
            <v>35</v>
          </cell>
        </row>
        <row r="41">
          <cell r="B41" t="str">
            <v>Fraction of Chiller-Served Cooling Capacity that is served by Water-Cooled Chiller for HVAC system</v>
          </cell>
          <cell r="C41">
            <v>36</v>
          </cell>
        </row>
        <row r="42">
          <cell r="B42" t="str">
            <v>Ratio of window area to floor area by Btype</v>
          </cell>
          <cell r="C42">
            <v>37</v>
          </cell>
        </row>
      </sheetData>
      <sheetData sheetId="14">
        <row r="11">
          <cell r="B11" t="str">
            <v>School</v>
          </cell>
          <cell r="C11" t="str">
            <v>School K-12</v>
          </cell>
          <cell r="D11" t="str">
            <v>School K-12</v>
          </cell>
          <cell r="E11" t="str">
            <v>Any</v>
          </cell>
          <cell r="F11" t="str">
            <v>K-12</v>
          </cell>
          <cell r="G11" t="str">
            <v>Any</v>
          </cell>
          <cell r="H11" t="str">
            <v>Any</v>
          </cell>
        </row>
        <row r="12">
          <cell r="B12" t="str">
            <v>School</v>
          </cell>
          <cell r="C12" t="str">
            <v>University</v>
          </cell>
          <cell r="D12" t="str">
            <v>University</v>
          </cell>
          <cell r="E12" t="str">
            <v>Any</v>
          </cell>
          <cell r="F12" t="str">
            <v>University</v>
          </cell>
          <cell r="G12" t="str">
            <v>Any</v>
          </cell>
          <cell r="H12" t="str">
            <v>Any</v>
          </cell>
        </row>
        <row r="13">
          <cell r="B13" t="str">
            <v>Warehouse</v>
          </cell>
          <cell r="C13" t="str">
            <v>Warehouse</v>
          </cell>
          <cell r="D13" t="str">
            <v>Warehouse</v>
          </cell>
          <cell r="E13" t="str">
            <v>Any</v>
          </cell>
          <cell r="F13" t="str">
            <v>Warehouse</v>
          </cell>
          <cell r="G13" t="str">
            <v>Any</v>
          </cell>
          <cell r="H13" t="str">
            <v>Any</v>
          </cell>
        </row>
        <row r="14">
          <cell r="B14" t="str">
            <v>Retail Food Sales</v>
          </cell>
          <cell r="C14" t="str">
            <v>Supermarket</v>
          </cell>
          <cell r="D14" t="str">
            <v>Supermarket</v>
          </cell>
          <cell r="E14" t="str">
            <v>&gt; 5000</v>
          </cell>
          <cell r="F14" t="str">
            <v>Supermarket</v>
          </cell>
          <cell r="G14" t="str">
            <v>&gt; 5000</v>
          </cell>
          <cell r="H14" t="str">
            <v>Any</v>
          </cell>
        </row>
        <row r="15">
          <cell r="B15" t="str">
            <v>Retail Food Sales</v>
          </cell>
          <cell r="C15" t="str">
            <v>MiniMart</v>
          </cell>
          <cell r="D15" t="str">
            <v>MiniMart</v>
          </cell>
          <cell r="E15" t="str">
            <v>&lt; 5000</v>
          </cell>
          <cell r="F15" t="str">
            <v>MiniMart</v>
          </cell>
          <cell r="G15" t="str">
            <v>&lt; 5000</v>
          </cell>
          <cell r="H15" t="str">
            <v>Any</v>
          </cell>
        </row>
        <row r="16">
          <cell r="B16" t="str">
            <v>Restaurant</v>
          </cell>
          <cell r="C16" t="str">
            <v>Restaurant</v>
          </cell>
          <cell r="D16" t="str">
            <v>Restaurant</v>
          </cell>
          <cell r="E16" t="str">
            <v>Any</v>
          </cell>
          <cell r="F16" t="str">
            <v>Restaurant</v>
          </cell>
          <cell r="G16" t="str">
            <v>Any</v>
          </cell>
          <cell r="H16" t="str">
            <v>Any</v>
          </cell>
        </row>
        <row r="17">
          <cell r="B17" t="str">
            <v>Lodging</v>
          </cell>
          <cell r="C17" t="str">
            <v>Lodging</v>
          </cell>
          <cell r="D17" t="str">
            <v>Lodging</v>
          </cell>
          <cell r="E17" t="str">
            <v>Any</v>
          </cell>
          <cell r="F17" t="str">
            <v>Lodging</v>
          </cell>
          <cell r="G17" t="str">
            <v>Any</v>
          </cell>
          <cell r="H17" t="str">
            <v>Any</v>
          </cell>
        </row>
        <row r="18">
          <cell r="B18" t="str">
            <v>Health Care</v>
          </cell>
          <cell r="C18" t="str">
            <v>Hospital</v>
          </cell>
          <cell r="D18" t="str">
            <v>Hospital</v>
          </cell>
          <cell r="E18" t="str">
            <v>Any</v>
          </cell>
          <cell r="F18" t="str">
            <v>Hospital</v>
          </cell>
          <cell r="G18" t="str">
            <v>Any</v>
          </cell>
          <cell r="H18" t="str">
            <v>Any</v>
          </cell>
        </row>
        <row r="19">
          <cell r="B19" t="str">
            <v>Health Care</v>
          </cell>
          <cell r="C19" t="str">
            <v>Residential Care</v>
          </cell>
          <cell r="D19" t="str">
            <v>Residential Care</v>
          </cell>
          <cell r="E19" t="str">
            <v>Any</v>
          </cell>
          <cell r="F19" t="str">
            <v>OtherHealth</v>
          </cell>
          <cell r="G19" t="str">
            <v>Any</v>
          </cell>
          <cell r="H19" t="str">
            <v>Any</v>
          </cell>
        </row>
        <row r="20">
          <cell r="B20" t="str">
            <v>Assembly</v>
          </cell>
          <cell r="C20" t="str">
            <v>Assembly</v>
          </cell>
          <cell r="D20" t="str">
            <v>Assembly</v>
          </cell>
          <cell r="E20" t="str">
            <v>Any</v>
          </cell>
          <cell r="F20" t="str">
            <v>Assembly</v>
          </cell>
          <cell r="G20" t="str">
            <v>Any</v>
          </cell>
          <cell r="H20" t="str">
            <v>Any</v>
          </cell>
        </row>
        <row r="21">
          <cell r="B21" t="str">
            <v>Other</v>
          </cell>
          <cell r="C21" t="str">
            <v>Other</v>
          </cell>
          <cell r="D21" t="str">
            <v>Other</v>
          </cell>
          <cell r="E21" t="str">
            <v>Any</v>
          </cell>
          <cell r="F21" t="str">
            <v>Other</v>
          </cell>
          <cell r="G21" t="str">
            <v>Any</v>
          </cell>
          <cell r="H21" t="str">
            <v>Any</v>
          </cell>
        </row>
        <row r="24">
          <cell r="B24" t="str">
            <v>Bldg_Type</v>
          </cell>
          <cell r="C24" t="str">
            <v>Office</v>
          </cell>
          <cell r="E24" t="str">
            <v>CBSA Data</v>
          </cell>
        </row>
        <row r="25">
          <cell r="B25" t="str">
            <v>HeatSys_Primary_PrimFuel</v>
          </cell>
          <cell r="C25" t="str">
            <v>(All)</v>
          </cell>
        </row>
        <row r="27">
          <cell r="C27" t="str">
            <v>Values</v>
          </cell>
        </row>
        <row r="28">
          <cell r="B28" t="str">
            <v>Row Labels</v>
          </cell>
          <cell r="C28" t="str">
            <v>Count of Bldg_Name</v>
          </cell>
          <cell r="D28" t="str">
            <v>Sum of Sf_PNW (New Data)</v>
          </cell>
          <cell r="E28" t="str">
            <v>Sum of Chiller_Qty</v>
          </cell>
          <cell r="F28" t="str">
            <v>Average of LPD_Ind</v>
          </cell>
          <cell r="G28" t="str">
            <v>WT Average of LPD_Ind</v>
          </cell>
          <cell r="I28" t="str">
            <v>WT Average of Annual Hrs_Light</v>
          </cell>
          <cell r="K28" t="str">
            <v>Average of HeatSys_ Electricity_Pct</v>
          </cell>
          <cell r="L28" t="str">
            <v>WT Average of HeatSys_ Electricity_Pct</v>
          </cell>
          <cell r="M28" t="str">
            <v>Average of Hrs_Occupied</v>
          </cell>
          <cell r="N28" t="str">
            <v>New EUIs</v>
          </cell>
        </row>
        <row r="29">
          <cell r="B29" t="str">
            <v>&lt;5,001</v>
          </cell>
          <cell r="C29">
            <v>32</v>
          </cell>
          <cell r="D29">
            <v>95458311.526895136</v>
          </cell>
          <cell r="E29">
            <v>0</v>
          </cell>
          <cell r="F29">
            <v>1.44600515748125</v>
          </cell>
          <cell r="G29">
            <v>1.4196043411312098</v>
          </cell>
          <cell r="I29">
            <v>2605.1531889816397</v>
          </cell>
          <cell r="J29">
            <v>2605.1531889816397</v>
          </cell>
          <cell r="K29">
            <v>55.871005424767731</v>
          </cell>
          <cell r="L29">
            <v>62.641582479308482</v>
          </cell>
          <cell r="M29">
            <v>51.078125</v>
          </cell>
          <cell r="N29">
            <v>15.414112631735692</v>
          </cell>
        </row>
        <row r="30">
          <cell r="B30" t="str">
            <v>5,001-20,000</v>
          </cell>
          <cell r="C30">
            <v>21</v>
          </cell>
          <cell r="D30">
            <v>179770297.47310495</v>
          </cell>
          <cell r="E30">
            <v>1</v>
          </cell>
          <cell r="F30">
            <v>1.1349086639428572</v>
          </cell>
          <cell r="G30">
            <v>1.1352814227841366</v>
          </cell>
          <cell r="H30">
            <v>1.1271197868627141</v>
          </cell>
          <cell r="I30">
            <v>2621.0311132130655</v>
          </cell>
          <cell r="J30">
            <v>2810.5319958026707</v>
          </cell>
          <cell r="K30">
            <v>54.065498637753784</v>
          </cell>
          <cell r="L30">
            <v>52.128877602508318</v>
          </cell>
          <cell r="M30">
            <v>53.38095238095238</v>
          </cell>
          <cell r="N30">
            <v>12.555992472807018</v>
          </cell>
        </row>
        <row r="31">
          <cell r="B31" t="str">
            <v>20,001-50,000</v>
          </cell>
          <cell r="C31">
            <v>29</v>
          </cell>
          <cell r="D31">
            <v>136471707.75979474</v>
          </cell>
          <cell r="E31">
            <v>4</v>
          </cell>
          <cell r="F31">
            <v>1.152219445848276</v>
          </cell>
          <cell r="G31">
            <v>1.1212096367127184</v>
          </cell>
          <cell r="I31">
            <v>3060.1561163897027</v>
          </cell>
          <cell r="K31">
            <v>37.18170782263401</v>
          </cell>
          <cell r="L31">
            <v>34.735507973306092</v>
          </cell>
          <cell r="M31">
            <v>59.137931034482762</v>
          </cell>
          <cell r="N31">
            <v>16.763935531313802</v>
          </cell>
        </row>
        <row r="32">
          <cell r="B32" t="str">
            <v>50,001-100,000</v>
          </cell>
          <cell r="C32">
            <v>10</v>
          </cell>
          <cell r="D32">
            <v>121007363.24020527</v>
          </cell>
          <cell r="E32">
            <v>13</v>
          </cell>
          <cell r="F32">
            <v>0.82888965290000005</v>
          </cell>
          <cell r="G32">
            <v>0.8372967994754239</v>
          </cell>
          <cell r="H32">
            <v>0.86082195143942553</v>
          </cell>
          <cell r="I32">
            <v>3222.7884337083865</v>
          </cell>
          <cell r="J32">
            <v>3295.5283728075524</v>
          </cell>
          <cell r="K32">
            <v>33.806146572104019</v>
          </cell>
          <cell r="L32">
            <v>24.223397014792155</v>
          </cell>
          <cell r="M32">
            <v>61.1</v>
          </cell>
          <cell r="N32">
            <v>22.992427101465715</v>
          </cell>
        </row>
        <row r="33">
          <cell r="B33" t="str">
            <v>100,001+</v>
          </cell>
          <cell r="C33">
            <v>24</v>
          </cell>
          <cell r="D33">
            <v>201650445.99999997</v>
          </cell>
          <cell r="E33">
            <v>35</v>
          </cell>
          <cell r="F33">
            <v>0.88098196757083302</v>
          </cell>
          <cell r="G33">
            <v>0.87062409809109287</v>
          </cell>
          <cell r="I33">
            <v>3339.1785030564247</v>
          </cell>
          <cell r="K33">
            <v>49.790143766954543</v>
          </cell>
          <cell r="L33">
            <v>55.115989937160393</v>
          </cell>
          <cell r="M33">
            <v>61.958333333333336</v>
          </cell>
          <cell r="N33">
            <v>14.574986322602543</v>
          </cell>
        </row>
        <row r="34">
          <cell r="B34" t="str">
            <v>Grand Total</v>
          </cell>
          <cell r="C34">
            <v>116</v>
          </cell>
          <cell r="D34">
            <v>734358126.00000024</v>
          </cell>
          <cell r="E34">
            <v>53</v>
          </cell>
          <cell r="F34">
            <v>1.1461385746767239</v>
          </cell>
          <cell r="G34">
            <v>1.0478499451391019</v>
          </cell>
          <cell r="I34">
            <v>2996.9298166001049</v>
          </cell>
          <cell r="K34">
            <v>47.761973122568946</v>
          </cell>
          <cell r="L34">
            <v>46.485045602193175</v>
          </cell>
          <cell r="M34">
            <v>56.625</v>
          </cell>
        </row>
        <row r="37">
          <cell r="B37" t="str">
            <v>Bldg_Type</v>
          </cell>
          <cell r="C37" t="str">
            <v>Retail/Service</v>
          </cell>
        </row>
        <row r="38">
          <cell r="B38" t="str">
            <v>HeatSys_Primary_PrimFuel</v>
          </cell>
          <cell r="C38" t="str">
            <v>(All)</v>
          </cell>
        </row>
        <row r="40">
          <cell r="C40" t="str">
            <v>Values</v>
          </cell>
        </row>
        <row r="41">
          <cell r="B41" t="str">
            <v>Row Labels</v>
          </cell>
          <cell r="C41" t="str">
            <v>Count of Bldg_Name</v>
          </cell>
          <cell r="D41" t="str">
            <v>Sum of Sf_PNW (New Data)</v>
          </cell>
          <cell r="E41" t="str">
            <v>Sum of Chiller_Qty</v>
          </cell>
          <cell r="F41" t="str">
            <v>Average of LPD_Ind</v>
          </cell>
          <cell r="G41" t="str">
            <v>WT Average of LPD_Ind</v>
          </cell>
          <cell r="I41" t="str">
            <v>WT Average of Annual Hrs_Light</v>
          </cell>
          <cell r="K41" t="str">
            <v>Average of HeatSys_Electricity_Pct</v>
          </cell>
          <cell r="L41" t="str">
            <v>WT Average of HeatSys_ Electricity_Pct</v>
          </cell>
          <cell r="M41" t="str">
            <v>Average of Hrs_Occupied</v>
          </cell>
          <cell r="N41" t="str">
            <v>New EUIs</v>
          </cell>
        </row>
        <row r="42">
          <cell r="B42" t="str">
            <v>&lt;5,001</v>
          </cell>
          <cell r="C42">
            <v>30</v>
          </cell>
          <cell r="D42">
            <v>59224380.554442525</v>
          </cell>
          <cell r="E42">
            <v>0</v>
          </cell>
          <cell r="F42">
            <v>1.5272819154399999</v>
          </cell>
          <cell r="G42">
            <v>1.4369897064659012</v>
          </cell>
          <cell r="I42">
            <v>2762.118796566951</v>
          </cell>
          <cell r="K42">
            <v>43.785677771108105</v>
          </cell>
          <cell r="L42">
            <v>33.051637833495548</v>
          </cell>
          <cell r="M42">
            <v>55.1</v>
          </cell>
          <cell r="N42">
            <v>12.875436812066214</v>
          </cell>
        </row>
        <row r="43">
          <cell r="B43" t="str">
            <v>5,001-20,000</v>
          </cell>
          <cell r="C43">
            <v>25</v>
          </cell>
          <cell r="D43">
            <v>186496889.44555736</v>
          </cell>
          <cell r="E43">
            <v>0</v>
          </cell>
          <cell r="F43">
            <v>1.2664125675400002</v>
          </cell>
          <cell r="G43">
            <v>1.2388327171274434</v>
          </cell>
          <cell r="I43">
            <v>3795.0044826849821</v>
          </cell>
          <cell r="K43">
            <v>37.407750162009684</v>
          </cell>
          <cell r="L43">
            <v>23.158266244637343</v>
          </cell>
          <cell r="M43">
            <v>76.34</v>
          </cell>
          <cell r="N43">
            <v>12.333063850163656</v>
          </cell>
        </row>
        <row r="44">
          <cell r="B44" t="str">
            <v>20,001-50,000</v>
          </cell>
          <cell r="C44">
            <v>34</v>
          </cell>
          <cell r="D44">
            <v>159704133.08919233</v>
          </cell>
          <cell r="E44">
            <v>0</v>
          </cell>
          <cell r="F44">
            <v>1.0958497064352939</v>
          </cell>
          <cell r="G44">
            <v>1.0864505514680138</v>
          </cell>
          <cell r="H44">
            <v>1.0777987100431961</v>
          </cell>
          <cell r="I44">
            <v>3667.5345811967941</v>
          </cell>
          <cell r="J44">
            <v>3692.2254794077244</v>
          </cell>
          <cell r="K44">
            <v>13.037434423723496</v>
          </cell>
          <cell r="L44">
            <v>11.646288604900541</v>
          </cell>
          <cell r="M44">
            <v>72.32352941176471</v>
          </cell>
          <cell r="N44">
            <v>10.175630709696762</v>
          </cell>
        </row>
        <row r="45">
          <cell r="B45" t="str">
            <v>50,001-100,000</v>
          </cell>
          <cell r="C45">
            <v>4</v>
          </cell>
          <cell r="D45">
            <v>31550759.910807587</v>
          </cell>
          <cell r="E45">
            <v>0</v>
          </cell>
          <cell r="F45">
            <v>0.98225486277500007</v>
          </cell>
          <cell r="G45">
            <v>1.004258057932244</v>
          </cell>
          <cell r="I45">
            <v>3817.2062565781425</v>
          </cell>
          <cell r="K45">
            <v>1.8510750088321051</v>
          </cell>
          <cell r="L45">
            <v>1.570370412390194</v>
          </cell>
          <cell r="M45">
            <v>77.25</v>
          </cell>
          <cell r="N45">
            <v>10.151096637221519</v>
          </cell>
        </row>
        <row r="46">
          <cell r="B46" t="str">
            <v>100,001+</v>
          </cell>
          <cell r="C46">
            <v>34</v>
          </cell>
          <cell r="D46">
            <v>133953325</v>
          </cell>
          <cell r="E46">
            <v>6</v>
          </cell>
          <cell r="F46">
            <v>1.1930721681228571</v>
          </cell>
          <cell r="G46">
            <v>1.1904887164069691</v>
          </cell>
          <cell r="I46">
            <v>6230.7045853104373</v>
          </cell>
          <cell r="K46">
            <v>12.375882269927777</v>
          </cell>
          <cell r="L46">
            <v>8.4570799844658442</v>
          </cell>
          <cell r="M46">
            <v>128.59285714285716</v>
          </cell>
          <cell r="N46">
            <v>17.009833900111737</v>
          </cell>
        </row>
        <row r="47">
          <cell r="B47" t="str">
            <v>Grand Total</v>
          </cell>
          <cell r="C47">
            <v>127</v>
          </cell>
          <cell r="D47">
            <v>570929487.99999988</v>
          </cell>
          <cell r="E47">
            <v>6</v>
          </cell>
          <cell r="F47">
            <v>1.2533141172335944</v>
          </cell>
          <cell r="G47">
            <v>1.1924571389360319</v>
          </cell>
          <cell r="I47">
            <v>4224.9019225439506</v>
          </cell>
          <cell r="K47">
            <v>24.047433324688789</v>
          </cell>
          <cell r="L47">
            <v>16.322099981443166</v>
          </cell>
          <cell r="M47">
            <v>84.611328125</v>
          </cell>
        </row>
        <row r="56">
          <cell r="B56" t="str">
            <v>Map to building occupancy codes for various sources</v>
          </cell>
        </row>
        <row r="58">
          <cell r="B58" t="str">
            <v>Ecotope Building Type</v>
          </cell>
          <cell r="C58" t="str">
            <v>NPPC BUILDTYPE</v>
          </cell>
          <cell r="E58" t="str">
            <v>NPPC to Ecotope</v>
          </cell>
          <cell r="F58" t="str">
            <v>NPPC Ten</v>
          </cell>
          <cell r="H58" t="str">
            <v>VCohort</v>
          </cell>
          <cell r="N58" t="str">
            <v>Characteristics</v>
          </cell>
        </row>
        <row r="59">
          <cell r="B59" t="str">
            <v>Assembly</v>
          </cell>
          <cell r="C59" t="str">
            <v>Large Off</v>
          </cell>
          <cell r="E59" t="str">
            <v>Office - Large</v>
          </cell>
          <cell r="F59" t="str">
            <v>Large Off</v>
          </cell>
          <cell r="H59" t="str">
            <v>New</v>
          </cell>
          <cell r="I59" t="str">
            <v>Apples to new floor area in year</v>
          </cell>
          <cell r="L59" t="str">
            <v>Primary Activity</v>
          </cell>
          <cell r="M59" t="str">
            <v>Council Building Type</v>
          </cell>
          <cell r="N59" t="str">
            <v>Gross Floor Area in Square Feet</v>
          </cell>
          <cell r="O59" t="str">
            <v>Number of Stories</v>
          </cell>
          <cell r="P59" t="str">
            <v>Other</v>
          </cell>
        </row>
        <row r="60">
          <cell r="B60" t="str">
            <v>College</v>
          </cell>
          <cell r="C60" t="str">
            <v>Medium Off</v>
          </cell>
          <cell r="E60" t="str">
            <v>Office - Large</v>
          </cell>
          <cell r="F60" t="str">
            <v>Medium Off</v>
          </cell>
          <cell r="H60" t="str">
            <v>Retrofit</v>
          </cell>
          <cell r="I60" t="str">
            <v>Applies to existing floor area in year taking account of demolition, NR, and baseline measure penetration.</v>
          </cell>
          <cell r="L60" t="str">
            <v>Office</v>
          </cell>
          <cell r="M60" t="str">
            <v>Large Office</v>
          </cell>
          <cell r="N60" t="str">
            <v>&gt; 100,000</v>
          </cell>
          <cell r="O60" t="str">
            <v>Any</v>
          </cell>
        </row>
        <row r="61">
          <cell r="B61" t="str">
            <v>Grocery</v>
          </cell>
          <cell r="C61" t="str">
            <v>Small Off</v>
          </cell>
          <cell r="E61" t="str">
            <v>Office - Small</v>
          </cell>
          <cell r="F61" t="str">
            <v>Small Off</v>
          </cell>
          <cell r="H61" t="str">
            <v>NR</v>
          </cell>
          <cell r="I61" t="str">
            <v>Applies at natural replacement of system or component. Replace on Burn Out</v>
          </cell>
          <cell r="L61" t="str">
            <v>Office</v>
          </cell>
          <cell r="M61" t="str">
            <v>Medium Office</v>
          </cell>
          <cell r="N61" t="str">
            <v>20,000 to 100,000</v>
          </cell>
          <cell r="O61" t="str">
            <v>Any</v>
          </cell>
        </row>
        <row r="62">
          <cell r="B62" t="str">
            <v>Hospital</v>
          </cell>
          <cell r="C62" t="str">
            <v>Big Box</v>
          </cell>
          <cell r="E62" t="str">
            <v>Retail - Large</v>
          </cell>
          <cell r="F62" t="str">
            <v>Big Box</v>
          </cell>
          <cell r="L62" t="str">
            <v>Office</v>
          </cell>
          <cell r="M62" t="str">
            <v>Small Office</v>
          </cell>
          <cell r="N62" t="str">
            <v>&lt; 20,000</v>
          </cell>
          <cell r="O62" t="str">
            <v>Any</v>
          </cell>
        </row>
        <row r="63">
          <cell r="B63" t="str">
            <v>Hotel</v>
          </cell>
          <cell r="C63" t="str">
            <v>Small Box</v>
          </cell>
          <cell r="E63" t="str">
            <v>Retail - Small</v>
          </cell>
          <cell r="F63" t="str">
            <v>Small Box</v>
          </cell>
          <cell r="L63" t="str">
            <v>Retail</v>
          </cell>
          <cell r="M63" t="str">
            <v>Big Box</v>
          </cell>
          <cell r="N63" t="str">
            <v>&gt; 50,000</v>
          </cell>
          <cell r="O63">
            <v>1</v>
          </cell>
          <cell r="P63" t="str">
            <v>Includes some Grocery</v>
          </cell>
        </row>
        <row r="64">
          <cell r="B64" t="str">
            <v>Lab</v>
          </cell>
          <cell r="C64" t="str">
            <v>High End</v>
          </cell>
          <cell r="E64" t="str">
            <v>Retail - Small</v>
          </cell>
          <cell r="F64" t="str">
            <v>High End</v>
          </cell>
          <cell r="L64" t="str">
            <v>Retail</v>
          </cell>
          <cell r="M64" t="str">
            <v>Small Box</v>
          </cell>
          <cell r="N64" t="str">
            <v>&lt;50,000</v>
          </cell>
          <cell r="O64">
            <v>1</v>
          </cell>
        </row>
        <row r="65">
          <cell r="B65" t="str">
            <v>Laundry</v>
          </cell>
          <cell r="C65" t="str">
            <v>Anchor</v>
          </cell>
          <cell r="E65" t="str">
            <v>Retail - Large</v>
          </cell>
          <cell r="F65" t="str">
            <v>Anchor</v>
          </cell>
          <cell r="L65" t="str">
            <v>Retail</v>
          </cell>
          <cell r="M65" t="str">
            <v>High End</v>
          </cell>
          <cell r="N65" t="str">
            <v>&lt; 20,000</v>
          </cell>
          <cell r="O65">
            <v>1</v>
          </cell>
          <cell r="P65" t="str">
            <v>High lighting density</v>
          </cell>
        </row>
        <row r="66">
          <cell r="B66" t="str">
            <v>Motel</v>
          </cell>
          <cell r="C66" t="str">
            <v>K-12</v>
          </cell>
          <cell r="E66" t="str">
            <v>School - Primary</v>
          </cell>
          <cell r="F66" t="str">
            <v>K-13</v>
          </cell>
          <cell r="L66" t="str">
            <v>Retail</v>
          </cell>
          <cell r="M66" t="str">
            <v>Anchor</v>
          </cell>
          <cell r="N66" t="str">
            <v>&gt; 50,000</v>
          </cell>
          <cell r="O66" t="str">
            <v>&gt;1</v>
          </cell>
        </row>
        <row r="67">
          <cell r="B67" t="str">
            <v>Office - Large</v>
          </cell>
          <cell r="C67" t="str">
            <v>University</v>
          </cell>
          <cell r="E67" t="str">
            <v>College</v>
          </cell>
          <cell r="F67" t="str">
            <v>University</v>
          </cell>
          <cell r="L67" t="str">
            <v>School</v>
          </cell>
          <cell r="M67" t="str">
            <v>K-12</v>
          </cell>
          <cell r="N67" t="str">
            <v>Any</v>
          </cell>
          <cell r="O67" t="str">
            <v>Any</v>
          </cell>
        </row>
        <row r="68">
          <cell r="B68" t="str">
            <v>Office - Small</v>
          </cell>
          <cell r="C68" t="str">
            <v>Warehouse</v>
          </cell>
          <cell r="E68" t="str">
            <v>Warehouse</v>
          </cell>
          <cell r="F68" t="str">
            <v>Warehouse</v>
          </cell>
          <cell r="L68" t="str">
            <v>School</v>
          </cell>
          <cell r="M68" t="str">
            <v>University</v>
          </cell>
          <cell r="N68" t="str">
            <v>Any</v>
          </cell>
          <cell r="O68" t="str">
            <v>Any</v>
          </cell>
        </row>
        <row r="69">
          <cell r="B69" t="str">
            <v>Rest-Fast Food</v>
          </cell>
          <cell r="C69" t="str">
            <v>Supermarket</v>
          </cell>
          <cell r="E69" t="str">
            <v>Grocery</v>
          </cell>
          <cell r="F69" t="str">
            <v>Supermarket</v>
          </cell>
          <cell r="L69" t="str">
            <v>Warehouse</v>
          </cell>
          <cell r="M69" t="str">
            <v>Warehouse</v>
          </cell>
          <cell r="N69" t="str">
            <v>Any</v>
          </cell>
          <cell r="O69" t="str">
            <v>Any</v>
          </cell>
        </row>
        <row r="70">
          <cell r="B70" t="str">
            <v>Rest-Full Serve</v>
          </cell>
          <cell r="C70" t="str">
            <v>MIniMart</v>
          </cell>
          <cell r="E70" t="str">
            <v>Grocery</v>
          </cell>
          <cell r="F70" t="str">
            <v>MIniMart</v>
          </cell>
          <cell r="L70" t="str">
            <v>Retail Food Sales</v>
          </cell>
          <cell r="M70" t="str">
            <v>Supermarket</v>
          </cell>
          <cell r="N70" t="str">
            <v>&gt; 5000</v>
          </cell>
          <cell r="O70" t="str">
            <v>Any</v>
          </cell>
        </row>
        <row r="71">
          <cell r="B71" t="str">
            <v>Retail - Large</v>
          </cell>
          <cell r="C71" t="str">
            <v>Restaurant</v>
          </cell>
          <cell r="E71" t="str">
            <v>Rest-Fast Food</v>
          </cell>
          <cell r="F71" t="str">
            <v>Restaurant</v>
          </cell>
          <cell r="L71" t="str">
            <v>Retail Food Sales</v>
          </cell>
          <cell r="M71" t="str">
            <v>MiniMart</v>
          </cell>
          <cell r="N71" t="str">
            <v>&lt; 5000</v>
          </cell>
          <cell r="O71" t="str">
            <v>Any</v>
          </cell>
        </row>
        <row r="72">
          <cell r="B72" t="str">
            <v>Retail - Small</v>
          </cell>
          <cell r="C72" t="str">
            <v>Lodging</v>
          </cell>
          <cell r="E72" t="str">
            <v>Motel</v>
          </cell>
          <cell r="F72" t="str">
            <v>Lodging</v>
          </cell>
          <cell r="L72" t="str">
            <v>Restaurant</v>
          </cell>
          <cell r="M72" t="str">
            <v>Restaurant</v>
          </cell>
          <cell r="N72" t="str">
            <v>Any</v>
          </cell>
          <cell r="O72" t="str">
            <v>Any</v>
          </cell>
        </row>
        <row r="73">
          <cell r="B73" t="str">
            <v>Retirement</v>
          </cell>
          <cell r="C73" t="str">
            <v>Hospital</v>
          </cell>
          <cell r="E73" t="str">
            <v>Hospital</v>
          </cell>
          <cell r="F73" t="str">
            <v>Hospital</v>
          </cell>
          <cell r="L73" t="str">
            <v>Lodging</v>
          </cell>
          <cell r="M73" t="str">
            <v>Lodging</v>
          </cell>
          <cell r="N73" t="str">
            <v>Any</v>
          </cell>
          <cell r="O73" t="str">
            <v>Any</v>
          </cell>
        </row>
        <row r="74">
          <cell r="B74" t="str">
            <v>School - Primary</v>
          </cell>
          <cell r="C74" t="str">
            <v>OtherHealth</v>
          </cell>
          <cell r="E74" t="str">
            <v>Skilled Nursing</v>
          </cell>
          <cell r="F74" t="str">
            <v>OtherHealth</v>
          </cell>
          <cell r="L74" t="str">
            <v>Health Care</v>
          </cell>
          <cell r="M74" t="str">
            <v>Hospital</v>
          </cell>
          <cell r="N74" t="str">
            <v>Any</v>
          </cell>
          <cell r="O74" t="str">
            <v>Any</v>
          </cell>
        </row>
        <row r="75">
          <cell r="B75" t="str">
            <v>School - Secondary</v>
          </cell>
          <cell r="C75" t="str">
            <v>Assembly</v>
          </cell>
          <cell r="E75" t="str">
            <v>Assembly</v>
          </cell>
          <cell r="L75" t="str">
            <v>Health Care</v>
          </cell>
          <cell r="M75" t="str">
            <v>OtherHealth</v>
          </cell>
          <cell r="N75" t="str">
            <v>Any</v>
          </cell>
          <cell r="O75" t="str">
            <v>Any</v>
          </cell>
        </row>
        <row r="76">
          <cell r="B76" t="str">
            <v>Workshop</v>
          </cell>
          <cell r="C76" t="str">
            <v>Other</v>
          </cell>
          <cell r="E76" t="str">
            <v>Other</v>
          </cell>
          <cell r="F76" t="str">
            <v>Other</v>
          </cell>
          <cell r="L76" t="str">
            <v>Other</v>
          </cell>
          <cell r="M76" t="str">
            <v>Other</v>
          </cell>
          <cell r="N76" t="str">
            <v>Any</v>
          </cell>
          <cell r="O76" t="str">
            <v>Any</v>
          </cell>
        </row>
        <row r="77">
          <cell r="B77" t="str">
            <v>Skilled Nursing</v>
          </cell>
        </row>
        <row r="78">
          <cell r="B78" t="str">
            <v>Warehouse</v>
          </cell>
        </row>
        <row r="79">
          <cell r="B79" t="str">
            <v>Other</v>
          </cell>
        </row>
        <row r="81">
          <cell r="E81" t="str">
            <v>Characteristics</v>
          </cell>
        </row>
        <row r="82">
          <cell r="C82" t="str">
            <v>NPPC BUILDTYPE</v>
          </cell>
          <cell r="E82" t="str">
            <v>Primary Activity</v>
          </cell>
          <cell r="F82" t="str">
            <v>Gross Floor Area</v>
          </cell>
          <cell r="G82" t="str">
            <v>Number of Stories</v>
          </cell>
          <cell r="H82" t="str">
            <v>Other</v>
          </cell>
          <cell r="I82" t="str">
            <v>Note</v>
          </cell>
        </row>
        <row r="83">
          <cell r="C83" t="str">
            <v>Large Off</v>
          </cell>
          <cell r="E83" t="str">
            <v>Office</v>
          </cell>
          <cell r="F83" t="str">
            <v>&gt; 100,000</v>
          </cell>
          <cell r="G83" t="str">
            <v>Any</v>
          </cell>
        </row>
        <row r="84">
          <cell r="C84" t="str">
            <v>Medium Off</v>
          </cell>
          <cell r="E84" t="str">
            <v>Office</v>
          </cell>
          <cell r="F84" t="str">
            <v>20,000 to 100,000</v>
          </cell>
          <cell r="G84" t="str">
            <v>Any</v>
          </cell>
        </row>
        <row r="85">
          <cell r="C85" t="str">
            <v>Small Off</v>
          </cell>
          <cell r="E85" t="str">
            <v>Office</v>
          </cell>
          <cell r="F85" t="str">
            <v>&lt; 20,000</v>
          </cell>
          <cell r="G85" t="str">
            <v>Any</v>
          </cell>
        </row>
        <row r="86">
          <cell r="C86" t="str">
            <v>Big Box</v>
          </cell>
          <cell r="E86" t="str">
            <v>Retail</v>
          </cell>
          <cell r="F86" t="str">
            <v>&gt; 50,000</v>
          </cell>
          <cell r="G86">
            <v>1</v>
          </cell>
          <cell r="I86" t="str">
            <v>Includes some stores that have groceries inside</v>
          </cell>
        </row>
        <row r="87">
          <cell r="C87" t="str">
            <v>Small Box</v>
          </cell>
          <cell r="E87" t="str">
            <v>Retail</v>
          </cell>
          <cell r="F87" t="str">
            <v>&lt;50,000</v>
          </cell>
          <cell r="G87">
            <v>1</v>
          </cell>
        </row>
        <row r="88">
          <cell r="C88" t="str">
            <v>High End</v>
          </cell>
          <cell r="E88" t="str">
            <v>Retail</v>
          </cell>
          <cell r="F88" t="str">
            <v>&lt; 20,000</v>
          </cell>
          <cell r="G88">
            <v>1</v>
          </cell>
          <cell r="H88" t="str">
            <v>and LPD &gt; 2.0 w/sf</v>
          </cell>
        </row>
        <row r="89">
          <cell r="C89" t="str">
            <v>Anchor</v>
          </cell>
          <cell r="E89" t="str">
            <v>Retail</v>
          </cell>
          <cell r="F89" t="str">
            <v>&gt; 50,000</v>
          </cell>
          <cell r="G89" t="str">
            <v>&gt;1</v>
          </cell>
        </row>
        <row r="90">
          <cell r="C90" t="str">
            <v>K-12</v>
          </cell>
          <cell r="E90" t="str">
            <v>School</v>
          </cell>
          <cell r="F90" t="str">
            <v>Any</v>
          </cell>
          <cell r="G90" t="str">
            <v>Any</v>
          </cell>
        </row>
        <row r="91">
          <cell r="C91" t="str">
            <v>University</v>
          </cell>
          <cell r="E91" t="str">
            <v>School</v>
          </cell>
          <cell r="F91" t="str">
            <v>Any</v>
          </cell>
          <cell r="G91" t="str">
            <v>Any</v>
          </cell>
        </row>
        <row r="92">
          <cell r="C92" t="str">
            <v>Warehouse</v>
          </cell>
          <cell r="E92" t="str">
            <v>Warehouse</v>
          </cell>
          <cell r="F92" t="str">
            <v>Any</v>
          </cell>
          <cell r="G92" t="str">
            <v>Any</v>
          </cell>
        </row>
        <row r="93">
          <cell r="C93" t="str">
            <v>Supermarket</v>
          </cell>
          <cell r="E93" t="str">
            <v>Retail Food</v>
          </cell>
          <cell r="F93" t="str">
            <v>&gt; 5000</v>
          </cell>
          <cell r="G93" t="str">
            <v>Any</v>
          </cell>
        </row>
        <row r="94">
          <cell r="C94" t="str">
            <v>MIniMart</v>
          </cell>
          <cell r="E94" t="str">
            <v>Retail Food</v>
          </cell>
          <cell r="F94" t="str">
            <v>&lt;= 5000</v>
          </cell>
          <cell r="G94" t="str">
            <v>Any</v>
          </cell>
        </row>
        <row r="95">
          <cell r="C95" t="str">
            <v>Restaurant</v>
          </cell>
          <cell r="E95" t="str">
            <v>Retail Food</v>
          </cell>
          <cell r="F95" t="str">
            <v>Any</v>
          </cell>
          <cell r="G95" t="str">
            <v>Any</v>
          </cell>
        </row>
        <row r="96">
          <cell r="C96" t="str">
            <v>Lodging</v>
          </cell>
          <cell r="E96" t="str">
            <v>Lodging</v>
          </cell>
          <cell r="F96" t="str">
            <v>Any</v>
          </cell>
          <cell r="G96" t="str">
            <v>Any</v>
          </cell>
        </row>
        <row r="97">
          <cell r="C97" t="str">
            <v>Hospital</v>
          </cell>
          <cell r="E97" t="str">
            <v>Health Care</v>
          </cell>
          <cell r="F97" t="str">
            <v>Any</v>
          </cell>
          <cell r="G97" t="str">
            <v>Any</v>
          </cell>
        </row>
        <row r="98">
          <cell r="C98" t="str">
            <v>OtherHealth</v>
          </cell>
          <cell r="E98" t="str">
            <v>Health Care</v>
          </cell>
          <cell r="F98" t="str">
            <v>Any</v>
          </cell>
          <cell r="G98" t="str">
            <v>Any</v>
          </cell>
        </row>
        <row r="99">
          <cell r="C99" t="str">
            <v>Other</v>
          </cell>
          <cell r="E99" t="str">
            <v>Other</v>
          </cell>
          <cell r="F99" t="str">
            <v>Any</v>
          </cell>
          <cell r="G99" t="str">
            <v>Any</v>
          </cell>
        </row>
      </sheetData>
      <sheetData sheetId="15">
        <row r="4">
          <cell r="C4" t="str">
            <v>PRE2002</v>
          </cell>
          <cell r="D4" t="str">
            <v>Com_Master_7P.xlsm!_PRE2002</v>
          </cell>
        </row>
        <row r="5">
          <cell r="C5" t="str">
            <v>PRE1987</v>
          </cell>
          <cell r="D5" t="str">
            <v>Com_Master_7P.xlsm!PRE1987</v>
          </cell>
        </row>
        <row r="6">
          <cell r="C6" t="str">
            <v>POST2002</v>
          </cell>
          <cell r="D6" t="str">
            <v>Com_Master_7P.xlsm!POST2002</v>
          </cell>
        </row>
        <row r="7">
          <cell r="C7" t="str">
            <v>V1987_2001</v>
          </cell>
          <cell r="D7" t="str">
            <v>Com_Master_7P.xlsm!V1987_2001</v>
          </cell>
        </row>
        <row r="8">
          <cell r="C8" t="str">
            <v>V1987_1994</v>
          </cell>
          <cell r="D8" t="str">
            <v>Com_Master_7P.xlsm!V1987_1994</v>
          </cell>
        </row>
        <row r="9">
          <cell r="C9" t="str">
            <v>V1995_2001</v>
          </cell>
          <cell r="D9" t="str">
            <v>Com_Master_7P.xlsm!V1995_2001</v>
          </cell>
        </row>
        <row r="10">
          <cell r="C10" t="str">
            <v>V2002_2006</v>
          </cell>
          <cell r="D10" t="str">
            <v>Com_Master_7P.xlsm!V2002_2006</v>
          </cell>
        </row>
        <row r="11">
          <cell r="C11" t="str">
            <v>POST2013</v>
          </cell>
          <cell r="D11" t="str">
            <v>Com_Master_7P.xlsm!POST2013</v>
          </cell>
        </row>
        <row r="12">
          <cell r="C12" t="str">
            <v>_PRE2013</v>
          </cell>
          <cell r="D12" t="str">
            <v>Com_Master_7P.xlsm!_PRE2013</v>
          </cell>
        </row>
      </sheetData>
      <sheetData sheetId="16">
        <row r="11">
          <cell r="B11" t="e">
            <v>#REF!</v>
          </cell>
          <cell r="C11" t="e">
            <v>#REF!</v>
          </cell>
          <cell r="D11" t="e">
            <v>#REF!</v>
          </cell>
          <cell r="E11" t="e">
            <v>#REF!</v>
          </cell>
          <cell r="F11" t="e">
            <v>#REF!</v>
          </cell>
          <cell r="G11" t="e">
            <v>#REF!</v>
          </cell>
          <cell r="H11" t="e">
            <v>#REF!</v>
          </cell>
          <cell r="I11" t="e">
            <v>#REF!</v>
          </cell>
          <cell r="J11" t="e">
            <v>#REF!</v>
          </cell>
          <cell r="K11" t="e">
            <v>#REF!</v>
          </cell>
          <cell r="L11" t="e">
            <v>#REF!</v>
          </cell>
          <cell r="M11" t="e">
            <v>#REF!</v>
          </cell>
          <cell r="N11" t="e">
            <v>#REF!</v>
          </cell>
          <cell r="O11" t="e">
            <v>#REF!</v>
          </cell>
          <cell r="P11" t="e">
            <v>#REF!</v>
          </cell>
          <cell r="Q11" t="e">
            <v>#REF!</v>
          </cell>
          <cell r="R11" t="e">
            <v>#REF!</v>
          </cell>
          <cell r="S11" t="e">
            <v>#REF!</v>
          </cell>
          <cell r="T11" t="e">
            <v>#REF!</v>
          </cell>
          <cell r="U11" t="e">
            <v>#REF!</v>
          </cell>
        </row>
        <row r="12">
          <cell r="B12" t="e">
            <v>#REF!</v>
          </cell>
          <cell r="C12" t="e">
            <v>#REF!</v>
          </cell>
          <cell r="D12" t="e">
            <v>#REF!</v>
          </cell>
          <cell r="E12" t="e">
            <v>#REF!</v>
          </cell>
          <cell r="F12" t="e">
            <v>#REF!</v>
          </cell>
          <cell r="G12" t="e">
            <v>#REF!</v>
          </cell>
          <cell r="H12" t="e">
            <v>#REF!</v>
          </cell>
          <cell r="I12" t="e">
            <v>#REF!</v>
          </cell>
          <cell r="J12" t="e">
            <v>#REF!</v>
          </cell>
          <cell r="K12" t="e">
            <v>#REF!</v>
          </cell>
          <cell r="L12" t="e">
            <v>#REF!</v>
          </cell>
          <cell r="M12" t="e">
            <v>#REF!</v>
          </cell>
          <cell r="N12" t="e">
            <v>#REF!</v>
          </cell>
          <cell r="O12" t="e">
            <v>#REF!</v>
          </cell>
          <cell r="P12" t="e">
            <v>#REF!</v>
          </cell>
          <cell r="Q12" t="e">
            <v>#REF!</v>
          </cell>
          <cell r="R12" t="e">
            <v>#REF!</v>
          </cell>
          <cell r="S12" t="e">
            <v>#REF!</v>
          </cell>
          <cell r="T12" t="e">
            <v>#REF!</v>
          </cell>
          <cell r="U12" t="e">
            <v>#REF!</v>
          </cell>
        </row>
        <row r="13">
          <cell r="B13" t="e">
            <v>#REF!</v>
          </cell>
          <cell r="C13" t="e">
            <v>#REF!</v>
          </cell>
          <cell r="D13" t="e">
            <v>#REF!</v>
          </cell>
          <cell r="E13" t="e">
            <v>#REF!</v>
          </cell>
          <cell r="F13" t="e">
            <v>#REF!</v>
          </cell>
          <cell r="G13" t="e">
            <v>#REF!</v>
          </cell>
          <cell r="H13" t="e">
            <v>#REF!</v>
          </cell>
          <cell r="I13" t="e">
            <v>#REF!</v>
          </cell>
          <cell r="J13" t="e">
            <v>#REF!</v>
          </cell>
          <cell r="K13" t="e">
            <v>#REF!</v>
          </cell>
          <cell r="L13" t="e">
            <v>#REF!</v>
          </cell>
          <cell r="M13" t="e">
            <v>#REF!</v>
          </cell>
          <cell r="N13" t="e">
            <v>#REF!</v>
          </cell>
          <cell r="O13" t="e">
            <v>#REF!</v>
          </cell>
          <cell r="P13" t="e">
            <v>#REF!</v>
          </cell>
          <cell r="Q13" t="e">
            <v>#REF!</v>
          </cell>
          <cell r="R13" t="e">
            <v>#REF!</v>
          </cell>
          <cell r="S13" t="e">
            <v>#REF!</v>
          </cell>
          <cell r="T13" t="e">
            <v>#REF!</v>
          </cell>
          <cell r="U13" t="e">
            <v>#REF!</v>
          </cell>
        </row>
        <row r="14">
          <cell r="B14" t="e">
            <v>#REF!</v>
          </cell>
          <cell r="C14" t="e">
            <v>#REF!</v>
          </cell>
          <cell r="F14" t="e">
            <v>#REF!</v>
          </cell>
          <cell r="J14" t="e">
            <v>#REF!</v>
          </cell>
          <cell r="L14" t="e">
            <v>#REF!</v>
          </cell>
          <cell r="M14" t="e">
            <v>#REF!</v>
          </cell>
          <cell r="O14" t="e">
            <v>#REF!</v>
          </cell>
          <cell r="P14" t="e">
            <v>#REF!</v>
          </cell>
          <cell r="Q14" t="e">
            <v>#REF!</v>
          </cell>
          <cell r="S14" t="e">
            <v>#REF!</v>
          </cell>
          <cell r="T14" t="e">
            <v>#REF!</v>
          </cell>
          <cell r="U14" t="e">
            <v>#REF!</v>
          </cell>
        </row>
        <row r="15">
          <cell r="B15" t="e">
            <v>#REF!</v>
          </cell>
          <cell r="C15" t="e">
            <v>#REF!</v>
          </cell>
          <cell r="D15" t="e">
            <v>#REF!</v>
          </cell>
          <cell r="E15" t="e">
            <v>#REF!</v>
          </cell>
          <cell r="F15" t="e">
            <v>#REF!</v>
          </cell>
          <cell r="G15" t="e">
            <v>#REF!</v>
          </cell>
          <cell r="H15" t="e">
            <v>#REF!</v>
          </cell>
          <cell r="I15" t="e">
            <v>#REF!</v>
          </cell>
          <cell r="J15" t="e">
            <v>#REF!</v>
          </cell>
          <cell r="K15" t="e">
            <v>#REF!</v>
          </cell>
          <cell r="L15" t="e">
            <v>#REF!</v>
          </cell>
          <cell r="M15" t="e">
            <v>#REF!</v>
          </cell>
          <cell r="N15" t="e">
            <v>#REF!</v>
          </cell>
          <cell r="O15" t="e">
            <v>#REF!</v>
          </cell>
          <cell r="P15" t="e">
            <v>#REF!</v>
          </cell>
          <cell r="Q15" t="e">
            <v>#REF!</v>
          </cell>
          <cell r="R15" t="e">
            <v>#REF!</v>
          </cell>
          <cell r="S15" t="e">
            <v>#REF!</v>
          </cell>
          <cell r="T15" t="e">
            <v>#REF!</v>
          </cell>
          <cell r="U15" t="e">
            <v>#REF!</v>
          </cell>
        </row>
        <row r="16">
          <cell r="B16" t="e">
            <v>#REF!</v>
          </cell>
          <cell r="C16" t="e">
            <v>#REF!</v>
          </cell>
          <cell r="F16" t="e">
            <v>#REF!</v>
          </cell>
          <cell r="J16" t="e">
            <v>#REF!</v>
          </cell>
          <cell r="L16" t="e">
            <v>#REF!</v>
          </cell>
          <cell r="M16" t="e">
            <v>#REF!</v>
          </cell>
          <cell r="O16" t="e">
            <v>#REF!</v>
          </cell>
          <cell r="P16" t="e">
            <v>#REF!</v>
          </cell>
          <cell r="Q16" t="e">
            <v>#REF!</v>
          </cell>
          <cell r="S16" t="e">
            <v>#REF!</v>
          </cell>
          <cell r="T16" t="e">
            <v>#REF!</v>
          </cell>
          <cell r="U16" t="e">
            <v>#REF!</v>
          </cell>
        </row>
        <row r="18">
          <cell r="C18" t="e">
            <v>#REF!</v>
          </cell>
          <cell r="D18" t="e">
            <v>#REF!</v>
          </cell>
          <cell r="E18" t="e">
            <v>#REF!</v>
          </cell>
          <cell r="F18" t="e">
            <v>#REF!</v>
          </cell>
          <cell r="G18" t="e">
            <v>#REF!</v>
          </cell>
          <cell r="H18" t="e">
            <v>#REF!</v>
          </cell>
          <cell r="I18" t="e">
            <v>#REF!</v>
          </cell>
          <cell r="J18" t="e">
            <v>#REF!</v>
          </cell>
          <cell r="K18" t="e">
            <v>#REF!</v>
          </cell>
          <cell r="L18" t="e">
            <v>#REF!</v>
          </cell>
          <cell r="M18" t="e">
            <v>#REF!</v>
          </cell>
          <cell r="N18" t="e">
            <v>#REF!</v>
          </cell>
          <cell r="O18" t="e">
            <v>#REF!</v>
          </cell>
          <cell r="P18" t="e">
            <v>#REF!</v>
          </cell>
          <cell r="Q18" t="e">
            <v>#REF!</v>
          </cell>
          <cell r="R18" t="e">
            <v>#REF!</v>
          </cell>
          <cell r="S18" t="e">
            <v>#REF!</v>
          </cell>
          <cell r="T18" t="e">
            <v>#REF!</v>
          </cell>
        </row>
        <row r="19">
          <cell r="B19" t="str">
            <v>E_EUITYP</v>
          </cell>
          <cell r="C19" t="e">
            <v>#REF!</v>
          </cell>
          <cell r="D19" t="e">
            <v>#REF!</v>
          </cell>
          <cell r="E19" t="e">
            <v>#REF!</v>
          </cell>
          <cell r="F19" t="e">
            <v>#REF!</v>
          </cell>
          <cell r="G19" t="e">
            <v>#REF!</v>
          </cell>
          <cell r="H19" t="e">
            <v>#REF!</v>
          </cell>
          <cell r="I19" t="e">
            <v>#REF!</v>
          </cell>
          <cell r="J19" t="e">
            <v>#REF!</v>
          </cell>
          <cell r="K19" t="e">
            <v>#REF!</v>
          </cell>
          <cell r="L19" t="e">
            <v>#REF!</v>
          </cell>
          <cell r="M19" t="e">
            <v>#REF!</v>
          </cell>
          <cell r="N19" t="e">
            <v>#REF!</v>
          </cell>
          <cell r="O19" t="e">
            <v>#REF!</v>
          </cell>
          <cell r="P19" t="e">
            <v>#REF!</v>
          </cell>
          <cell r="Q19" t="e">
            <v>#REF!</v>
          </cell>
          <cell r="R19" t="e">
            <v>#REF!</v>
          </cell>
          <cell r="S19" t="e">
            <v>#REF!</v>
          </cell>
          <cell r="T19" t="e">
            <v>#REF!</v>
          </cell>
        </row>
        <row r="20">
          <cell r="B20" t="str">
            <v>E_EUIREG</v>
          </cell>
          <cell r="C20" t="e">
            <v>#REF!</v>
          </cell>
          <cell r="F20" t="e">
            <v>#REF!</v>
          </cell>
          <cell r="J20" t="e">
            <v>#REF!</v>
          </cell>
          <cell r="L20" t="e">
            <v>#REF!</v>
          </cell>
          <cell r="M20" t="e">
            <v>#REF!</v>
          </cell>
          <cell r="O20" t="e">
            <v>#REF!</v>
          </cell>
          <cell r="P20" t="e">
            <v>#REF!</v>
          </cell>
          <cell r="Q20" t="e">
            <v>#REF!</v>
          </cell>
          <cell r="S20" t="e">
            <v>#REF!</v>
          </cell>
          <cell r="T20" t="e">
            <v>#REF!</v>
          </cell>
        </row>
        <row r="22">
          <cell r="B22" t="str">
            <v>ElecHtEUITYPHeat</v>
          </cell>
          <cell r="C22">
            <v>2</v>
          </cell>
          <cell r="D22">
            <v>2</v>
          </cell>
          <cell r="E22">
            <v>2</v>
          </cell>
          <cell r="F22">
            <v>2</v>
          </cell>
          <cell r="G22">
            <v>2.2000000000000002</v>
          </cell>
          <cell r="H22">
            <v>3</v>
          </cell>
          <cell r="I22">
            <v>3</v>
          </cell>
          <cell r="J22">
            <v>3</v>
          </cell>
          <cell r="K22">
            <v>4</v>
          </cell>
          <cell r="L22">
            <v>2</v>
          </cell>
          <cell r="M22">
            <v>5</v>
          </cell>
          <cell r="N22">
            <v>4</v>
          </cell>
          <cell r="O22">
            <v>4</v>
          </cell>
          <cell r="P22">
            <v>4</v>
          </cell>
          <cell r="Q22">
            <v>6</v>
          </cell>
          <cell r="R22">
            <v>5</v>
          </cell>
          <cell r="S22">
            <v>4</v>
          </cell>
          <cell r="T22">
            <v>4</v>
          </cell>
        </row>
        <row r="23">
          <cell r="B23" t="str">
            <v>GasHtEUITYPHeat</v>
          </cell>
          <cell r="C23">
            <v>0.1</v>
          </cell>
          <cell r="D23">
            <v>0.1</v>
          </cell>
          <cell r="E23">
            <v>0.1</v>
          </cell>
          <cell r="F23">
            <v>0.1</v>
          </cell>
          <cell r="G23">
            <v>0.1</v>
          </cell>
          <cell r="H23">
            <v>0.1</v>
          </cell>
          <cell r="I23">
            <v>0.1</v>
          </cell>
          <cell r="J23">
            <v>0.1</v>
          </cell>
          <cell r="K23">
            <v>0.1</v>
          </cell>
          <cell r="L23">
            <v>0.1</v>
          </cell>
          <cell r="M23">
            <v>0.1</v>
          </cell>
          <cell r="N23">
            <v>0.1</v>
          </cell>
          <cell r="O23">
            <v>0.1</v>
          </cell>
          <cell r="P23">
            <v>0.1</v>
          </cell>
          <cell r="Q23">
            <v>0.2</v>
          </cell>
          <cell r="R23">
            <v>0.1</v>
          </cell>
          <cell r="S23">
            <v>0.1</v>
          </cell>
          <cell r="T23">
            <v>0.1</v>
          </cell>
        </row>
        <row r="24">
          <cell r="B24" t="str">
            <v>HtPmpHtEUITYPHeat</v>
          </cell>
          <cell r="C24">
            <v>1</v>
          </cell>
          <cell r="D24">
            <v>1</v>
          </cell>
          <cell r="E24">
            <v>1</v>
          </cell>
          <cell r="F24">
            <v>1</v>
          </cell>
          <cell r="G24">
            <v>1.1000000000000001</v>
          </cell>
          <cell r="H24">
            <v>1.5</v>
          </cell>
          <cell r="I24">
            <v>1.5</v>
          </cell>
          <cell r="J24">
            <v>1.5</v>
          </cell>
          <cell r="K24">
            <v>2</v>
          </cell>
          <cell r="L24">
            <v>1</v>
          </cell>
          <cell r="M24">
            <v>2.5</v>
          </cell>
          <cell r="N24">
            <v>2</v>
          </cell>
          <cell r="O24">
            <v>2</v>
          </cell>
          <cell r="P24">
            <v>2</v>
          </cell>
          <cell r="Q24">
            <v>3</v>
          </cell>
          <cell r="R24">
            <v>2.5</v>
          </cell>
          <cell r="S24">
            <v>2</v>
          </cell>
          <cell r="T24">
            <v>2</v>
          </cell>
        </row>
        <row r="25">
          <cell r="B25" t="str">
            <v>ThermsTYPHeat</v>
          </cell>
          <cell r="C25">
            <v>0.27</v>
          </cell>
          <cell r="D25">
            <v>0.27</v>
          </cell>
          <cell r="E25">
            <v>0.27</v>
          </cell>
          <cell r="F25">
            <v>0.28999999999999998</v>
          </cell>
          <cell r="G25">
            <v>0.28999999999999998</v>
          </cell>
          <cell r="H25">
            <v>0.28999999999999998</v>
          </cell>
          <cell r="I25">
            <v>0.28999999999999998</v>
          </cell>
          <cell r="J25">
            <v>0.28999999999999998</v>
          </cell>
          <cell r="K25">
            <v>0.28999999999999998</v>
          </cell>
          <cell r="L25">
            <v>0.17</v>
          </cell>
          <cell r="M25">
            <v>0.5</v>
          </cell>
          <cell r="N25">
            <v>0.5</v>
          </cell>
          <cell r="O25">
            <v>0.5</v>
          </cell>
          <cell r="P25">
            <v>0.3</v>
          </cell>
          <cell r="Q25">
            <v>0.5</v>
          </cell>
          <cell r="R25">
            <v>0.5</v>
          </cell>
          <cell r="S25">
            <v>0.4</v>
          </cell>
          <cell r="T25">
            <v>0.6</v>
          </cell>
        </row>
        <row r="27">
          <cell r="B27" t="str">
            <v>EUITYPCool</v>
          </cell>
          <cell r="C27">
            <v>2.5</v>
          </cell>
          <cell r="D27">
            <v>1.8</v>
          </cell>
          <cell r="E27">
            <v>1</v>
          </cell>
          <cell r="F27">
            <v>1.2</v>
          </cell>
          <cell r="G27">
            <v>2.5</v>
          </cell>
          <cell r="H27">
            <v>3.5</v>
          </cell>
          <cell r="I27">
            <v>4</v>
          </cell>
          <cell r="J27">
            <v>0.7</v>
          </cell>
          <cell r="K27">
            <v>3</v>
          </cell>
          <cell r="L27">
            <v>0.5</v>
          </cell>
          <cell r="M27">
            <v>4</v>
          </cell>
          <cell r="N27">
            <v>6</v>
          </cell>
          <cell r="O27">
            <v>5</v>
          </cell>
          <cell r="P27">
            <v>2.5</v>
          </cell>
          <cell r="Q27">
            <v>2</v>
          </cell>
          <cell r="R27">
            <v>3</v>
          </cell>
          <cell r="S27">
            <v>2.5</v>
          </cell>
          <cell r="T27">
            <v>2.5</v>
          </cell>
        </row>
        <row r="28">
          <cell r="B28" t="str">
            <v>EUITYPVent</v>
          </cell>
          <cell r="C28" t="e">
            <v>#REF!</v>
          </cell>
          <cell r="D28" t="e">
            <v>#REF!</v>
          </cell>
          <cell r="E28" t="e">
            <v>#REF!</v>
          </cell>
          <cell r="F28" t="e">
            <v>#REF!</v>
          </cell>
          <cell r="G28">
            <v>2</v>
          </cell>
          <cell r="H28">
            <v>2.8</v>
          </cell>
          <cell r="I28">
            <v>2.6</v>
          </cell>
          <cell r="J28">
            <v>2.2999999999999998</v>
          </cell>
          <cell r="K28">
            <v>2</v>
          </cell>
          <cell r="L28">
            <v>0.5</v>
          </cell>
          <cell r="M28">
            <v>3.5</v>
          </cell>
          <cell r="N28">
            <v>4</v>
          </cell>
          <cell r="O28">
            <v>5</v>
          </cell>
          <cell r="P28">
            <v>2.5</v>
          </cell>
          <cell r="Q28">
            <v>7</v>
          </cell>
          <cell r="R28">
            <v>4.7</v>
          </cell>
          <cell r="S28">
            <v>2</v>
          </cell>
          <cell r="T28">
            <v>2</v>
          </cell>
        </row>
        <row r="29">
          <cell r="B29" t="str">
            <v>EUITYPWater</v>
          </cell>
          <cell r="C29">
            <v>0.5</v>
          </cell>
          <cell r="D29">
            <v>0.5</v>
          </cell>
          <cell r="E29">
            <v>0.5</v>
          </cell>
          <cell r="F29">
            <v>0.1</v>
          </cell>
          <cell r="G29">
            <v>0.1</v>
          </cell>
          <cell r="H29">
            <v>0.1</v>
          </cell>
          <cell r="I29">
            <v>0.1</v>
          </cell>
          <cell r="J29">
            <v>0.1</v>
          </cell>
          <cell r="K29">
            <v>1</v>
          </cell>
          <cell r="L29">
            <v>0.1</v>
          </cell>
          <cell r="M29">
            <v>1</v>
          </cell>
          <cell r="N29">
            <v>1</v>
          </cell>
          <cell r="O29">
            <v>1</v>
          </cell>
          <cell r="P29">
            <v>1</v>
          </cell>
          <cell r="Q29">
            <v>0.7</v>
          </cell>
          <cell r="R29">
            <v>0.5</v>
          </cell>
          <cell r="S29">
            <v>0.1</v>
          </cell>
          <cell r="T29">
            <v>0.1</v>
          </cell>
        </row>
        <row r="30">
          <cell r="B30" t="str">
            <v>EUITYPCook</v>
          </cell>
          <cell r="C30">
            <v>0.2</v>
          </cell>
          <cell r="D30">
            <v>0.1</v>
          </cell>
          <cell r="E30">
            <v>0</v>
          </cell>
          <cell r="F30">
            <v>1</v>
          </cell>
          <cell r="G30">
            <v>0.2</v>
          </cell>
          <cell r="H30">
            <v>0</v>
          </cell>
          <cell r="I30">
            <v>0</v>
          </cell>
          <cell r="J30">
            <v>0.5</v>
          </cell>
          <cell r="K30">
            <v>1</v>
          </cell>
          <cell r="L30">
            <v>0</v>
          </cell>
          <cell r="M30">
            <v>4</v>
          </cell>
          <cell r="N30">
            <v>8</v>
          </cell>
          <cell r="O30">
            <v>10</v>
          </cell>
          <cell r="P30">
            <v>1.5</v>
          </cell>
          <cell r="Q30">
            <v>0.7</v>
          </cell>
          <cell r="R30">
            <v>0</v>
          </cell>
          <cell r="S30">
            <v>0.1</v>
          </cell>
          <cell r="T30">
            <v>0.1</v>
          </cell>
        </row>
        <row r="31">
          <cell r="B31" t="str">
            <v>EUITYPRefr</v>
          </cell>
          <cell r="C31">
            <v>0.03</v>
          </cell>
          <cell r="D31">
            <v>0.03</v>
          </cell>
          <cell r="E31">
            <v>0.03</v>
          </cell>
          <cell r="F31">
            <v>15</v>
          </cell>
          <cell r="G31">
            <v>0.2</v>
          </cell>
          <cell r="H31">
            <v>0.03</v>
          </cell>
          <cell r="I31">
            <v>0.03</v>
          </cell>
          <cell r="J31">
            <v>0.5</v>
          </cell>
          <cell r="K31">
            <v>1</v>
          </cell>
          <cell r="L31">
            <v>0.03</v>
          </cell>
          <cell r="M31">
            <v>26</v>
          </cell>
          <cell r="N31">
            <v>36</v>
          </cell>
          <cell r="O31">
            <v>11</v>
          </cell>
          <cell r="P31">
            <v>1.5</v>
          </cell>
          <cell r="Q31">
            <v>1</v>
          </cell>
          <cell r="R31">
            <v>0.5</v>
          </cell>
          <cell r="S31">
            <v>2</v>
          </cell>
          <cell r="T31">
            <v>2</v>
          </cell>
        </row>
        <row r="32">
          <cell r="B32" t="str">
            <v>EUITYPLght</v>
          </cell>
          <cell r="C32" t="e">
            <v>#REF!</v>
          </cell>
          <cell r="D32" t="e">
            <v>#REF!</v>
          </cell>
          <cell r="E32" t="e">
            <v>#REF!</v>
          </cell>
          <cell r="F32" t="e">
            <v>#REF!</v>
          </cell>
          <cell r="G32" t="e">
            <v>#REF!</v>
          </cell>
          <cell r="H32" t="e">
            <v>#REF!</v>
          </cell>
          <cell r="I32" t="e">
            <v>#REF!</v>
          </cell>
          <cell r="J32" t="e">
            <v>#REF!</v>
          </cell>
          <cell r="K32" t="e">
            <v>#REF!</v>
          </cell>
          <cell r="L32" t="e">
            <v>#REF!</v>
          </cell>
          <cell r="M32" t="e">
            <v>#REF!</v>
          </cell>
          <cell r="N32" t="e">
            <v>#REF!</v>
          </cell>
          <cell r="O32" t="e">
            <v>#REF!</v>
          </cell>
          <cell r="P32" t="e">
            <v>#REF!</v>
          </cell>
          <cell r="Q32" t="e">
            <v>#REF!</v>
          </cell>
          <cell r="R32" t="e">
            <v>#REF!</v>
          </cell>
          <cell r="S32" t="e">
            <v>#REF!</v>
          </cell>
          <cell r="T32" t="e">
            <v>#REF!</v>
          </cell>
        </row>
        <row r="33">
          <cell r="B33" t="str">
            <v>EUITYPMisc</v>
          </cell>
          <cell r="C33">
            <v>5</v>
          </cell>
          <cell r="D33">
            <v>5</v>
          </cell>
          <cell r="E33">
            <v>4</v>
          </cell>
          <cell r="F33">
            <v>4</v>
          </cell>
          <cell r="G33">
            <v>2</v>
          </cell>
          <cell r="H33">
            <v>2</v>
          </cell>
          <cell r="I33">
            <v>2</v>
          </cell>
          <cell r="J33">
            <v>1</v>
          </cell>
          <cell r="K33">
            <v>6</v>
          </cell>
          <cell r="L33">
            <v>1.2</v>
          </cell>
          <cell r="M33">
            <v>2</v>
          </cell>
          <cell r="N33">
            <v>3</v>
          </cell>
          <cell r="O33">
            <v>3</v>
          </cell>
          <cell r="P33">
            <v>3.5</v>
          </cell>
          <cell r="Q33">
            <v>6</v>
          </cell>
          <cell r="R33">
            <v>3</v>
          </cell>
          <cell r="S33">
            <v>5</v>
          </cell>
          <cell r="T33">
            <v>5</v>
          </cell>
        </row>
        <row r="35">
          <cell r="B35" t="str">
            <v>ElecHtEUITYPTotal</v>
          </cell>
          <cell r="C35" t="e">
            <v>#REF!</v>
          </cell>
          <cell r="D35" t="e">
            <v>#REF!</v>
          </cell>
          <cell r="E35" t="e">
            <v>#REF!</v>
          </cell>
          <cell r="F35" t="e">
            <v>#REF!</v>
          </cell>
          <cell r="G35" t="e">
            <v>#REF!</v>
          </cell>
          <cell r="H35" t="e">
            <v>#REF!</v>
          </cell>
          <cell r="I35" t="e">
            <v>#REF!</v>
          </cell>
          <cell r="J35" t="e">
            <v>#REF!</v>
          </cell>
          <cell r="K35" t="e">
            <v>#REF!</v>
          </cell>
          <cell r="L35" t="e">
            <v>#REF!</v>
          </cell>
          <cell r="M35" t="e">
            <v>#REF!</v>
          </cell>
          <cell r="N35" t="e">
            <v>#REF!</v>
          </cell>
          <cell r="O35" t="e">
            <v>#REF!</v>
          </cell>
          <cell r="P35" t="e">
            <v>#REF!</v>
          </cell>
          <cell r="Q35" t="e">
            <v>#REF!</v>
          </cell>
          <cell r="R35" t="e">
            <v>#REF!</v>
          </cell>
          <cell r="S35" t="e">
            <v>#REF!</v>
          </cell>
          <cell r="T35" t="e">
            <v>#REF!</v>
          </cell>
        </row>
        <row r="36">
          <cell r="B36" t="str">
            <v>GasHtEUITYPTotal</v>
          </cell>
          <cell r="C36" t="e">
            <v>#REF!</v>
          </cell>
          <cell r="D36" t="e">
            <v>#REF!</v>
          </cell>
          <cell r="E36" t="e">
            <v>#REF!</v>
          </cell>
          <cell r="F36" t="e">
            <v>#REF!</v>
          </cell>
          <cell r="G36" t="e">
            <v>#REF!</v>
          </cell>
          <cell r="H36" t="e">
            <v>#REF!</v>
          </cell>
          <cell r="I36" t="e">
            <v>#REF!</v>
          </cell>
          <cell r="J36" t="e">
            <v>#REF!</v>
          </cell>
          <cell r="K36" t="e">
            <v>#REF!</v>
          </cell>
          <cell r="L36" t="e">
            <v>#REF!</v>
          </cell>
          <cell r="M36" t="e">
            <v>#REF!</v>
          </cell>
          <cell r="N36" t="e">
            <v>#REF!</v>
          </cell>
          <cell r="O36" t="e">
            <v>#REF!</v>
          </cell>
          <cell r="P36" t="e">
            <v>#REF!</v>
          </cell>
          <cell r="Q36" t="e">
            <v>#REF!</v>
          </cell>
          <cell r="R36" t="e">
            <v>#REF!</v>
          </cell>
          <cell r="S36" t="e">
            <v>#REF!</v>
          </cell>
          <cell r="T36" t="e">
            <v>#REF!</v>
          </cell>
        </row>
        <row r="37">
          <cell r="B37" t="str">
            <v>HtPmpHtEUITYPTotal</v>
          </cell>
          <cell r="C37" t="e">
            <v>#REF!</v>
          </cell>
          <cell r="D37" t="e">
            <v>#REF!</v>
          </cell>
          <cell r="E37" t="e">
            <v>#REF!</v>
          </cell>
          <cell r="F37" t="e">
            <v>#REF!</v>
          </cell>
          <cell r="G37" t="e">
            <v>#REF!</v>
          </cell>
          <cell r="H37" t="e">
            <v>#REF!</v>
          </cell>
          <cell r="I37" t="e">
            <v>#REF!</v>
          </cell>
          <cell r="J37" t="e">
            <v>#REF!</v>
          </cell>
          <cell r="K37" t="e">
            <v>#REF!</v>
          </cell>
          <cell r="L37" t="e">
            <v>#REF!</v>
          </cell>
          <cell r="M37" t="e">
            <v>#REF!</v>
          </cell>
          <cell r="N37" t="e">
            <v>#REF!</v>
          </cell>
          <cell r="O37" t="e">
            <v>#REF!</v>
          </cell>
          <cell r="P37" t="e">
            <v>#REF!</v>
          </cell>
          <cell r="Q37" t="e">
            <v>#REF!</v>
          </cell>
          <cell r="R37" t="e">
            <v>#REF!</v>
          </cell>
          <cell r="S37" t="e">
            <v>#REF!</v>
          </cell>
          <cell r="T37" t="e">
            <v>#REF!</v>
          </cell>
        </row>
        <row r="38">
          <cell r="C38" t="e">
            <v>#REF!</v>
          </cell>
          <cell r="D38" t="e">
            <v>#REF!</v>
          </cell>
          <cell r="E38" t="e">
            <v>#REF!</v>
          </cell>
          <cell r="F38" t="e">
            <v>#REF!</v>
          </cell>
          <cell r="G38" t="e">
            <v>#REF!</v>
          </cell>
          <cell r="H38" t="e">
            <v>#REF!</v>
          </cell>
          <cell r="I38" t="e">
            <v>#REF!</v>
          </cell>
          <cell r="J38" t="e">
            <v>#REF!</v>
          </cell>
          <cell r="K38" t="e">
            <v>#REF!</v>
          </cell>
          <cell r="L38" t="e">
            <v>#REF!</v>
          </cell>
          <cell r="M38" t="e">
            <v>#REF!</v>
          </cell>
          <cell r="N38" t="e">
            <v>#REF!</v>
          </cell>
          <cell r="O38" t="e">
            <v>#REF!</v>
          </cell>
          <cell r="P38" t="e">
            <v>#REF!</v>
          </cell>
          <cell r="Q38" t="e">
            <v>#REF!</v>
          </cell>
          <cell r="R38" t="e">
            <v>#REF!</v>
          </cell>
          <cell r="S38" t="e">
            <v>#REF!</v>
          </cell>
          <cell r="T38" t="e">
            <v>#REF!</v>
          </cell>
        </row>
        <row r="39">
          <cell r="B39" t="str">
            <v>EUITYP Space Heat Weigheted Elec EUI by Type</v>
          </cell>
          <cell r="C39" t="e">
            <v>#REF!</v>
          </cell>
          <cell r="D39" t="e">
            <v>#REF!</v>
          </cell>
          <cell r="E39" t="e">
            <v>#REF!</v>
          </cell>
          <cell r="F39" t="e">
            <v>#REF!</v>
          </cell>
          <cell r="G39" t="e">
            <v>#REF!</v>
          </cell>
          <cell r="H39" t="e">
            <v>#REF!</v>
          </cell>
          <cell r="I39" t="e">
            <v>#REF!</v>
          </cell>
          <cell r="J39" t="e">
            <v>#REF!</v>
          </cell>
          <cell r="K39" t="e">
            <v>#REF!</v>
          </cell>
          <cell r="L39" t="e">
            <v>#REF!</v>
          </cell>
          <cell r="M39" t="e">
            <v>#REF!</v>
          </cell>
          <cell r="N39" t="e">
            <v>#REF!</v>
          </cell>
          <cell r="O39" t="e">
            <v>#REF!</v>
          </cell>
          <cell r="P39" t="e">
            <v>#REF!</v>
          </cell>
          <cell r="Q39" t="e">
            <v>#REF!</v>
          </cell>
          <cell r="R39" t="e">
            <v>#REF!</v>
          </cell>
          <cell r="S39" t="e">
            <v>#REF!</v>
          </cell>
          <cell r="T39" t="e">
            <v>#REF!</v>
          </cell>
        </row>
        <row r="41">
          <cell r="B41" t="str">
            <v>LPD</v>
          </cell>
          <cell r="C41">
            <v>1.1000000000000001</v>
          </cell>
          <cell r="D41">
            <v>1.3</v>
          </cell>
          <cell r="E41">
            <v>1.6</v>
          </cell>
          <cell r="F41">
            <v>1.5</v>
          </cell>
          <cell r="G41">
            <v>1.5</v>
          </cell>
          <cell r="H41">
            <v>2</v>
          </cell>
          <cell r="I41">
            <v>1.5</v>
          </cell>
          <cell r="J41">
            <v>1.1000000000000001</v>
          </cell>
          <cell r="K41">
            <v>1.2</v>
          </cell>
          <cell r="L41">
            <v>0.9</v>
          </cell>
          <cell r="M41">
            <v>1.6</v>
          </cell>
          <cell r="N41">
            <v>1.4</v>
          </cell>
          <cell r="O41">
            <v>1.3</v>
          </cell>
          <cell r="P41">
            <v>1.4</v>
          </cell>
          <cell r="Q41">
            <v>1.2</v>
          </cell>
          <cell r="R41">
            <v>1.3</v>
          </cell>
          <cell r="S41">
            <v>1</v>
          </cell>
          <cell r="T41">
            <v>1</v>
          </cell>
        </row>
        <row r="42">
          <cell r="B42" t="str">
            <v>HOURSLght</v>
          </cell>
          <cell r="C42" t="e">
            <v>#REF!</v>
          </cell>
          <cell r="D42" t="e">
            <v>#REF!</v>
          </cell>
          <cell r="E42" t="e">
            <v>#REF!</v>
          </cell>
          <cell r="F42" t="e">
            <v>#REF!</v>
          </cell>
          <cell r="G42" t="e">
            <v>#REF!</v>
          </cell>
          <cell r="H42" t="e">
            <v>#REF!</v>
          </cell>
          <cell r="I42" t="e">
            <v>#REF!</v>
          </cell>
          <cell r="J42" t="e">
            <v>#REF!</v>
          </cell>
          <cell r="K42" t="e">
            <v>#REF!</v>
          </cell>
          <cell r="L42" t="e">
            <v>#REF!</v>
          </cell>
          <cell r="M42" t="e">
            <v>#REF!</v>
          </cell>
          <cell r="N42" t="e">
            <v>#REF!</v>
          </cell>
          <cell r="O42" t="e">
            <v>#REF!</v>
          </cell>
          <cell r="P42" t="e">
            <v>#REF!</v>
          </cell>
          <cell r="Q42" t="e">
            <v>#REF!</v>
          </cell>
          <cell r="R42" t="e">
            <v>#REF!</v>
          </cell>
          <cell r="S42" t="e">
            <v>#REF!</v>
          </cell>
          <cell r="T42" t="e">
            <v>#REF!</v>
          </cell>
        </row>
        <row r="43">
          <cell r="B43" t="str">
            <v>LPDAdjust</v>
          </cell>
          <cell r="C43" t="e">
            <v>#REF!</v>
          </cell>
          <cell r="D43" t="e">
            <v>#REF!</v>
          </cell>
          <cell r="E43" t="e">
            <v>#REF!</v>
          </cell>
          <cell r="F43" t="e">
            <v>#REF!</v>
          </cell>
          <cell r="G43" t="e">
            <v>#REF!</v>
          </cell>
          <cell r="H43" t="e">
            <v>#REF!</v>
          </cell>
          <cell r="I43" t="e">
            <v>#REF!</v>
          </cell>
          <cell r="J43" t="e">
            <v>#REF!</v>
          </cell>
          <cell r="K43" t="e">
            <v>#REF!</v>
          </cell>
          <cell r="L43" t="e">
            <v>#REF!</v>
          </cell>
          <cell r="M43" t="e">
            <v>#REF!</v>
          </cell>
          <cell r="N43" t="e">
            <v>#REF!</v>
          </cell>
          <cell r="O43" t="e">
            <v>#REF!</v>
          </cell>
          <cell r="P43" t="e">
            <v>#REF!</v>
          </cell>
          <cell r="Q43" t="e">
            <v>#REF!</v>
          </cell>
          <cell r="R43" t="e">
            <v>#REF!</v>
          </cell>
          <cell r="S43" t="e">
            <v>#REF!</v>
          </cell>
          <cell r="T43" t="e">
            <v>#REF!</v>
          </cell>
        </row>
        <row r="44">
          <cell r="B44" t="str">
            <v>KWHLght</v>
          </cell>
          <cell r="C44" t="e">
            <v>#REF!</v>
          </cell>
          <cell r="D44" t="e">
            <v>#REF!</v>
          </cell>
          <cell r="E44" t="e">
            <v>#REF!</v>
          </cell>
          <cell r="F44" t="e">
            <v>#REF!</v>
          </cell>
          <cell r="G44" t="e">
            <v>#REF!</v>
          </cell>
          <cell r="H44" t="e">
            <v>#REF!</v>
          </cell>
          <cell r="I44" t="e">
            <v>#REF!</v>
          </cell>
          <cell r="J44" t="e">
            <v>#REF!</v>
          </cell>
          <cell r="K44" t="e">
            <v>#REF!</v>
          </cell>
          <cell r="L44" t="e">
            <v>#REF!</v>
          </cell>
          <cell r="M44" t="e">
            <v>#REF!</v>
          </cell>
          <cell r="N44" t="e">
            <v>#REF!</v>
          </cell>
          <cell r="O44" t="e">
            <v>#REF!</v>
          </cell>
          <cell r="P44" t="e">
            <v>#REF!</v>
          </cell>
          <cell r="Q44" t="e">
            <v>#REF!</v>
          </cell>
          <cell r="R44" t="e">
            <v>#REF!</v>
          </cell>
          <cell r="S44" t="e">
            <v>#REF!</v>
          </cell>
          <cell r="T44" t="e">
            <v>#REF!</v>
          </cell>
        </row>
        <row r="46">
          <cell r="B46" t="str">
            <v>VPD</v>
          </cell>
          <cell r="C46">
            <v>0.6</v>
          </cell>
          <cell r="D46">
            <v>0.6</v>
          </cell>
          <cell r="E46">
            <v>0.6</v>
          </cell>
          <cell r="F46">
            <v>0.6</v>
          </cell>
          <cell r="G46">
            <v>0.6</v>
          </cell>
          <cell r="H46">
            <v>0.6</v>
          </cell>
          <cell r="I46">
            <v>0.6</v>
          </cell>
          <cell r="J46">
            <v>0.8</v>
          </cell>
          <cell r="K46">
            <v>0.6</v>
          </cell>
          <cell r="L46">
            <v>0.6</v>
          </cell>
          <cell r="M46">
            <v>1.8</v>
          </cell>
          <cell r="N46">
            <v>1.6</v>
          </cell>
          <cell r="O46">
            <v>2.6</v>
          </cell>
          <cell r="P46">
            <v>1.3</v>
          </cell>
          <cell r="Q46">
            <v>1.3</v>
          </cell>
          <cell r="R46">
            <v>1.3</v>
          </cell>
          <cell r="S46">
            <v>1.3</v>
          </cell>
          <cell r="T46">
            <v>1.3</v>
          </cell>
        </row>
        <row r="47">
          <cell r="B47" t="str">
            <v>KWHVent</v>
          </cell>
          <cell r="C47" t="e">
            <v>#REF!</v>
          </cell>
          <cell r="D47" t="e">
            <v>#REF!</v>
          </cell>
          <cell r="E47" t="e">
            <v>#REF!</v>
          </cell>
          <cell r="F47" t="e">
            <v>#REF!</v>
          </cell>
          <cell r="G47" t="e">
            <v>#REF!</v>
          </cell>
          <cell r="H47" t="e">
            <v>#REF!</v>
          </cell>
          <cell r="I47" t="e">
            <v>#REF!</v>
          </cell>
          <cell r="J47" t="e">
            <v>#REF!</v>
          </cell>
          <cell r="K47" t="e">
            <v>#REF!</v>
          </cell>
          <cell r="L47" t="e">
            <v>#REF!</v>
          </cell>
          <cell r="M47" t="e">
            <v>#REF!</v>
          </cell>
          <cell r="N47" t="e">
            <v>#REF!</v>
          </cell>
          <cell r="O47" t="e">
            <v>#REF!</v>
          </cell>
          <cell r="P47" t="e">
            <v>#REF!</v>
          </cell>
          <cell r="Q47" t="e">
            <v>#REF!</v>
          </cell>
          <cell r="R47" t="e">
            <v>#REF!</v>
          </cell>
          <cell r="S47" t="e">
            <v>#REF!</v>
          </cell>
          <cell r="T47" t="e">
            <v>#REF!</v>
          </cell>
        </row>
        <row r="49">
          <cell r="B49" t="str">
            <v>HVACElecHt</v>
          </cell>
          <cell r="C49" t="e">
            <v>#REF!</v>
          </cell>
          <cell r="D49" t="e">
            <v>#REF!</v>
          </cell>
          <cell r="E49" t="e">
            <v>#REF!</v>
          </cell>
          <cell r="F49" t="e">
            <v>#REF!</v>
          </cell>
          <cell r="G49">
            <v>6.7</v>
          </cell>
          <cell r="H49">
            <v>9.3000000000000007</v>
          </cell>
          <cell r="I49">
            <v>9.6</v>
          </cell>
          <cell r="J49">
            <v>6</v>
          </cell>
          <cell r="K49">
            <v>9</v>
          </cell>
          <cell r="L49">
            <v>3</v>
          </cell>
          <cell r="M49">
            <v>12.5</v>
          </cell>
          <cell r="N49">
            <v>14</v>
          </cell>
          <cell r="O49">
            <v>14</v>
          </cell>
          <cell r="P49">
            <v>9</v>
          </cell>
          <cell r="Q49">
            <v>15</v>
          </cell>
          <cell r="R49">
            <v>12.7</v>
          </cell>
          <cell r="S49">
            <v>8.5</v>
          </cell>
          <cell r="T49">
            <v>8.5</v>
          </cell>
        </row>
        <row r="50">
          <cell r="B50" t="str">
            <v>HVACGasHt</v>
          </cell>
          <cell r="C50" t="e">
            <v>#REF!</v>
          </cell>
          <cell r="D50" t="e">
            <v>#REF!</v>
          </cell>
          <cell r="E50" t="e">
            <v>#REF!</v>
          </cell>
          <cell r="F50" t="e">
            <v>#REF!</v>
          </cell>
          <cell r="G50">
            <v>4.5999999999999996</v>
          </cell>
          <cell r="H50">
            <v>6.4</v>
          </cell>
          <cell r="I50">
            <v>6.6999999999999993</v>
          </cell>
          <cell r="J50">
            <v>3.0999999999999996</v>
          </cell>
          <cell r="K50">
            <v>5.0999999999999996</v>
          </cell>
          <cell r="L50">
            <v>1.1000000000000001</v>
          </cell>
          <cell r="M50">
            <v>7.6</v>
          </cell>
          <cell r="N50">
            <v>10.1</v>
          </cell>
          <cell r="O50">
            <v>10.1</v>
          </cell>
          <cell r="P50">
            <v>5.0999999999999996</v>
          </cell>
          <cell r="Q50">
            <v>9.1999999999999993</v>
          </cell>
          <cell r="R50">
            <v>7.8000000000000007</v>
          </cell>
          <cell r="S50">
            <v>4.5999999999999996</v>
          </cell>
          <cell r="T50">
            <v>4.5999999999999996</v>
          </cell>
        </row>
        <row r="51">
          <cell r="B51" t="str">
            <v>HVACHtPmpHt</v>
          </cell>
          <cell r="C51" t="e">
            <v>#REF!</v>
          </cell>
          <cell r="D51" t="e">
            <v>#REF!</v>
          </cell>
          <cell r="E51" t="e">
            <v>#REF!</v>
          </cell>
          <cell r="F51" t="e">
            <v>#REF!</v>
          </cell>
          <cell r="G51">
            <v>5.6</v>
          </cell>
          <cell r="H51">
            <v>7.8</v>
          </cell>
          <cell r="I51">
            <v>8.1</v>
          </cell>
          <cell r="J51">
            <v>4.5</v>
          </cell>
          <cell r="K51">
            <v>7</v>
          </cell>
          <cell r="L51">
            <v>2</v>
          </cell>
          <cell r="M51">
            <v>10</v>
          </cell>
          <cell r="N51">
            <v>12</v>
          </cell>
          <cell r="O51">
            <v>12</v>
          </cell>
          <cell r="P51">
            <v>7</v>
          </cell>
          <cell r="Q51">
            <v>12</v>
          </cell>
          <cell r="R51">
            <v>10.199999999999999</v>
          </cell>
          <cell r="S51">
            <v>6.5</v>
          </cell>
          <cell r="T51">
            <v>6.5</v>
          </cell>
        </row>
        <row r="52">
          <cell r="B52" t="str">
            <v>Elec HVAC EUI All Fuel Weighted Btype</v>
          </cell>
          <cell r="C52" t="e">
            <v>#REF!</v>
          </cell>
          <cell r="D52" t="e">
            <v>#REF!</v>
          </cell>
          <cell r="E52" t="e">
            <v>#REF!</v>
          </cell>
          <cell r="F52" t="e">
            <v>#REF!</v>
          </cell>
          <cell r="G52" t="e">
            <v>#REF!</v>
          </cell>
          <cell r="H52" t="e">
            <v>#REF!</v>
          </cell>
          <cell r="I52" t="e">
            <v>#REF!</v>
          </cell>
          <cell r="J52" t="e">
            <v>#REF!</v>
          </cell>
          <cell r="K52" t="e">
            <v>#REF!</v>
          </cell>
          <cell r="L52" t="e">
            <v>#REF!</v>
          </cell>
          <cell r="M52" t="e">
            <v>#REF!</v>
          </cell>
          <cell r="N52" t="e">
            <v>#REF!</v>
          </cell>
          <cell r="O52" t="e">
            <v>#REF!</v>
          </cell>
          <cell r="P52" t="e">
            <v>#REF!</v>
          </cell>
          <cell r="Q52" t="e">
            <v>#REF!</v>
          </cell>
          <cell r="R52" t="e">
            <v>#REF!</v>
          </cell>
          <cell r="S52" t="e">
            <v>#REF!</v>
          </cell>
          <cell r="T52" t="e">
            <v>#REF!</v>
          </cell>
        </row>
        <row r="53">
          <cell r="B53" t="str">
            <v>Elec HVAC EUI All Fuel Weighted Act</v>
          </cell>
          <cell r="C53" t="e">
            <v>#REF!</v>
          </cell>
          <cell r="F53" t="e">
            <v>#REF!</v>
          </cell>
          <cell r="J53" t="e">
            <v>#REF!</v>
          </cell>
          <cell r="M53" t="e">
            <v>#REF!</v>
          </cell>
        </row>
        <row r="64">
          <cell r="B64" t="str">
            <v>CBSA2001 e-EUI Raw - GasHt</v>
          </cell>
          <cell r="C64">
            <v>16</v>
          </cell>
          <cell r="D64">
            <v>15</v>
          </cell>
          <cell r="E64">
            <v>13</v>
          </cell>
          <cell r="F64">
            <v>29</v>
          </cell>
          <cell r="G64">
            <v>11</v>
          </cell>
          <cell r="H64">
            <v>16</v>
          </cell>
          <cell r="I64">
            <v>15</v>
          </cell>
          <cell r="J64">
            <v>6.2</v>
          </cell>
          <cell r="K64">
            <v>34</v>
          </cell>
          <cell r="L64">
            <v>12.6</v>
          </cell>
          <cell r="M64">
            <v>52</v>
          </cell>
          <cell r="O64">
            <v>40</v>
          </cell>
          <cell r="P64">
            <v>17</v>
          </cell>
          <cell r="Q64" t="str">
            <v>Q</v>
          </cell>
          <cell r="T64">
            <v>16</v>
          </cell>
        </row>
        <row r="65">
          <cell r="B65" t="str">
            <v>CBSA2001 e-EUI Corrected - GasHt</v>
          </cell>
          <cell r="F65">
            <v>35</v>
          </cell>
          <cell r="L65">
            <v>6.8</v>
          </cell>
          <cell r="Q65" t="str">
            <v>Q</v>
          </cell>
        </row>
        <row r="66">
          <cell r="B66" t="str">
            <v>CBSA2001 e-EUI Raw - GasHt - %ACT</v>
          </cell>
          <cell r="C66">
            <v>15</v>
          </cell>
          <cell r="F66">
            <v>18.5</v>
          </cell>
          <cell r="Q66" t="str">
            <v>Q</v>
          </cell>
        </row>
        <row r="67">
          <cell r="B67" t="str">
            <v>CBSA2001 g-EUI Raw - Gas Ht (kBtu/sf)</v>
          </cell>
          <cell r="J67">
            <v>29</v>
          </cell>
          <cell r="L67">
            <v>17</v>
          </cell>
          <cell r="M67">
            <v>73</v>
          </cell>
          <cell r="O67">
            <v>281</v>
          </cell>
          <cell r="P67">
            <v>120</v>
          </cell>
          <cell r="Q67" t="str">
            <v>Q</v>
          </cell>
          <cell r="T67">
            <v>50</v>
          </cell>
        </row>
        <row r="68">
          <cell r="C68">
            <v>27</v>
          </cell>
          <cell r="F68">
            <v>29</v>
          </cell>
        </row>
        <row r="70">
          <cell r="B70" t="str">
            <v>CBSA2001 e-EUI Raw - ElecHt</v>
          </cell>
          <cell r="C70">
            <v>20</v>
          </cell>
          <cell r="D70">
            <v>23</v>
          </cell>
          <cell r="E70">
            <v>15</v>
          </cell>
          <cell r="F70" t="str">
            <v>Q</v>
          </cell>
          <cell r="G70">
            <v>10</v>
          </cell>
          <cell r="H70">
            <v>28</v>
          </cell>
          <cell r="I70">
            <v>22</v>
          </cell>
          <cell r="J70">
            <v>17</v>
          </cell>
          <cell r="K70" t="str">
            <v>Q</v>
          </cell>
          <cell r="L70">
            <v>6.6</v>
          </cell>
          <cell r="M70">
            <v>38</v>
          </cell>
          <cell r="N70">
            <v>71</v>
          </cell>
          <cell r="O70">
            <v>45</v>
          </cell>
          <cell r="P70">
            <v>20</v>
          </cell>
          <cell r="Q70" t="str">
            <v>Q</v>
          </cell>
          <cell r="T70">
            <v>13</v>
          </cell>
        </row>
        <row r="71">
          <cell r="B71" t="str">
            <v>CBSA2001 e-EUI Corrected - ElectHt</v>
          </cell>
          <cell r="G71">
            <v>12</v>
          </cell>
          <cell r="H71">
            <v>30</v>
          </cell>
          <cell r="I71">
            <v>22</v>
          </cell>
          <cell r="Q71" t="str">
            <v>Q</v>
          </cell>
        </row>
        <row r="72">
          <cell r="B72" t="str">
            <v>CBSA2001 e-EUI Raw - ElecHt - %ACT</v>
          </cell>
          <cell r="C72">
            <v>19</v>
          </cell>
          <cell r="F72">
            <v>17</v>
          </cell>
          <cell r="Q72" t="str">
            <v>Q</v>
          </cell>
        </row>
        <row r="74">
          <cell r="B74" t="str">
            <v>CBECS1999 - West - AllHt - Mean</v>
          </cell>
          <cell r="C74">
            <v>17.600000000000001</v>
          </cell>
          <cell r="F74">
            <v>17.899999999999999</v>
          </cell>
          <cell r="J74">
            <v>8.1999999999999993</v>
          </cell>
          <cell r="L74">
            <v>5.4</v>
          </cell>
          <cell r="M74" t="str">
            <v>Q</v>
          </cell>
          <cell r="O74" t="str">
            <v>Q</v>
          </cell>
          <cell r="P74">
            <v>10.9</v>
          </cell>
          <cell r="Q74">
            <v>25.6</v>
          </cell>
          <cell r="R74">
            <v>15.9</v>
          </cell>
          <cell r="T74" t="str">
            <v>Q</v>
          </cell>
        </row>
        <row r="75">
          <cell r="B75" t="str">
            <v>CBECS1999 - West - AllHt - 95%CI</v>
          </cell>
        </row>
        <row r="76">
          <cell r="B76" t="str">
            <v>CBECS1999 - US - AllHt - Mean</v>
          </cell>
          <cell r="C76">
            <v>18.7</v>
          </cell>
          <cell r="F76">
            <v>14.7</v>
          </cell>
          <cell r="J76">
            <v>8.6999999999999993</v>
          </cell>
          <cell r="L76">
            <v>6.5</v>
          </cell>
          <cell r="M76">
            <v>49</v>
          </cell>
          <cell r="O76">
            <v>34</v>
          </cell>
          <cell r="P76">
            <v>12.7</v>
          </cell>
          <cell r="Q76">
            <v>27</v>
          </cell>
          <cell r="R76">
            <v>16.7</v>
          </cell>
          <cell r="T76">
            <v>24.4</v>
          </cell>
          <cell r="U76">
            <v>2.7</v>
          </cell>
        </row>
        <row r="77">
          <cell r="B77" t="str">
            <v>CBECS1999 - US - AllHt - 95%CI</v>
          </cell>
          <cell r="C77" t="str">
            <v>17 - 21</v>
          </cell>
          <cell r="F77" t="str">
            <v>12 - 19</v>
          </cell>
          <cell r="J77" t="str">
            <v>7.8 - 9.6</v>
          </cell>
          <cell r="L77" t="str">
            <v>5.3 - 7.7</v>
          </cell>
          <cell r="M77" t="str">
            <v>37 - 60</v>
          </cell>
          <cell r="O77" t="str">
            <v>25 - 43</v>
          </cell>
          <cell r="P77" t="str">
            <v xml:space="preserve"> 11 - 14</v>
          </cell>
          <cell r="Q77" t="str">
            <v>25 - 29</v>
          </cell>
          <cell r="R77" t="str">
            <v>14 - 19</v>
          </cell>
          <cell r="T77" t="str">
            <v>18 - 31</v>
          </cell>
          <cell r="U77" t="str">
            <v>1 - 4.4</v>
          </cell>
        </row>
        <row r="79">
          <cell r="B79" t="str">
            <v>CBECS2003 Mean US in kWh/sf</v>
          </cell>
          <cell r="C79">
            <v>17.3</v>
          </cell>
          <cell r="F79">
            <v>19.2</v>
          </cell>
          <cell r="J79">
            <v>11</v>
          </cell>
          <cell r="L79">
            <v>7.6</v>
          </cell>
          <cell r="M79">
            <v>49.4</v>
          </cell>
          <cell r="O79">
            <v>38.4</v>
          </cell>
          <cell r="P79">
            <v>13.5</v>
          </cell>
          <cell r="Q79">
            <v>27.5</v>
          </cell>
          <cell r="R79">
            <v>16.100000000000001</v>
          </cell>
          <cell r="S79">
            <v>12.5</v>
          </cell>
          <cell r="T79">
            <v>22.5</v>
          </cell>
        </row>
        <row r="80">
          <cell r="B80" t="str">
            <v>CBECS2003 Mean US in therms/sf</v>
          </cell>
          <cell r="C80">
            <v>0.28100000000000003</v>
          </cell>
          <cell r="F80">
            <v>0.33500000000000002</v>
          </cell>
          <cell r="J80">
            <v>0.38100000000000001</v>
          </cell>
          <cell r="L80">
            <v>0.24099999999999999</v>
          </cell>
          <cell r="M80">
            <v>0.51700000000000002</v>
          </cell>
          <cell r="O80">
            <v>1.45</v>
          </cell>
          <cell r="P80">
            <v>0.504</v>
          </cell>
          <cell r="Q80">
            <v>1.1299999999999999</v>
          </cell>
          <cell r="R80">
            <v>0.51800000000000002</v>
          </cell>
          <cell r="S80">
            <v>0.375</v>
          </cell>
          <cell r="T80">
            <v>0.69699999999999995</v>
          </cell>
        </row>
        <row r="83">
          <cell r="B83" t="str">
            <v>CBSA 2002-2004 New Bldg Elec in kWh/sf</v>
          </cell>
          <cell r="C83">
            <v>17.8</v>
          </cell>
          <cell r="F83">
            <v>21.6</v>
          </cell>
          <cell r="J83">
            <v>9.6</v>
          </cell>
          <cell r="K83">
            <v>12.7</v>
          </cell>
          <cell r="L83">
            <v>15.1</v>
          </cell>
          <cell r="M83">
            <v>46.6</v>
          </cell>
          <cell r="O83">
            <v>86.2</v>
          </cell>
          <cell r="P83">
            <v>10.6</v>
          </cell>
          <cell r="Q83">
            <v>25.3</v>
          </cell>
          <cell r="R83">
            <v>14.3</v>
          </cell>
          <cell r="S83">
            <v>13.3</v>
          </cell>
          <cell r="T83">
            <v>18.3</v>
          </cell>
        </row>
        <row r="84">
          <cell r="B84" t="str">
            <v>CBSA 2002-2004 New Bldg Gas in therms/sf</v>
          </cell>
          <cell r="C84">
            <v>0.11</v>
          </cell>
          <cell r="F84">
            <v>0.21</v>
          </cell>
          <cell r="J84">
            <v>0.3</v>
          </cell>
          <cell r="K84">
            <v>0.18</v>
          </cell>
          <cell r="L84">
            <v>0.18</v>
          </cell>
          <cell r="M84">
            <v>0.61</v>
          </cell>
          <cell r="O84">
            <v>1.57</v>
          </cell>
          <cell r="P84">
            <v>0.23</v>
          </cell>
          <cell r="Q84">
            <v>1.07</v>
          </cell>
          <cell r="R84">
            <v>0.69</v>
          </cell>
          <cell r="S84">
            <v>0.37</v>
          </cell>
          <cell r="T84">
            <v>0.22</v>
          </cell>
        </row>
        <row r="85">
          <cell r="B85" t="str">
            <v>CBSA 2002-2004 New Bldg All Fuel kBtu/sf</v>
          </cell>
          <cell r="C85">
            <v>71.7</v>
          </cell>
          <cell r="F85">
            <v>95.5</v>
          </cell>
          <cell r="J85">
            <v>61.4</v>
          </cell>
          <cell r="K85">
            <v>62.2</v>
          </cell>
          <cell r="L85">
            <v>70.5</v>
          </cell>
          <cell r="M85">
            <v>219.8</v>
          </cell>
          <cell r="O85">
            <v>451</v>
          </cell>
          <cell r="P85">
            <v>64</v>
          </cell>
          <cell r="Q85">
            <v>193.5</v>
          </cell>
          <cell r="R85">
            <v>111.8</v>
          </cell>
          <cell r="S85">
            <v>83.1</v>
          </cell>
          <cell r="T85">
            <v>102.5</v>
          </cell>
        </row>
        <row r="86">
          <cell r="B86" t="str">
            <v>CBSA 2002-2004 New Bldg Elec in kBtu/sf</v>
          </cell>
          <cell r="C86">
            <v>60.733600000000003</v>
          </cell>
          <cell r="F86">
            <v>73.699200000000005</v>
          </cell>
        </row>
        <row r="87">
          <cell r="B87" t="str">
            <v>CBSA 2002-2004 New Bldg Gas in kBtu/sf</v>
          </cell>
          <cell r="C87">
            <v>11</v>
          </cell>
          <cell r="F87">
            <v>21</v>
          </cell>
        </row>
        <row r="90">
          <cell r="C90" t="str">
            <v>Electricity Energy Intensity (kWh/square foot)</v>
          </cell>
        </row>
        <row r="91">
          <cell r="B91" t="str">
            <v>CBECS2003</v>
          </cell>
          <cell r="C91" t="str">
            <v xml:space="preserve">Total  </v>
          </cell>
          <cell r="D91" t="str">
            <v>Space Heat-
ing</v>
          </cell>
          <cell r="E91" t="str">
            <v>Cool-
ing</v>
          </cell>
          <cell r="F91" t="str">
            <v>Venti-
lation</v>
          </cell>
          <cell r="G91" t="str">
            <v>Water Heat-
ing</v>
          </cell>
          <cell r="H91" t="str">
            <v>Light-
ing</v>
          </cell>
          <cell r="I91" t="str">
            <v>Cook-
ing</v>
          </cell>
          <cell r="J91" t="str">
            <v>Refrig-
eration</v>
          </cell>
          <cell r="K91" t="str">
            <v>Office Equip-
ment</v>
          </cell>
          <cell r="L91" t="str">
            <v>Com-
puters</v>
          </cell>
          <cell r="M91" t="str">
            <v>Other</v>
          </cell>
          <cell r="O91" t="str">
            <v>Sum EQ, COMP, OTH</v>
          </cell>
          <cell r="P91" t="str">
            <v>HVAC EUI</v>
          </cell>
        </row>
        <row r="92">
          <cell r="B92" t="str">
            <v>Principal Building Activity</v>
          </cell>
        </row>
        <row r="93">
          <cell r="B93" t="str">
            <v>Education ....................</v>
          </cell>
          <cell r="C93">
            <v>11</v>
          </cell>
          <cell r="D93">
            <v>0.5</v>
          </cell>
          <cell r="E93">
            <v>2.2000000000000002</v>
          </cell>
          <cell r="F93">
            <v>2.5</v>
          </cell>
          <cell r="G93">
            <v>0.3</v>
          </cell>
          <cell r="H93">
            <v>3.4</v>
          </cell>
          <cell r="I93" t="str">
            <v>(*)</v>
          </cell>
          <cell r="J93">
            <v>0.5</v>
          </cell>
          <cell r="K93">
            <v>0.1</v>
          </cell>
          <cell r="L93">
            <v>1</v>
          </cell>
          <cell r="M93">
            <v>0.6</v>
          </cell>
          <cell r="O93">
            <v>1.7000000000000002</v>
          </cell>
          <cell r="P93">
            <v>5.2</v>
          </cell>
        </row>
        <row r="94">
          <cell r="B94" t="str">
            <v>Food Sales ...................</v>
          </cell>
          <cell r="C94">
            <v>49.4</v>
          </cell>
          <cell r="D94">
            <v>1.5</v>
          </cell>
          <cell r="E94">
            <v>2.9</v>
          </cell>
          <cell r="F94">
            <v>1.8</v>
          </cell>
          <cell r="G94" t="str">
            <v>Q</v>
          </cell>
          <cell r="H94">
            <v>10.9</v>
          </cell>
          <cell r="I94">
            <v>0.6</v>
          </cell>
          <cell r="J94">
            <v>28.2</v>
          </cell>
          <cell r="K94">
            <v>0.5</v>
          </cell>
          <cell r="L94">
            <v>0.4</v>
          </cell>
          <cell r="M94">
            <v>2.4</v>
          </cell>
          <cell r="O94">
            <v>3.3</v>
          </cell>
          <cell r="P94">
            <v>6.2</v>
          </cell>
        </row>
        <row r="95">
          <cell r="B95" t="str">
            <v>Food Service .................</v>
          </cell>
          <cell r="C95">
            <v>38.4</v>
          </cell>
          <cell r="D95">
            <v>1.8</v>
          </cell>
          <cell r="E95">
            <v>5</v>
          </cell>
          <cell r="F95">
            <v>4.3</v>
          </cell>
          <cell r="G95">
            <v>1.8</v>
          </cell>
          <cell r="H95">
            <v>7.5</v>
          </cell>
          <cell r="I95">
            <v>2.4</v>
          </cell>
          <cell r="J95">
            <v>12.3</v>
          </cell>
          <cell r="K95">
            <v>0.3</v>
          </cell>
          <cell r="L95">
            <v>0.3</v>
          </cell>
          <cell r="M95">
            <v>2.6</v>
          </cell>
          <cell r="O95">
            <v>3.2</v>
          </cell>
          <cell r="P95">
            <v>11.1</v>
          </cell>
        </row>
        <row r="96">
          <cell r="B96" t="str">
            <v>Health Care ..................</v>
          </cell>
          <cell r="C96">
            <v>22.9</v>
          </cell>
          <cell r="D96">
            <v>0.5</v>
          </cell>
          <cell r="E96">
            <v>3.1</v>
          </cell>
          <cell r="F96">
            <v>3.9</v>
          </cell>
          <cell r="G96">
            <v>0.2</v>
          </cell>
          <cell r="H96">
            <v>9.6999999999999993</v>
          </cell>
          <cell r="I96">
            <v>0.1</v>
          </cell>
          <cell r="J96">
            <v>0.8</v>
          </cell>
          <cell r="K96">
            <v>0.3</v>
          </cell>
          <cell r="L96">
            <v>0.9</v>
          </cell>
          <cell r="M96">
            <v>3.3</v>
          </cell>
          <cell r="O96">
            <v>4.5</v>
          </cell>
          <cell r="P96">
            <v>7.5</v>
          </cell>
        </row>
        <row r="97">
          <cell r="B97" t="str">
            <v xml:space="preserve">  Inpatient ..................</v>
          </cell>
          <cell r="C97">
            <v>27.5</v>
          </cell>
          <cell r="D97">
            <v>0.5</v>
          </cell>
          <cell r="E97">
            <v>3.8</v>
          </cell>
          <cell r="F97">
            <v>5.9</v>
          </cell>
          <cell r="G97">
            <v>0.3</v>
          </cell>
          <cell r="H97">
            <v>11.7</v>
          </cell>
          <cell r="I97">
            <v>0.1</v>
          </cell>
          <cell r="J97">
            <v>0.6</v>
          </cell>
          <cell r="K97">
            <v>0.3</v>
          </cell>
          <cell r="L97">
            <v>1</v>
          </cell>
          <cell r="M97">
            <v>3.2</v>
          </cell>
          <cell r="O97">
            <v>4.5</v>
          </cell>
          <cell r="P97">
            <v>10.199999999999999</v>
          </cell>
        </row>
        <row r="98">
          <cell r="B98" t="str">
            <v xml:space="preserve">  Outpatient .................</v>
          </cell>
          <cell r="C98">
            <v>16.100000000000001</v>
          </cell>
          <cell r="D98">
            <v>0.7</v>
          </cell>
          <cell r="E98">
            <v>2.1</v>
          </cell>
          <cell r="F98">
            <v>1</v>
          </cell>
          <cell r="G98">
            <v>0.1</v>
          </cell>
          <cell r="H98">
            <v>6.6</v>
          </cell>
          <cell r="I98" t="str">
            <v>(*)</v>
          </cell>
          <cell r="J98">
            <v>1</v>
          </cell>
          <cell r="K98">
            <v>0.4</v>
          </cell>
          <cell r="L98">
            <v>0.8</v>
          </cell>
          <cell r="M98">
            <v>3.5</v>
          </cell>
          <cell r="O98">
            <v>4.7</v>
          </cell>
          <cell r="P98">
            <v>3.8</v>
          </cell>
        </row>
        <row r="99">
          <cell r="B99" t="str">
            <v>Lodging ......................</v>
          </cell>
          <cell r="C99">
            <v>13.5</v>
          </cell>
          <cell r="D99">
            <v>0.8</v>
          </cell>
          <cell r="E99">
            <v>1.4</v>
          </cell>
          <cell r="F99">
            <v>0.8</v>
          </cell>
          <cell r="G99">
            <v>0.7</v>
          </cell>
          <cell r="H99">
            <v>7.1</v>
          </cell>
          <cell r="I99">
            <v>0.1</v>
          </cell>
          <cell r="J99">
            <v>0.7</v>
          </cell>
          <cell r="K99" t="str">
            <v>Q</v>
          </cell>
          <cell r="L99">
            <v>0.4</v>
          </cell>
          <cell r="M99">
            <v>1.4</v>
          </cell>
          <cell r="O99">
            <v>1.7999999999999998</v>
          </cell>
          <cell r="P99">
            <v>3</v>
          </cell>
        </row>
        <row r="100">
          <cell r="B100" t="str">
            <v>Mercantile ...................</v>
          </cell>
          <cell r="C100">
            <v>19.2</v>
          </cell>
          <cell r="D100">
            <v>1.5</v>
          </cell>
          <cell r="E100">
            <v>2.9</v>
          </cell>
          <cell r="F100">
            <v>1.8</v>
          </cell>
          <cell r="G100">
            <v>1</v>
          </cell>
          <cell r="H100">
            <v>8.1</v>
          </cell>
          <cell r="I100">
            <v>0.1</v>
          </cell>
          <cell r="J100">
            <v>1.3</v>
          </cell>
          <cell r="K100">
            <v>0.2</v>
          </cell>
          <cell r="L100">
            <v>0.3</v>
          </cell>
          <cell r="M100">
            <v>2.2000000000000002</v>
          </cell>
          <cell r="O100">
            <v>2.7</v>
          </cell>
          <cell r="P100">
            <v>6.2</v>
          </cell>
        </row>
        <row r="101">
          <cell r="B101" t="str">
            <v xml:space="preserve">  Retail (Other Than Mall) ...</v>
          </cell>
          <cell r="C101">
            <v>14.3</v>
          </cell>
          <cell r="D101">
            <v>0.4</v>
          </cell>
          <cell r="E101">
            <v>1.7</v>
          </cell>
          <cell r="F101">
            <v>1.1000000000000001</v>
          </cell>
          <cell r="G101">
            <v>0.1</v>
          </cell>
          <cell r="H101">
            <v>7.5</v>
          </cell>
          <cell r="I101" t="str">
            <v>(*)</v>
          </cell>
          <cell r="J101">
            <v>1.5</v>
          </cell>
          <cell r="K101">
            <v>0.2</v>
          </cell>
          <cell r="L101">
            <v>0.3</v>
          </cell>
          <cell r="M101">
            <v>1.5</v>
          </cell>
          <cell r="O101">
            <v>2</v>
          </cell>
          <cell r="P101">
            <v>3.2</v>
          </cell>
        </row>
        <row r="102">
          <cell r="B102" t="str">
            <v xml:space="preserve">  Enclosed and Strip Malls ...</v>
          </cell>
          <cell r="C102">
            <v>22.3</v>
          </cell>
          <cell r="D102">
            <v>2.2000000000000002</v>
          </cell>
          <cell r="E102">
            <v>3.6</v>
          </cell>
          <cell r="F102">
            <v>2.2000000000000002</v>
          </cell>
          <cell r="G102">
            <v>1.5</v>
          </cell>
          <cell r="H102">
            <v>8.4</v>
          </cell>
          <cell r="I102">
            <v>0.1</v>
          </cell>
          <cell r="J102">
            <v>1.2</v>
          </cell>
          <cell r="K102">
            <v>0.2</v>
          </cell>
          <cell r="L102">
            <v>0.3</v>
          </cell>
          <cell r="M102">
            <v>2.6</v>
          </cell>
          <cell r="O102">
            <v>3.1</v>
          </cell>
          <cell r="P102">
            <v>8</v>
          </cell>
        </row>
        <row r="103">
          <cell r="B103" t="str">
            <v>Office .......................</v>
          </cell>
          <cell r="C103">
            <v>17.3</v>
          </cell>
          <cell r="D103">
            <v>0.8</v>
          </cell>
          <cell r="E103">
            <v>2.4</v>
          </cell>
          <cell r="F103">
            <v>1.5</v>
          </cell>
          <cell r="G103">
            <v>0.2</v>
          </cell>
          <cell r="H103">
            <v>6.8</v>
          </cell>
          <cell r="I103" t="str">
            <v>(*)</v>
          </cell>
          <cell r="J103">
            <v>0.8</v>
          </cell>
          <cell r="K103">
            <v>0.8</v>
          </cell>
          <cell r="L103">
            <v>1.8</v>
          </cell>
          <cell r="M103">
            <v>2.2000000000000002</v>
          </cell>
          <cell r="O103">
            <v>4.8000000000000007</v>
          </cell>
          <cell r="P103">
            <v>4.7</v>
          </cell>
        </row>
        <row r="104">
          <cell r="B104" t="str">
            <v>Public Assembly ..............</v>
          </cell>
          <cell r="C104">
            <v>12.5</v>
          </cell>
          <cell r="D104">
            <v>0.4</v>
          </cell>
          <cell r="E104">
            <v>2.6</v>
          </cell>
          <cell r="F104">
            <v>4.7</v>
          </cell>
          <cell r="G104" t="str">
            <v>(*)</v>
          </cell>
          <cell r="H104">
            <v>2</v>
          </cell>
          <cell r="I104" t="str">
            <v>(*)</v>
          </cell>
          <cell r="J104">
            <v>0.7</v>
          </cell>
          <cell r="K104" t="str">
            <v>Q</v>
          </cell>
          <cell r="L104">
            <v>0.2</v>
          </cell>
          <cell r="M104">
            <v>1.7</v>
          </cell>
          <cell r="O104">
            <v>1.9</v>
          </cell>
          <cell r="P104">
            <v>7.7</v>
          </cell>
        </row>
        <row r="105">
          <cell r="B105" t="str">
            <v>Public Order and Safety ......</v>
          </cell>
          <cell r="C105">
            <v>15.3</v>
          </cell>
          <cell r="D105">
            <v>0.5</v>
          </cell>
          <cell r="E105">
            <v>2.1</v>
          </cell>
          <cell r="F105">
            <v>2.8</v>
          </cell>
          <cell r="G105">
            <v>0.9</v>
          </cell>
          <cell r="H105">
            <v>4.8</v>
          </cell>
          <cell r="I105" t="str">
            <v>(*)</v>
          </cell>
          <cell r="J105">
            <v>0.9</v>
          </cell>
          <cell r="K105">
            <v>0.2</v>
          </cell>
          <cell r="L105">
            <v>0.4</v>
          </cell>
          <cell r="M105">
            <v>2.7</v>
          </cell>
          <cell r="O105">
            <v>3.3000000000000003</v>
          </cell>
          <cell r="P105">
            <v>5.4</v>
          </cell>
        </row>
        <row r="106">
          <cell r="B106" t="str">
            <v>Religious Worship ............</v>
          </cell>
          <cell r="C106">
            <v>4.9000000000000004</v>
          </cell>
          <cell r="D106">
            <v>0.2</v>
          </cell>
          <cell r="E106">
            <v>0.8</v>
          </cell>
          <cell r="F106">
            <v>0.4</v>
          </cell>
          <cell r="G106" t="str">
            <v>(*)</v>
          </cell>
          <cell r="H106">
            <v>1.3</v>
          </cell>
          <cell r="I106" t="str">
            <v>(*)</v>
          </cell>
          <cell r="J106">
            <v>0.5</v>
          </cell>
          <cell r="K106" t="str">
            <v>(*)</v>
          </cell>
          <cell r="L106">
            <v>0.1</v>
          </cell>
          <cell r="M106">
            <v>1.4</v>
          </cell>
          <cell r="O106">
            <v>1.5</v>
          </cell>
          <cell r="P106">
            <v>1.4</v>
          </cell>
        </row>
        <row r="107">
          <cell r="B107" t="str">
            <v>Service ......................</v>
          </cell>
          <cell r="C107">
            <v>11</v>
          </cell>
          <cell r="D107">
            <v>0.4</v>
          </cell>
          <cell r="E107">
            <v>1.1000000000000001</v>
          </cell>
          <cell r="F107">
            <v>1.8</v>
          </cell>
          <cell r="G107" t="str">
            <v>(*)</v>
          </cell>
          <cell r="H107">
            <v>4.5999999999999996</v>
          </cell>
          <cell r="I107" t="str">
            <v>Q</v>
          </cell>
          <cell r="J107">
            <v>0.6</v>
          </cell>
          <cell r="K107">
            <v>0.1</v>
          </cell>
          <cell r="L107">
            <v>0.2</v>
          </cell>
          <cell r="M107">
            <v>2.1</v>
          </cell>
          <cell r="O107">
            <v>2.4000000000000004</v>
          </cell>
          <cell r="P107">
            <v>3.3</v>
          </cell>
        </row>
        <row r="108">
          <cell r="B108" t="str">
            <v>Warehouse and Storage ........</v>
          </cell>
          <cell r="C108">
            <v>7.6</v>
          </cell>
          <cell r="D108">
            <v>0.2</v>
          </cell>
          <cell r="E108">
            <v>0.4</v>
          </cell>
          <cell r="F108">
            <v>0.6</v>
          </cell>
          <cell r="G108">
            <v>0.1</v>
          </cell>
          <cell r="H108">
            <v>4.0999999999999996</v>
          </cell>
          <cell r="I108" t="str">
            <v>Q</v>
          </cell>
          <cell r="J108">
            <v>1.1000000000000001</v>
          </cell>
          <cell r="K108">
            <v>0.1</v>
          </cell>
          <cell r="L108">
            <v>0.1</v>
          </cell>
          <cell r="M108">
            <v>0.9</v>
          </cell>
          <cell r="O108">
            <v>1.1000000000000001</v>
          </cell>
          <cell r="P108">
            <v>1.2000000000000002</v>
          </cell>
        </row>
        <row r="109">
          <cell r="B109" t="str">
            <v>Other ........................</v>
          </cell>
          <cell r="C109">
            <v>22.5</v>
          </cell>
          <cell r="D109">
            <v>0.4</v>
          </cell>
          <cell r="E109">
            <v>2.7</v>
          </cell>
          <cell r="F109">
            <v>1.8</v>
          </cell>
          <cell r="G109">
            <v>0.1</v>
          </cell>
          <cell r="H109">
            <v>10.1</v>
          </cell>
          <cell r="I109" t="str">
            <v>Q</v>
          </cell>
          <cell r="J109">
            <v>1.8</v>
          </cell>
          <cell r="K109" t="str">
            <v>Q</v>
          </cell>
          <cell r="L109">
            <v>0.9</v>
          </cell>
          <cell r="M109">
            <v>3.7</v>
          </cell>
          <cell r="O109">
            <v>4.6000000000000005</v>
          </cell>
          <cell r="P109">
            <v>4.9000000000000004</v>
          </cell>
        </row>
        <row r="110">
          <cell r="B110" t="str">
            <v>Vacant .......................</v>
          </cell>
          <cell r="C110">
            <v>2.4</v>
          </cell>
          <cell r="D110">
            <v>0.1</v>
          </cell>
          <cell r="E110">
            <v>0.2</v>
          </cell>
          <cell r="F110">
            <v>0.2</v>
          </cell>
          <cell r="G110" t="str">
            <v>Q</v>
          </cell>
          <cell r="H110">
            <v>0.7</v>
          </cell>
          <cell r="I110" t="str">
            <v>Q</v>
          </cell>
          <cell r="J110">
            <v>0.1</v>
          </cell>
          <cell r="K110" t="str">
            <v>Q</v>
          </cell>
          <cell r="L110" t="str">
            <v>(*)</v>
          </cell>
          <cell r="M110">
            <v>1.1000000000000001</v>
          </cell>
          <cell r="O110">
            <v>1.1000000000000001</v>
          </cell>
          <cell r="P110">
            <v>0.5</v>
          </cell>
        </row>
        <row r="113">
          <cell r="C113" t="str">
            <v>Total Natural Gas Consumption
(trillion Btu)</v>
          </cell>
          <cell r="H113" t="str">
            <v>Natural Gas Energy Intensity
(thousand Btu/square foot)</v>
          </cell>
          <cell r="O113">
            <v>0.7</v>
          </cell>
          <cell r="P113">
            <v>2</v>
          </cell>
        </row>
        <row r="114">
          <cell r="B114" t="str">
            <v>CBECS2003</v>
          </cell>
          <cell r="C114" t="str">
            <v xml:space="preserve">Total  </v>
          </cell>
          <cell r="D114" t="str">
            <v>Space Heating</v>
          </cell>
          <cell r="E114" t="str">
            <v>Water Heating</v>
          </cell>
          <cell r="F114" t="str">
            <v>Cook-
ing</v>
          </cell>
          <cell r="G114" t="str">
            <v>Other</v>
          </cell>
          <cell r="H114" t="str">
            <v xml:space="preserve">Total  </v>
          </cell>
          <cell r="I114" t="str">
            <v>Space Heating</v>
          </cell>
          <cell r="J114" t="str">
            <v>Water Heating</v>
          </cell>
          <cell r="K114" t="str">
            <v>Cook-
ing</v>
          </cell>
          <cell r="L114" t="str">
            <v>Other</v>
          </cell>
          <cell r="O114" t="str">
            <v>Space Heating Elec Equiv</v>
          </cell>
          <cell r="P114" t="str">
            <v>Heating HP Equiv</v>
          </cell>
          <cell r="R114" t="str">
            <v>CBSA 2002-2004 New Bldg Gas (kBtu/SF Heat)</v>
          </cell>
          <cell r="S114" t="str">
            <v>CBSA 2002-2004 New Bldg Heat Elec Equiv</v>
          </cell>
          <cell r="T114" t="str">
            <v>NEEA Heat HP Equiv</v>
          </cell>
          <cell r="U114" t="str">
            <v>CEUS Gas (kBtu/SF Heat)</v>
          </cell>
          <cell r="V114" t="str">
            <v>CEUS Heat Elec Equiv</v>
          </cell>
          <cell r="W114" t="str">
            <v>CEUS Heat HP Equiv</v>
          </cell>
        </row>
        <row r="115">
          <cell r="B115" t="str">
            <v>Principal Building Activity</v>
          </cell>
        </row>
        <row r="116">
          <cell r="B116" t="str">
            <v>Education ....................</v>
          </cell>
          <cell r="C116">
            <v>268</v>
          </cell>
          <cell r="D116">
            <v>207</v>
          </cell>
          <cell r="E116">
            <v>37</v>
          </cell>
          <cell r="F116">
            <v>5</v>
          </cell>
          <cell r="G116">
            <v>19</v>
          </cell>
          <cell r="H116">
            <v>38.1</v>
          </cell>
          <cell r="I116">
            <v>29.5</v>
          </cell>
          <cell r="J116">
            <v>5.2</v>
          </cell>
          <cell r="K116">
            <v>0.7</v>
          </cell>
          <cell r="L116">
            <v>2.7</v>
          </cell>
          <cell r="N116" t="str">
            <v>Educ</v>
          </cell>
          <cell r="O116">
            <v>6.0521688159437277</v>
          </cell>
          <cell r="P116">
            <v>3.0260844079718638</v>
          </cell>
          <cell r="R116">
            <v>23.2</v>
          </cell>
          <cell r="S116">
            <v>4.7596717467760836</v>
          </cell>
          <cell r="T116">
            <v>2.3798358733880418</v>
          </cell>
          <cell r="U116">
            <v>24</v>
          </cell>
          <cell r="V116">
            <v>4.9237983587338796</v>
          </cell>
        </row>
        <row r="117">
          <cell r="B117" t="str">
            <v>Food Sales ...................</v>
          </cell>
          <cell r="C117">
            <v>39</v>
          </cell>
          <cell r="D117">
            <v>27</v>
          </cell>
          <cell r="E117">
            <v>2</v>
          </cell>
          <cell r="F117">
            <v>8</v>
          </cell>
          <cell r="G117" t="str">
            <v>Q</v>
          </cell>
          <cell r="H117">
            <v>51.7</v>
          </cell>
          <cell r="I117">
            <v>35.6</v>
          </cell>
          <cell r="J117">
            <v>3.2</v>
          </cell>
          <cell r="K117">
            <v>11.2</v>
          </cell>
          <cell r="L117" t="str">
            <v>Q</v>
          </cell>
          <cell r="N117" t="str">
            <v>Groc</v>
          </cell>
          <cell r="O117">
            <v>7.3036342321219214</v>
          </cell>
          <cell r="P117">
            <v>3.6518171160609607</v>
          </cell>
          <cell r="R117">
            <v>40.299999999999997</v>
          </cell>
          <cell r="S117">
            <v>8.2678780773739735</v>
          </cell>
          <cell r="T117">
            <v>4.1339390386869868</v>
          </cell>
          <cell r="U117">
            <v>21.8</v>
          </cell>
          <cell r="V117">
            <v>4.4724501758499411</v>
          </cell>
        </row>
        <row r="118">
          <cell r="B118" t="str">
            <v>Food Service .................</v>
          </cell>
          <cell r="C118">
            <v>203</v>
          </cell>
          <cell r="D118">
            <v>54</v>
          </cell>
          <cell r="E118">
            <v>56</v>
          </cell>
          <cell r="F118">
            <v>91</v>
          </cell>
          <cell r="G118" t="str">
            <v>Q</v>
          </cell>
          <cell r="H118">
            <v>145.6</v>
          </cell>
          <cell r="I118">
            <v>39</v>
          </cell>
          <cell r="J118">
            <v>40</v>
          </cell>
          <cell r="K118">
            <v>65.400000000000006</v>
          </cell>
          <cell r="L118" t="str">
            <v>Q</v>
          </cell>
          <cell r="N118" t="str">
            <v>Restau</v>
          </cell>
          <cell r="O118">
            <v>8.0011723329425539</v>
          </cell>
          <cell r="P118">
            <v>4.000586166471277</v>
          </cell>
        </row>
        <row r="119">
          <cell r="B119" t="str">
            <v>Health Care ..................</v>
          </cell>
          <cell r="C119">
            <v>243</v>
          </cell>
          <cell r="D119">
            <v>136</v>
          </cell>
          <cell r="E119">
            <v>74</v>
          </cell>
          <cell r="F119">
            <v>10</v>
          </cell>
          <cell r="G119">
            <v>23</v>
          </cell>
          <cell r="H119">
            <v>95.3</v>
          </cell>
          <cell r="I119">
            <v>53.6</v>
          </cell>
          <cell r="J119">
            <v>28.9</v>
          </cell>
          <cell r="K119">
            <v>3.8</v>
          </cell>
          <cell r="L119">
            <v>9.1</v>
          </cell>
          <cell r="N119" t="str">
            <v>Health</v>
          </cell>
          <cell r="O119">
            <v>10.996483001172331</v>
          </cell>
          <cell r="P119">
            <v>5.4982415005861656</v>
          </cell>
        </row>
      </sheetData>
      <sheetData sheetId="17">
        <row r="11">
          <cell r="B11" t="str">
            <v>Water Using Devices</v>
          </cell>
          <cell r="C11" t="str">
            <v>Pre-Rinse Spray Valve</v>
          </cell>
          <cell r="D11" t="str">
            <v>Pre-Rinse Spray Valve</v>
          </cell>
          <cell r="E11" t="str">
            <v>CBSA 2014</v>
          </cell>
          <cell r="F11" t="str">
            <v>Some</v>
          </cell>
          <cell r="H11" t="str">
            <v>Retro</v>
          </cell>
          <cell r="I11">
            <v>0</v>
          </cell>
        </row>
        <row r="12">
          <cell r="B12" t="str">
            <v>Cooking</v>
          </cell>
          <cell r="C12" t="str">
            <v>Cooking Equipment</v>
          </cell>
          <cell r="D12" t="str">
            <v>Cooking Equipment</v>
          </cell>
          <cell r="E12" t="str">
            <v>CBSA 2014</v>
          </cell>
          <cell r="F12" t="str">
            <v>All</v>
          </cell>
          <cell r="H12" t="str">
            <v>NR</v>
          </cell>
          <cell r="I12">
            <v>0</v>
          </cell>
        </row>
        <row r="13">
          <cell r="B13" t="str">
            <v>HVAC System Improvements</v>
          </cell>
          <cell r="C13" t="str">
            <v>Premium HVAC Equipment</v>
          </cell>
          <cell r="D13" t="str">
            <v>Premium HVAC Equipment</v>
          </cell>
          <cell r="E13" t="str">
            <v>CBSA 2014</v>
          </cell>
          <cell r="F13" t="str">
            <v>All</v>
          </cell>
          <cell r="H13" t="str">
            <v>New</v>
          </cell>
          <cell r="I13">
            <v>0</v>
          </cell>
        </row>
        <row r="14">
          <cell r="B14" t="str">
            <v>HVAC System Improvements</v>
          </cell>
          <cell r="C14" t="str">
            <v>Premium HVAC Equipment</v>
          </cell>
          <cell r="D14" t="str">
            <v>Premium HVAC Equipment</v>
          </cell>
          <cell r="E14" t="str">
            <v>CBSA 2014</v>
          </cell>
          <cell r="F14" t="str">
            <v>All</v>
          </cell>
          <cell r="H14" t="str">
            <v>New</v>
          </cell>
          <cell r="I14">
            <v>0</v>
          </cell>
        </row>
        <row r="15">
          <cell r="B15" t="str">
            <v>Envelope</v>
          </cell>
          <cell r="C15" t="str">
            <v>Glass</v>
          </cell>
          <cell r="D15" t="str">
            <v>Windows</v>
          </cell>
          <cell r="E15" t="str">
            <v>CBSA 2014</v>
          </cell>
          <cell r="F15" t="str">
            <v>All</v>
          </cell>
          <cell r="H15" t="str">
            <v>New</v>
          </cell>
          <cell r="I15">
            <v>0</v>
          </cell>
        </row>
        <row r="16">
          <cell r="B16" t="str">
            <v>Envelope</v>
          </cell>
          <cell r="C16" t="str">
            <v>Glass</v>
          </cell>
          <cell r="D16" t="str">
            <v>Windows</v>
          </cell>
          <cell r="E16" t="str">
            <v>CBSA 2014</v>
          </cell>
          <cell r="F16" t="str">
            <v>All</v>
          </cell>
          <cell r="H16" t="str">
            <v>New</v>
          </cell>
          <cell r="I16">
            <v>0</v>
          </cell>
        </row>
        <row r="17">
          <cell r="B17" t="str">
            <v>Envelope</v>
          </cell>
          <cell r="C17" t="str">
            <v>Glass</v>
          </cell>
          <cell r="D17" t="str">
            <v>Windows</v>
          </cell>
          <cell r="E17" t="str">
            <v>CBSA 2014</v>
          </cell>
          <cell r="F17" t="str">
            <v>All</v>
          </cell>
          <cell r="H17" t="str">
            <v>New</v>
          </cell>
          <cell r="I17">
            <v>0</v>
          </cell>
        </row>
        <row r="18">
          <cell r="B18" t="str">
            <v>HVAC System Improvements</v>
          </cell>
          <cell r="C18" t="str">
            <v>Advanced Rooftop Controller</v>
          </cell>
          <cell r="D18" t="str">
            <v>Package Roof Top Optimization and Repair</v>
          </cell>
          <cell r="E18" t="str">
            <v>CBSA 2014</v>
          </cell>
          <cell r="F18" t="str">
            <v>Most</v>
          </cell>
          <cell r="H18" t="str">
            <v>New</v>
          </cell>
          <cell r="I18">
            <v>0</v>
          </cell>
        </row>
        <row r="19">
          <cell r="B19" t="str">
            <v>HVAC System Improvements</v>
          </cell>
          <cell r="C19" t="str">
            <v>Advanced Rooftop Controller</v>
          </cell>
          <cell r="D19" t="str">
            <v>Package Roof Top Optimization and Repair</v>
          </cell>
          <cell r="E19" t="str">
            <v>CBSA 2014</v>
          </cell>
          <cell r="F19" t="str">
            <v>Most</v>
          </cell>
          <cell r="H19" t="str">
            <v>New</v>
          </cell>
          <cell r="I19">
            <v>0</v>
          </cell>
        </row>
        <row r="20">
          <cell r="B20" t="str">
            <v>HVAC System Improvements</v>
          </cell>
          <cell r="C20" t="str">
            <v>Advanced Rooftop Controller</v>
          </cell>
          <cell r="D20" t="str">
            <v>Package Roof Top Optimization and Repair</v>
          </cell>
          <cell r="E20" t="str">
            <v>CBSA 2014</v>
          </cell>
          <cell r="F20" t="str">
            <v>Most</v>
          </cell>
          <cell r="H20" t="str">
            <v>New</v>
          </cell>
          <cell r="I20">
            <v>0</v>
          </cell>
        </row>
        <row r="21">
          <cell r="B21" t="str">
            <v>Envelope</v>
          </cell>
          <cell r="C21" t="str">
            <v>Variable Speed Chiller</v>
          </cell>
          <cell r="D21" t="str">
            <v>Variable Speed Chiller</v>
          </cell>
          <cell r="E21" t="str">
            <v>CBSA 2014</v>
          </cell>
          <cell r="F21" t="str">
            <v>Some</v>
          </cell>
          <cell r="H21" t="str">
            <v>New</v>
          </cell>
          <cell r="I21">
            <v>0</v>
          </cell>
        </row>
        <row r="22">
          <cell r="B22" t="str">
            <v>Envelope</v>
          </cell>
          <cell r="C22" t="str">
            <v>Variable Speed Chiller</v>
          </cell>
          <cell r="D22" t="str">
            <v>Variable Speed Chiller</v>
          </cell>
          <cell r="E22" t="str">
            <v>CBSA 2014</v>
          </cell>
          <cell r="F22" t="str">
            <v>Some</v>
          </cell>
          <cell r="H22" t="str">
            <v>New</v>
          </cell>
          <cell r="I22">
            <v>0</v>
          </cell>
        </row>
        <row r="23">
          <cell r="B23" t="str">
            <v>Whole Bldg/Meter Level System Improvements</v>
          </cell>
          <cell r="C23" t="str">
            <v>Commercial EM</v>
          </cell>
          <cell r="D23" t="str">
            <v>Commercial Energy Management For Complex systems</v>
          </cell>
          <cell r="E23" t="str">
            <v>CBSA 2014</v>
          </cell>
          <cell r="F23" t="str">
            <v>All</v>
          </cell>
          <cell r="H23" t="str">
            <v>New</v>
          </cell>
          <cell r="I23">
            <v>0</v>
          </cell>
        </row>
        <row r="24">
          <cell r="B24" t="str">
            <v>Whole Bldg/Meter Level System Improvements</v>
          </cell>
          <cell r="C24" t="str">
            <v>Commercial EM</v>
          </cell>
          <cell r="D24" t="str">
            <v>Commercial Energy Management For Complex systems</v>
          </cell>
          <cell r="E24" t="str">
            <v>CBSA 2014</v>
          </cell>
          <cell r="F24" t="str">
            <v>All</v>
          </cell>
          <cell r="H24" t="str">
            <v>New</v>
          </cell>
          <cell r="I24">
            <v>0</v>
          </cell>
        </row>
        <row r="25">
          <cell r="B25" t="str">
            <v>Whole Bldg/Meter Level System Improvements</v>
          </cell>
          <cell r="C25" t="str">
            <v>Commercial EM</v>
          </cell>
          <cell r="D25" t="str">
            <v>Commercial Energy Management For Complex systems</v>
          </cell>
          <cell r="E25" t="str">
            <v>CBSA 2014</v>
          </cell>
          <cell r="F25" t="str">
            <v>All</v>
          </cell>
          <cell r="H25" t="str">
            <v>New</v>
          </cell>
          <cell r="I25">
            <v>0</v>
          </cell>
        </row>
        <row r="26">
          <cell r="B26" t="str">
            <v>HVAC System Improvements</v>
          </cell>
          <cell r="C26" t="str">
            <v>Evaporative Assist Cooling</v>
          </cell>
          <cell r="D26" t="str">
            <v>Evaporative Assist Cooling</v>
          </cell>
          <cell r="E26" t="str">
            <v>CBSA 2014</v>
          </cell>
          <cell r="F26" t="str">
            <v>Some</v>
          </cell>
          <cell r="H26" t="str">
            <v>New</v>
          </cell>
          <cell r="I26">
            <v>0</v>
          </cell>
        </row>
        <row r="27">
          <cell r="B27" t="str">
            <v>HVAC System Improvements</v>
          </cell>
          <cell r="C27" t="str">
            <v>Evaporative Assist Cooling</v>
          </cell>
          <cell r="D27" t="str">
            <v>Evaporative Assist Cooling</v>
          </cell>
          <cell r="E27" t="str">
            <v>CBSA 2014</v>
          </cell>
          <cell r="F27" t="str">
            <v>Some</v>
          </cell>
          <cell r="H27" t="str">
            <v>New</v>
          </cell>
          <cell r="I27">
            <v>0</v>
          </cell>
        </row>
        <row r="28">
          <cell r="B28" t="str">
            <v>HVAC System Improvements</v>
          </cell>
          <cell r="C28" t="str">
            <v>Low Pressure Distribution Complex HVAC</v>
          </cell>
          <cell r="D28" t="str">
            <v>Low Pressure Distribution Complex HVAC</v>
          </cell>
          <cell r="E28" t="str">
            <v>CBSA 2014</v>
          </cell>
          <cell r="F28" t="str">
            <v>Some</v>
          </cell>
          <cell r="H28" t="str">
            <v>New</v>
          </cell>
          <cell r="I28">
            <v>0</v>
          </cell>
        </row>
        <row r="29">
          <cell r="B29" t="str">
            <v>HVAC System Controls</v>
          </cell>
          <cell r="C29" t="str">
            <v>Demand Control Ventilation</v>
          </cell>
          <cell r="D29" t="str">
            <v>Demand Control Ventilation</v>
          </cell>
          <cell r="E29" t="str">
            <v>CBSA 2014</v>
          </cell>
          <cell r="F29" t="str">
            <v>All</v>
          </cell>
          <cell r="H29" t="str">
            <v>New</v>
          </cell>
          <cell r="I29">
            <v>0</v>
          </cell>
        </row>
        <row r="30">
          <cell r="B30" t="str">
            <v>HVAC System Controls</v>
          </cell>
          <cell r="C30" t="str">
            <v>Demand Control Ventilation</v>
          </cell>
          <cell r="D30" t="str">
            <v>Demand Control Ventilation</v>
          </cell>
          <cell r="E30" t="str">
            <v>CBSA 2014</v>
          </cell>
          <cell r="F30" t="str">
            <v>All</v>
          </cell>
          <cell r="H30" t="str">
            <v>New</v>
          </cell>
          <cell r="I30">
            <v>0</v>
          </cell>
        </row>
        <row r="31">
          <cell r="B31" t="str">
            <v>HVAC System Controls</v>
          </cell>
          <cell r="C31" t="str">
            <v>Demand Control Ventilation</v>
          </cell>
          <cell r="D31" t="str">
            <v>Demand Control Ventilation</v>
          </cell>
          <cell r="E31" t="str">
            <v>CBSA 2014</v>
          </cell>
          <cell r="F31" t="str">
            <v>All</v>
          </cell>
          <cell r="H31" t="str">
            <v>New</v>
          </cell>
          <cell r="I31">
            <v>0</v>
          </cell>
        </row>
        <row r="32">
          <cell r="B32" t="str">
            <v>Pumps and Fans</v>
          </cell>
          <cell r="C32" t="str">
            <v>Premium Fume Hood</v>
          </cell>
          <cell r="D32" t="str">
            <v>Premium Fume Hood</v>
          </cell>
          <cell r="E32" t="str">
            <v>CBSA 2014</v>
          </cell>
          <cell r="F32" t="str">
            <v>Some</v>
          </cell>
          <cell r="H32" t="str">
            <v>NR</v>
          </cell>
          <cell r="I32">
            <v>0</v>
          </cell>
        </row>
        <row r="33">
          <cell r="B33" t="str">
            <v>Pumps and Fans</v>
          </cell>
          <cell r="C33" t="str">
            <v>DCV Restaurant Hood</v>
          </cell>
          <cell r="D33" t="str">
            <v>DCV Restaurant Hood</v>
          </cell>
          <cell r="E33" t="str">
            <v>CBSA 2014</v>
          </cell>
          <cell r="F33" t="str">
            <v>Restaurant</v>
          </cell>
          <cell r="H33" t="str">
            <v>Retro</v>
          </cell>
          <cell r="I33">
            <v>0</v>
          </cell>
        </row>
        <row r="34">
          <cell r="B34" t="str">
            <v>Pumps and Fans</v>
          </cell>
          <cell r="C34" t="str">
            <v>DCV Parking Garage</v>
          </cell>
          <cell r="D34" t="str">
            <v>DCV Parking Garage</v>
          </cell>
          <cell r="E34" t="str">
            <v>CBSA 2014</v>
          </cell>
          <cell r="F34" t="str">
            <v>All</v>
          </cell>
          <cell r="H34" t="str">
            <v>Retro</v>
          </cell>
          <cell r="I34" t="str">
            <v>x</v>
          </cell>
        </row>
        <row r="35">
          <cell r="B35" t="str">
            <v>Envelope</v>
          </cell>
          <cell r="C35" t="str">
            <v>Weatherization - School</v>
          </cell>
          <cell r="D35" t="str">
            <v>Weatherization - School</v>
          </cell>
          <cell r="E35" t="str">
            <v>CBSA 2014</v>
          </cell>
          <cell r="F35" t="str">
            <v>K-12</v>
          </cell>
          <cell r="H35" t="str">
            <v>Retro</v>
          </cell>
          <cell r="I35" t="str">
            <v>x</v>
          </cell>
        </row>
        <row r="36">
          <cell r="B36" t="e">
            <v>#N/A</v>
          </cell>
          <cell r="C36" t="str">
            <v>Energy Recovery Ventilator</v>
          </cell>
          <cell r="D36" t="e">
            <v>#N/A</v>
          </cell>
          <cell r="E36" t="e">
            <v>#N/A</v>
          </cell>
          <cell r="F36" t="e">
            <v>#N/A</v>
          </cell>
          <cell r="H36" t="e">
            <v>#N/A</v>
          </cell>
          <cell r="I36" t="e">
            <v>#N/A</v>
          </cell>
        </row>
        <row r="37">
          <cell r="B37" t="str">
            <v>Heat Recovery</v>
          </cell>
          <cell r="C37" t="str">
            <v>AC Heat Recovery for Water Heating</v>
          </cell>
          <cell r="D37" t="str">
            <v>AC Heat Recovery for Water Heating</v>
          </cell>
          <cell r="E37" t="str">
            <v>CBSA 2014</v>
          </cell>
          <cell r="F37" t="str">
            <v>All</v>
          </cell>
          <cell r="H37" t="str">
            <v>NR</v>
          </cell>
          <cell r="I37" t="str">
            <v>x</v>
          </cell>
        </row>
        <row r="38">
          <cell r="B38" t="str">
            <v>Whole Bldg/Meter Level System Improvements</v>
          </cell>
          <cell r="C38" t="str">
            <v>Room Occupancy Sensors in Lodging</v>
          </cell>
          <cell r="D38" t="str">
            <v>Room Occupancy Sensors in Lodging</v>
          </cell>
          <cell r="E38" t="str">
            <v>CBSA 2014</v>
          </cell>
          <cell r="F38" t="str">
            <v>Lodging</v>
          </cell>
          <cell r="H38" t="str">
            <v>Retro</v>
          </cell>
          <cell r="I38" t="str">
            <v>x</v>
          </cell>
        </row>
        <row r="39">
          <cell r="B39" t="str">
            <v>HVAC System Improvements</v>
          </cell>
          <cell r="C39" t="str">
            <v>Chiller - chilled water retrofit</v>
          </cell>
          <cell r="D39" t="str">
            <v>Chiller - chilled water retrofit</v>
          </cell>
          <cell r="E39" t="str">
            <v>CBSA 2014</v>
          </cell>
          <cell r="F39" t="str">
            <v>Some</v>
          </cell>
          <cell r="H39" t="str">
            <v>Retro</v>
          </cell>
          <cell r="I39" t="str">
            <v>x</v>
          </cell>
        </row>
        <row r="40">
          <cell r="B40" t="str">
            <v>HVAC System Improvements</v>
          </cell>
          <cell r="C40" t="str">
            <v>Chiller - equip retrofits</v>
          </cell>
          <cell r="D40" t="str">
            <v>Chiller - equip retrofits</v>
          </cell>
          <cell r="E40" t="str">
            <v>CBSA 2014</v>
          </cell>
          <cell r="F40" t="str">
            <v>Some</v>
          </cell>
          <cell r="H40" t="str">
            <v>Retro</v>
          </cell>
          <cell r="I40" t="str">
            <v>x</v>
          </cell>
        </row>
        <row r="41">
          <cell r="B41" t="str">
            <v>Pool System Improvements</v>
          </cell>
          <cell r="C41" t="str">
            <v>Pool Blankets</v>
          </cell>
          <cell r="D41" t="str">
            <v>Pool Blankets</v>
          </cell>
          <cell r="E41" t="str">
            <v>CBSA 2014</v>
          </cell>
          <cell r="F41" t="str">
            <v>Some</v>
          </cell>
          <cell r="H41" t="str">
            <v>Retro</v>
          </cell>
          <cell r="I41" t="str">
            <v>x</v>
          </cell>
        </row>
        <row r="42">
          <cell r="B42" t="str">
            <v>HVAC System Controls</v>
          </cell>
          <cell r="C42" t="str">
            <v>Web-Enabled Thermostats</v>
          </cell>
          <cell r="D42" t="str">
            <v>Web-Enabled Thermostats</v>
          </cell>
          <cell r="E42" t="str">
            <v>CBSA 2014</v>
          </cell>
          <cell r="F42" t="str">
            <v>Some</v>
          </cell>
          <cell r="H42" t="str">
            <v>Retro</v>
          </cell>
          <cell r="I42" t="str">
            <v>x</v>
          </cell>
        </row>
        <row r="43">
          <cell r="B43" t="str">
            <v>HVAC System Controls</v>
          </cell>
          <cell r="C43" t="str">
            <v>Garage CO2 ventilation</v>
          </cell>
          <cell r="D43" t="str">
            <v>Garage CO2 ventilation</v>
          </cell>
          <cell r="E43" t="str">
            <v>CBSA 2014</v>
          </cell>
          <cell r="F43" t="str">
            <v>Some</v>
          </cell>
          <cell r="H43" t="str">
            <v>Retro</v>
          </cell>
          <cell r="I43" t="str">
            <v>x</v>
          </cell>
        </row>
        <row r="44">
          <cell r="B44" t="str">
            <v>Pumps and Fans</v>
          </cell>
          <cell r="C44" t="str">
            <v>Circ Pump ECM and drive</v>
          </cell>
          <cell r="D44" t="str">
            <v>Circ Pump ECM and drive</v>
          </cell>
          <cell r="E44" t="str">
            <v>CBSA 2014</v>
          </cell>
          <cell r="F44" t="str">
            <v>Some</v>
          </cell>
          <cell r="H44" t="str">
            <v>Retro</v>
          </cell>
          <cell r="I44" t="str">
            <v>x</v>
          </cell>
        </row>
        <row r="45">
          <cell r="B45" t="str">
            <v>HVAC System Improvements</v>
          </cell>
          <cell r="C45" t="str">
            <v>VRF</v>
          </cell>
          <cell r="D45" t="str">
            <v>Variable Refrigerant Flow</v>
          </cell>
          <cell r="E45" t="str">
            <v>CBSA 2014</v>
          </cell>
          <cell r="F45" t="str">
            <v>Some</v>
          </cell>
          <cell r="H45" t="str">
            <v>New</v>
          </cell>
          <cell r="I45" t="str">
            <v>x</v>
          </cell>
        </row>
        <row r="46">
          <cell r="B46" t="str">
            <v>HVAC System Improvements</v>
          </cell>
          <cell r="C46" t="str">
            <v>VRF</v>
          </cell>
          <cell r="D46" t="str">
            <v>Variable Refrigerant Flow</v>
          </cell>
          <cell r="E46" t="str">
            <v>CBSA 2014</v>
          </cell>
          <cell r="F46" t="str">
            <v>Some</v>
          </cell>
          <cell r="H46" t="str">
            <v>New</v>
          </cell>
          <cell r="I46" t="str">
            <v>x</v>
          </cell>
        </row>
        <row r="47">
          <cell r="B47" t="str">
            <v>HVAC System Improvements</v>
          </cell>
          <cell r="C47" t="str">
            <v>Evaporator Roof Top HVAC</v>
          </cell>
          <cell r="D47" t="str">
            <v>Evaporator Roof Top HVAC</v>
          </cell>
          <cell r="E47" t="str">
            <v>CBSA 2014</v>
          </cell>
          <cell r="F47" t="str">
            <v>Some</v>
          </cell>
          <cell r="H47" t="str">
            <v>Retro</v>
          </cell>
          <cell r="I47" t="str">
            <v>x</v>
          </cell>
        </row>
        <row r="48">
          <cell r="B48" t="str">
            <v>Envelope</v>
          </cell>
          <cell r="C48" t="str">
            <v>Secondary Glazing Systems</v>
          </cell>
          <cell r="D48" t="str">
            <v>Secondary Glazing Systems</v>
          </cell>
          <cell r="E48" t="str">
            <v>CBSA 2014</v>
          </cell>
          <cell r="F48" t="str">
            <v>All</v>
          </cell>
          <cell r="H48" t="str">
            <v>Retro</v>
          </cell>
          <cell r="I48" t="str">
            <v>x</v>
          </cell>
        </row>
        <row r="49">
          <cell r="B49" t="str">
            <v>Lamps/Ballasts/Fixtures</v>
          </cell>
          <cell r="C49" t="str">
            <v>LPD Package</v>
          </cell>
          <cell r="D49" t="str">
            <v>Lighting Power Density</v>
          </cell>
          <cell r="E49" t="str">
            <v>CBSA 2014</v>
          </cell>
          <cell r="F49" t="str">
            <v>All</v>
          </cell>
          <cell r="H49" t="str">
            <v>New</v>
          </cell>
          <cell r="I49">
            <v>0</v>
          </cell>
        </row>
        <row r="50">
          <cell r="B50" t="str">
            <v>Lamps/Ballasts/Fixtures</v>
          </cell>
          <cell r="C50" t="str">
            <v>LPD Package</v>
          </cell>
          <cell r="D50" t="str">
            <v>Lighting Power Density</v>
          </cell>
          <cell r="E50" t="str">
            <v>CBSA 2014</v>
          </cell>
          <cell r="F50" t="str">
            <v>All</v>
          </cell>
          <cell r="H50" t="str">
            <v>New</v>
          </cell>
          <cell r="I50">
            <v>0</v>
          </cell>
        </row>
        <row r="51">
          <cell r="B51" t="str">
            <v>Lamps/Ballasts/Fixtures</v>
          </cell>
          <cell r="C51" t="str">
            <v>LPD Package</v>
          </cell>
          <cell r="D51" t="str">
            <v>Lighting Power Density</v>
          </cell>
          <cell r="E51" t="str">
            <v>CBSA 2014</v>
          </cell>
          <cell r="F51" t="str">
            <v>All</v>
          </cell>
          <cell r="H51" t="str">
            <v>New</v>
          </cell>
          <cell r="I51">
            <v>0</v>
          </cell>
        </row>
        <row r="52">
          <cell r="B52" t="str">
            <v>Whole Bldg/Meter Level System Improvements</v>
          </cell>
          <cell r="C52" t="str">
            <v>Top Daylighting</v>
          </cell>
          <cell r="D52" t="str">
            <v>Daylighting with Skylights</v>
          </cell>
          <cell r="E52" t="str">
            <v>CBSA 2014</v>
          </cell>
          <cell r="F52" t="str">
            <v>All</v>
          </cell>
          <cell r="H52" t="str">
            <v>New</v>
          </cell>
          <cell r="I52">
            <v>0</v>
          </cell>
        </row>
        <row r="53">
          <cell r="B53" t="str">
            <v>Whole Bldg/Meter Level System Improvements</v>
          </cell>
          <cell r="C53" t="str">
            <v>Perimeter Daylighting Controls Advanced</v>
          </cell>
          <cell r="D53" t="str">
            <v>Daylighting with Windows</v>
          </cell>
          <cell r="E53" t="str">
            <v>CBSA 2014</v>
          </cell>
          <cell r="F53" t="str">
            <v>All</v>
          </cell>
          <cell r="H53" t="str">
            <v>New</v>
          </cell>
          <cell r="I53">
            <v>0</v>
          </cell>
        </row>
        <row r="54">
          <cell r="B54" t="str">
            <v>Whole Bldg/Meter Level System Improvements</v>
          </cell>
          <cell r="C54" t="str">
            <v>Perimeter Daylighting Controls Advanced</v>
          </cell>
          <cell r="D54" t="str">
            <v>Daylighting with Windows</v>
          </cell>
          <cell r="E54" t="str">
            <v>CBSA 2014</v>
          </cell>
          <cell r="F54" t="str">
            <v>All</v>
          </cell>
          <cell r="H54" t="str">
            <v>New</v>
          </cell>
          <cell r="I54">
            <v>0</v>
          </cell>
        </row>
        <row r="55">
          <cell r="B55" t="str">
            <v>Lighting Controls</v>
          </cell>
          <cell r="C55" t="str">
            <v>Lighting Controls Interior</v>
          </cell>
          <cell r="D55" t="str">
            <v>Lighting Controls Interior</v>
          </cell>
          <cell r="E55" t="str">
            <v>CBSA 2014</v>
          </cell>
          <cell r="F55" t="str">
            <v>All</v>
          </cell>
          <cell r="H55" t="str">
            <v>New</v>
          </cell>
          <cell r="I55">
            <v>0</v>
          </cell>
        </row>
        <row r="56">
          <cell r="B56" t="str">
            <v>Lighting Controls</v>
          </cell>
          <cell r="C56" t="str">
            <v>Lighting Controls Interior</v>
          </cell>
          <cell r="D56" t="str">
            <v>Lighting Controls Interior</v>
          </cell>
          <cell r="E56" t="str">
            <v>CBSA 2014</v>
          </cell>
          <cell r="F56" t="str">
            <v>All</v>
          </cell>
          <cell r="H56" t="str">
            <v>New</v>
          </cell>
          <cell r="I56">
            <v>0</v>
          </cell>
        </row>
        <row r="57">
          <cell r="B57" t="str">
            <v>Lamps/Ballasts/Fixtures</v>
          </cell>
          <cell r="C57" t="str">
            <v>Exterior Building Lighting</v>
          </cell>
          <cell r="D57" t="str">
            <v>Exterior Building Lighting</v>
          </cell>
          <cell r="E57" t="str">
            <v>CBSA 2014</v>
          </cell>
          <cell r="F57" t="str">
            <v>All</v>
          </cell>
          <cell r="H57" t="str">
            <v>New</v>
          </cell>
          <cell r="I57">
            <v>0</v>
          </cell>
        </row>
        <row r="58">
          <cell r="B58" t="str">
            <v>Lamps/Ballasts/Fixtures</v>
          </cell>
          <cell r="C58" t="str">
            <v>Exterior Building Lighting</v>
          </cell>
          <cell r="D58" t="str">
            <v>Exterior Building Lighting</v>
          </cell>
          <cell r="E58" t="str">
            <v>CBSA 2014</v>
          </cell>
          <cell r="F58" t="str">
            <v>All</v>
          </cell>
          <cell r="H58" t="str">
            <v>New</v>
          </cell>
          <cell r="I58">
            <v>0</v>
          </cell>
        </row>
        <row r="59">
          <cell r="B59" t="str">
            <v>Lamps/Ballasts/Fixtures</v>
          </cell>
          <cell r="C59" t="str">
            <v>Street and Roadway Lighting</v>
          </cell>
          <cell r="D59" t="str">
            <v>Street and Roadway Lighting</v>
          </cell>
          <cell r="E59" t="str">
            <v>Navigant 2014</v>
          </cell>
          <cell r="F59" t="str">
            <v>Non-Building</v>
          </cell>
          <cell r="H59" t="str">
            <v>New</v>
          </cell>
          <cell r="I59">
            <v>0</v>
          </cell>
        </row>
        <row r="60">
          <cell r="B60" t="str">
            <v>Lamps/Ballasts/Fixtures</v>
          </cell>
          <cell r="C60" t="str">
            <v>Street and Roadway Lighting</v>
          </cell>
          <cell r="D60" t="str">
            <v>Street and Roadway Lighting</v>
          </cell>
          <cell r="E60" t="str">
            <v>Navigant 2014</v>
          </cell>
          <cell r="F60" t="str">
            <v>Non-Building</v>
          </cell>
          <cell r="H60" t="str">
            <v>New</v>
          </cell>
          <cell r="I60">
            <v>0</v>
          </cell>
        </row>
        <row r="61">
          <cell r="B61" t="str">
            <v>Lamps/Ballasts/Fixtures</v>
          </cell>
          <cell r="C61" t="str">
            <v>Parking Lighting</v>
          </cell>
          <cell r="D61" t="str">
            <v>Parking Lighting</v>
          </cell>
          <cell r="E61" t="str">
            <v>CBSA 2014</v>
          </cell>
          <cell r="F61" t="str">
            <v>All</v>
          </cell>
          <cell r="H61" t="str">
            <v>New</v>
          </cell>
          <cell r="I61">
            <v>0</v>
          </cell>
        </row>
        <row r="62">
          <cell r="B62" t="str">
            <v>Lamps/Ballasts/Fixtures</v>
          </cell>
          <cell r="C62" t="str">
            <v>Parking Lighting</v>
          </cell>
          <cell r="D62" t="str">
            <v>Parking Lighting</v>
          </cell>
          <cell r="E62" t="str">
            <v>CBSA 2014</v>
          </cell>
          <cell r="F62" t="str">
            <v>All</v>
          </cell>
          <cell r="H62" t="str">
            <v>New</v>
          </cell>
          <cell r="I62">
            <v>0</v>
          </cell>
        </row>
        <row r="63">
          <cell r="B63" t="str">
            <v>Lighting Controls</v>
          </cell>
          <cell r="C63" t="str">
            <v>Luminaire Level Lighting Controls</v>
          </cell>
          <cell r="D63" t="str">
            <v>Luminaire Level Lighting Controls</v>
          </cell>
          <cell r="E63" t="str">
            <v>CBSA 2014</v>
          </cell>
          <cell r="F63" t="str">
            <v>All</v>
          </cell>
          <cell r="H63" t="str">
            <v>Retro</v>
          </cell>
          <cell r="I63" t="str">
            <v>x</v>
          </cell>
        </row>
        <row r="64">
          <cell r="B64" t="e">
            <v>#N/A</v>
          </cell>
          <cell r="C64" t="str">
            <v>ECM on VAV Boxes</v>
          </cell>
          <cell r="D64" t="e">
            <v>#N/A</v>
          </cell>
          <cell r="E64" t="e">
            <v>#N/A</v>
          </cell>
          <cell r="F64" t="e">
            <v>#N/A</v>
          </cell>
          <cell r="H64" t="e">
            <v>#N/A</v>
          </cell>
          <cell r="I64" t="e">
            <v>#N/A</v>
          </cell>
        </row>
        <row r="65">
          <cell r="B65" t="e">
            <v>#N/A</v>
          </cell>
          <cell r="C65" t="str">
            <v>ECM on VAV Boxes</v>
          </cell>
          <cell r="D65" t="e">
            <v>#N/A</v>
          </cell>
          <cell r="E65" t="e">
            <v>#N/A</v>
          </cell>
          <cell r="F65" t="e">
            <v>#N/A</v>
          </cell>
          <cell r="H65" t="e">
            <v>#N/A</v>
          </cell>
          <cell r="I65" t="e">
            <v>#N/A</v>
          </cell>
        </row>
        <row r="66">
          <cell r="B66" t="str">
            <v>Pool System Improvements</v>
          </cell>
          <cell r="C66" t="str">
            <v>Pool pumps</v>
          </cell>
          <cell r="D66" t="str">
            <v>Pool pumps</v>
          </cell>
          <cell r="E66" t="str">
            <v>CBSA 2014</v>
          </cell>
          <cell r="F66" t="str">
            <v>Some</v>
          </cell>
          <cell r="H66" t="str">
            <v>Retro</v>
          </cell>
          <cell r="I66" t="str">
            <v>x</v>
          </cell>
        </row>
        <row r="67">
          <cell r="B67" t="e">
            <v>#N/A</v>
          </cell>
          <cell r="C67" t="str">
            <v>Switched Reluctance/Permanent Magnet Motors</v>
          </cell>
          <cell r="D67" t="e">
            <v>#N/A</v>
          </cell>
          <cell r="E67" t="e">
            <v>#N/A</v>
          </cell>
          <cell r="F67" t="e">
            <v>#N/A</v>
          </cell>
          <cell r="H67" t="e">
            <v>#N/A</v>
          </cell>
          <cell r="I67" t="e">
            <v>#N/A</v>
          </cell>
        </row>
        <row r="68">
          <cell r="B68" t="e">
            <v>#N/A</v>
          </cell>
          <cell r="C68" t="str">
            <v>Motors - Rewind</v>
          </cell>
          <cell r="D68" t="e">
            <v>#N/A</v>
          </cell>
          <cell r="E68" t="e">
            <v>#N/A</v>
          </cell>
          <cell r="F68" t="e">
            <v>#N/A</v>
          </cell>
          <cell r="H68" t="e">
            <v>#N/A</v>
          </cell>
          <cell r="I68" t="e">
            <v>#N/A</v>
          </cell>
        </row>
        <row r="69">
          <cell r="B69" t="str">
            <v>Process Loads System Improvements</v>
          </cell>
          <cell r="C69" t="str">
            <v>Municipal Sewage Treatment</v>
          </cell>
          <cell r="D69" t="str">
            <v>Municipal Sewage Treatment</v>
          </cell>
          <cell r="E69" t="str">
            <v>2013 EPA Flow rates</v>
          </cell>
          <cell r="F69" t="str">
            <v>Non-Building</v>
          </cell>
          <cell r="H69" t="str">
            <v>Retro</v>
          </cell>
          <cell r="I69">
            <v>0</v>
          </cell>
        </row>
        <row r="70">
          <cell r="B70" t="str">
            <v>Process Loads System Improvements</v>
          </cell>
          <cell r="C70" t="str">
            <v>Municipal Water Supply</v>
          </cell>
          <cell r="D70" t="str">
            <v>Municipal Water Supply</v>
          </cell>
          <cell r="E70" t="str">
            <v>2013 EPA Flow rates</v>
          </cell>
          <cell r="F70" t="str">
            <v>Non-Building</v>
          </cell>
          <cell r="H70" t="str">
            <v>Retro</v>
          </cell>
          <cell r="I70">
            <v>0</v>
          </cell>
        </row>
        <row r="71">
          <cell r="B71" t="str">
            <v>Process Loads System Controls</v>
          </cell>
          <cell r="C71" t="str">
            <v>Engine Generator Block Heaters</v>
          </cell>
          <cell r="D71" t="str">
            <v>Engine Generator Block Heaters</v>
          </cell>
          <cell r="E71" t="str">
            <v>No Control</v>
          </cell>
          <cell r="F71" t="str">
            <v>All</v>
          </cell>
          <cell r="H71" t="str">
            <v>Retro</v>
          </cell>
          <cell r="I71" t="str">
            <v>x</v>
          </cell>
        </row>
        <row r="72">
          <cell r="B72" t="str">
            <v>Refrigeration System Improvements</v>
          </cell>
          <cell r="C72" t="str">
            <v>Grocery Refrigeration Bundle</v>
          </cell>
          <cell r="D72" t="str">
            <v>Grocery Refrigeration Bundle</v>
          </cell>
          <cell r="E72" t="str">
            <v>CBSA 2014</v>
          </cell>
          <cell r="F72" t="str">
            <v>Grocery</v>
          </cell>
          <cell r="H72" t="str">
            <v>Retro</v>
          </cell>
          <cell r="I72">
            <v>0</v>
          </cell>
        </row>
        <row r="73">
          <cell r="B73" t="str">
            <v>Packaged Refrigeration</v>
          </cell>
          <cell r="C73" t="str">
            <v>Packaged Refrigeration Equipment</v>
          </cell>
          <cell r="D73" t="str">
            <v>Packaged Refrigeration Equipment</v>
          </cell>
          <cell r="E73" t="str">
            <v>CBSA 2014</v>
          </cell>
          <cell r="F73" t="str">
            <v>Grocery</v>
          </cell>
          <cell r="H73" t="str">
            <v>New</v>
          </cell>
          <cell r="I73">
            <v>0</v>
          </cell>
        </row>
        <row r="74">
          <cell r="B74" t="str">
            <v>Refrigeration System Improvements</v>
          </cell>
          <cell r="C74" t="str">
            <v>Appliances - Freezers</v>
          </cell>
          <cell r="D74" t="str">
            <v>Appliances - Freezers</v>
          </cell>
          <cell r="E74" t="str">
            <v>Fed Std 2014</v>
          </cell>
          <cell r="F74" t="str">
            <v>All</v>
          </cell>
          <cell r="H74" t="str">
            <v>NR</v>
          </cell>
          <cell r="I74" t="str">
            <v>x</v>
          </cell>
        </row>
        <row r="75">
          <cell r="B75" t="str">
            <v>Refrigeration System Improvements</v>
          </cell>
          <cell r="C75" t="str">
            <v>Appliances - Refrigerators</v>
          </cell>
          <cell r="D75" t="str">
            <v>Appliances - Refrigerators</v>
          </cell>
          <cell r="E75" t="str">
            <v>Fed Std 2014</v>
          </cell>
          <cell r="F75" t="str">
            <v>All</v>
          </cell>
          <cell r="H75" t="str">
            <v>NR</v>
          </cell>
          <cell r="I75" t="str">
            <v>x</v>
          </cell>
        </row>
        <row r="76">
          <cell r="B76" t="str">
            <v>Refrigeration System Controls</v>
          </cell>
          <cell r="C76" t="str">
            <v>Water Cooler Controls</v>
          </cell>
          <cell r="D76" t="str">
            <v>Water Cooler Controls</v>
          </cell>
          <cell r="E76" t="str">
            <v>Uncontrolled</v>
          </cell>
          <cell r="F76" t="str">
            <v>Some</v>
          </cell>
          <cell r="H76" t="str">
            <v>Retro</v>
          </cell>
          <cell r="I76" t="str">
            <v>x</v>
          </cell>
        </row>
        <row r="77">
          <cell r="B77" t="e">
            <v>#N/A</v>
          </cell>
          <cell r="C77" t="str">
            <v>Commercial Clothes Washers</v>
          </cell>
          <cell r="D77" t="e">
            <v>#N/A</v>
          </cell>
          <cell r="E77" t="e">
            <v>#N/A</v>
          </cell>
          <cell r="F77" t="e">
            <v>#N/A</v>
          </cell>
          <cell r="H77" t="e">
            <v>#N/A</v>
          </cell>
          <cell r="I77" t="e">
            <v>#N/A</v>
          </cell>
        </row>
        <row r="78">
          <cell r="B78" t="e">
            <v>#N/A</v>
          </cell>
          <cell r="C78" t="str">
            <v>DHW - Efficient Tanks</v>
          </cell>
          <cell r="D78" t="e">
            <v>#N/A</v>
          </cell>
          <cell r="E78" t="e">
            <v>#N/A</v>
          </cell>
          <cell r="F78" t="e">
            <v>#N/A</v>
          </cell>
          <cell r="H78" t="e">
            <v>#N/A</v>
          </cell>
          <cell r="I78" t="e">
            <v>#N/A</v>
          </cell>
        </row>
        <row r="79">
          <cell r="B79" t="str">
            <v>Water Using Devices</v>
          </cell>
          <cell r="C79" t="str">
            <v>Appliances - Clothes Washers</v>
          </cell>
          <cell r="D79" t="str">
            <v>Appliances - Clothes Washers</v>
          </cell>
          <cell r="E79" t="str">
            <v>CBSA 2014</v>
          </cell>
          <cell r="F79" t="str">
            <v>Some</v>
          </cell>
          <cell r="H79" t="str">
            <v>NR</v>
          </cell>
          <cell r="I79" t="str">
            <v>x</v>
          </cell>
        </row>
        <row r="80">
          <cell r="B80" t="e">
            <v>#N/A</v>
          </cell>
          <cell r="C80" t="str">
            <v>DHW - Showerheads</v>
          </cell>
          <cell r="D80" t="e">
            <v>#N/A</v>
          </cell>
          <cell r="E80" t="e">
            <v>#N/A</v>
          </cell>
          <cell r="F80" t="e">
            <v>#N/A</v>
          </cell>
          <cell r="H80" t="e">
            <v>#N/A</v>
          </cell>
          <cell r="I80" t="e">
            <v>#N/A</v>
          </cell>
        </row>
        <row r="81">
          <cell r="B81" t="str">
            <v>Water Using Devices</v>
          </cell>
          <cell r="C81" t="str">
            <v>Water Heating - GFHX</v>
          </cell>
          <cell r="D81" t="str">
            <v>Water Heating - GFHX</v>
          </cell>
          <cell r="E81" t="str">
            <v>No Heat Recovery</v>
          </cell>
          <cell r="F81" t="str">
            <v>All</v>
          </cell>
          <cell r="H81" t="str">
            <v>New</v>
          </cell>
          <cell r="I81" t="str">
            <v>x</v>
          </cell>
        </row>
        <row r="82">
          <cell r="B82" t="str">
            <v>Water Using Devices</v>
          </cell>
          <cell r="C82" t="str">
            <v>Demand Control Circulating system DHW</v>
          </cell>
          <cell r="D82" t="str">
            <v>Demand Control Circulating system DHW</v>
          </cell>
          <cell r="E82" t="str">
            <v>CBSA 2014</v>
          </cell>
          <cell r="F82" t="str">
            <v>Some</v>
          </cell>
          <cell r="H82" t="str">
            <v>Retro</v>
          </cell>
          <cell r="I82" t="str">
            <v>x</v>
          </cell>
        </row>
        <row r="83">
          <cell r="B83" t="str">
            <v>Water Heaters</v>
          </cell>
          <cell r="C83" t="str">
            <v>Central HPWH MF</v>
          </cell>
          <cell r="D83" t="str">
            <v>Central HPWH MF</v>
          </cell>
          <cell r="E83" t="str">
            <v>CBSA 2014</v>
          </cell>
          <cell r="F83" t="str">
            <v>Multifamily</v>
          </cell>
          <cell r="H83" t="str">
            <v>Retro</v>
          </cell>
          <cell r="I83" t="str">
            <v>x</v>
          </cell>
        </row>
        <row r="84">
          <cell r="B84" t="str">
            <v>Whole Bldg/Meter Level System Improvements</v>
          </cell>
          <cell r="C84" t="str">
            <v>Ultra Low Energy Building</v>
          </cell>
          <cell r="D84" t="str">
            <v>Ultra Low Energy Building</v>
          </cell>
          <cell r="E84" t="str">
            <v>Code</v>
          </cell>
          <cell r="F84" t="str">
            <v>Some</v>
          </cell>
          <cell r="H84" t="str">
            <v>New</v>
          </cell>
          <cell r="I84">
            <v>0</v>
          </cell>
        </row>
        <row r="85">
          <cell r="B85" t="str">
            <v>Computer Technologies</v>
          </cell>
          <cell r="C85" t="str">
            <v>Commercial Computer Laptop</v>
          </cell>
          <cell r="D85" t="str">
            <v>ENERGY STAR Laptop</v>
          </cell>
          <cell r="E85" t="str">
            <v>Std Laptop</v>
          </cell>
          <cell r="F85" t="str">
            <v>All</v>
          </cell>
          <cell r="H85" t="str">
            <v>NR</v>
          </cell>
          <cell r="I85">
            <v>0</v>
          </cell>
        </row>
      </sheetData>
      <sheetData sheetId="18">
        <row r="11">
          <cell r="B11" t="str">
            <v>Assembly</v>
          </cell>
          <cell r="C11">
            <v>0.22184609974487568</v>
          </cell>
          <cell r="D11">
            <v>0.77815390025512432</v>
          </cell>
          <cell r="E11">
            <v>1</v>
          </cell>
          <cell r="G11" t="str">
            <v>Assembly</v>
          </cell>
          <cell r="H11">
            <v>0.47962038771740423</v>
          </cell>
          <cell r="I11">
            <v>0.52037961228259577</v>
          </cell>
          <cell r="J11">
            <v>1</v>
          </cell>
          <cell r="L11">
            <v>0.10640191237323121</v>
          </cell>
          <cell r="M11">
            <v>0.77815390025512432</v>
          </cell>
          <cell r="N11">
            <v>0.11544418737164447</v>
          </cell>
          <cell r="O11">
            <v>1</v>
          </cell>
        </row>
        <row r="12">
          <cell r="B12" t="str">
            <v>Grocery</v>
          </cell>
          <cell r="C12">
            <v>0.19141181754336017</v>
          </cell>
          <cell r="D12">
            <v>0.80858818245663977</v>
          </cell>
          <cell r="E12">
            <v>1</v>
          </cell>
          <cell r="G12" t="str">
            <v>Grocery</v>
          </cell>
          <cell r="H12">
            <v>0.38592097461312147</v>
          </cell>
          <cell r="I12">
            <v>0.61407902538687853</v>
          </cell>
          <cell r="J12">
            <v>1</v>
          </cell>
          <cell r="L12">
            <v>7.3869835178802537E-2</v>
          </cell>
          <cell r="M12">
            <v>0.80858818245663977</v>
          </cell>
          <cell r="N12">
            <v>0.11754198236455764</v>
          </cell>
          <cell r="O12">
            <v>0.99999999999999989</v>
          </cell>
        </row>
        <row r="13">
          <cell r="B13" t="str">
            <v>Lodging</v>
          </cell>
          <cell r="C13">
            <v>0.75058251470213166</v>
          </cell>
          <cell r="D13">
            <v>0.24941748529786834</v>
          </cell>
          <cell r="E13">
            <v>1</v>
          </cell>
          <cell r="G13" t="str">
            <v>Lodging</v>
          </cell>
          <cell r="H13">
            <v>0.59526013213262075</v>
          </cell>
          <cell r="I13">
            <v>0.40473986786737931</v>
          </cell>
          <cell r="J13">
            <v>1</v>
          </cell>
          <cell r="L13">
            <v>0.44679184687802564</v>
          </cell>
          <cell r="M13">
            <v>0.24941748529786834</v>
          </cell>
          <cell r="N13">
            <v>0.30379066782410608</v>
          </cell>
          <cell r="O13">
            <v>1</v>
          </cell>
        </row>
        <row r="14">
          <cell r="B14" t="str">
            <v>Office</v>
          </cell>
          <cell r="C14">
            <v>0.51635908187299928</v>
          </cell>
          <cell r="D14">
            <v>0.48364091812700072</v>
          </cell>
          <cell r="E14">
            <v>1</v>
          </cell>
          <cell r="G14" t="str">
            <v>Office</v>
          </cell>
          <cell r="H14">
            <v>0.45565580415878149</v>
          </cell>
          <cell r="I14">
            <v>0.54434419584121851</v>
          </cell>
          <cell r="J14">
            <v>1</v>
          </cell>
          <cell r="L14">
            <v>0.23528201268553159</v>
          </cell>
          <cell r="M14">
            <v>0.48364091812700072</v>
          </cell>
          <cell r="N14">
            <v>0.28107706918746772</v>
          </cell>
          <cell r="O14">
            <v>1</v>
          </cell>
        </row>
        <row r="15">
          <cell r="B15" t="str">
            <v>Other</v>
          </cell>
          <cell r="C15">
            <v>0.27428395672737665</v>
          </cell>
          <cell r="D15">
            <v>0.7257160432726234</v>
          </cell>
          <cell r="E15">
            <v>1</v>
          </cell>
          <cell r="G15" t="str">
            <v>Other</v>
          </cell>
          <cell r="H15">
            <v>0.6175903960921354</v>
          </cell>
          <cell r="I15">
            <v>0.38240960390786466</v>
          </cell>
          <cell r="J15">
            <v>1</v>
          </cell>
          <cell r="L15">
            <v>0.16939513747697868</v>
          </cell>
          <cell r="M15">
            <v>0.7257160432726234</v>
          </cell>
          <cell r="N15">
            <v>0.104888819250398</v>
          </cell>
          <cell r="O15">
            <v>1</v>
          </cell>
        </row>
        <row r="16">
          <cell r="B16" t="str">
            <v>Residential Care</v>
          </cell>
          <cell r="C16">
            <v>0.59443378738060659</v>
          </cell>
          <cell r="D16">
            <v>0.40556621261939335</v>
          </cell>
          <cell r="E16">
            <v>1</v>
          </cell>
          <cell r="G16" t="str">
            <v>Residential Care</v>
          </cell>
          <cell r="H16">
            <v>0.57173215680136025</v>
          </cell>
          <cell r="I16">
            <v>0.42826784319863981</v>
          </cell>
          <cell r="J16">
            <v>1</v>
          </cell>
          <cell r="L16">
            <v>0.33985691133471541</v>
          </cell>
          <cell r="M16">
            <v>0.40556621261939335</v>
          </cell>
          <cell r="N16">
            <v>0.25457687604589124</v>
          </cell>
          <cell r="O16">
            <v>1</v>
          </cell>
        </row>
        <row r="17">
          <cell r="B17" t="str">
            <v>Restaurant</v>
          </cell>
          <cell r="C17">
            <v>0.20634715054031719</v>
          </cell>
          <cell r="D17">
            <v>0.79365284945968273</v>
          </cell>
          <cell r="E17">
            <v>1</v>
          </cell>
          <cell r="G17" t="str">
            <v>Restaurant</v>
          </cell>
          <cell r="H17">
            <v>0.1456310681449533</v>
          </cell>
          <cell r="I17">
            <v>0.8543689318550467</v>
          </cell>
          <cell r="J17">
            <v>1</v>
          </cell>
          <cell r="L17">
            <v>3.0050555941853869E-2</v>
          </cell>
          <cell r="M17">
            <v>0.79365284945968273</v>
          </cell>
          <cell r="N17">
            <v>0.17629659459846331</v>
          </cell>
          <cell r="O17">
            <v>1</v>
          </cell>
        </row>
        <row r="18">
          <cell r="B18" t="str">
            <v>Retail/Service</v>
          </cell>
          <cell r="C18">
            <v>0.17516537112508487</v>
          </cell>
          <cell r="D18">
            <v>0.8248346288749151</v>
          </cell>
          <cell r="E18">
            <v>1</v>
          </cell>
          <cell r="G18" t="str">
            <v>Retail/Service</v>
          </cell>
          <cell r="H18">
            <v>0.63140923348225164</v>
          </cell>
          <cell r="I18">
            <v>0.3685907665177483</v>
          </cell>
          <cell r="J18">
            <v>1</v>
          </cell>
          <cell r="L18">
            <v>0.11060103271472398</v>
          </cell>
          <cell r="M18">
            <v>0.8248346288749151</v>
          </cell>
          <cell r="N18">
            <v>6.4564338410360883E-2</v>
          </cell>
          <cell r="O18">
            <v>1</v>
          </cell>
        </row>
        <row r="19">
          <cell r="B19" t="str">
            <v>School K-12</v>
          </cell>
          <cell r="C19">
            <v>0.15222217778811709</v>
          </cell>
          <cell r="D19">
            <v>0.84777782221188291</v>
          </cell>
          <cell r="E19">
            <v>1</v>
          </cell>
          <cell r="G19" t="str">
            <v>School K-12</v>
          </cell>
          <cell r="H19">
            <v>0.38344835656863396</v>
          </cell>
          <cell r="I19">
            <v>0.61655164343136604</v>
          </cell>
          <cell r="J19">
            <v>1</v>
          </cell>
          <cell r="L19">
            <v>5.8369343906151915E-2</v>
          </cell>
          <cell r="M19">
            <v>0.84777782221188291</v>
          </cell>
          <cell r="N19">
            <v>9.3852833881965178E-2</v>
          </cell>
          <cell r="O19">
            <v>1</v>
          </cell>
        </row>
        <row r="20">
          <cell r="B20" t="str">
            <v>Warehouse</v>
          </cell>
          <cell r="C20">
            <v>1.2996176702745714E-2</v>
          </cell>
          <cell r="D20">
            <v>0.98700382329725422</v>
          </cell>
          <cell r="E20">
            <v>1</v>
          </cell>
          <cell r="G20" t="str">
            <v>Warehouse</v>
          </cell>
          <cell r="H20">
            <v>0.49190726224873216</v>
          </cell>
          <cell r="I20">
            <v>0.50809273775126784</v>
          </cell>
          <cell r="J20">
            <v>1</v>
          </cell>
          <cell r="L20">
            <v>6.3929137015483993E-3</v>
          </cell>
          <cell r="M20">
            <v>0.98700382329725422</v>
          </cell>
          <cell r="N20">
            <v>6.6032630011973147E-3</v>
          </cell>
          <cell r="O20">
            <v>0.99999999999999989</v>
          </cell>
        </row>
        <row r="21">
          <cell r="B21" t="str">
            <v>Grand Total</v>
          </cell>
          <cell r="C21">
            <v>0.31549365790667433</v>
          </cell>
          <cell r="D21">
            <v>0.68450634209332561</v>
          </cell>
          <cell r="E21">
            <v>1</v>
          </cell>
          <cell r="G21" t="str">
            <v>Grand Total</v>
          </cell>
          <cell r="H21">
            <v>0.51592151636315642</v>
          </cell>
          <cell r="I21">
            <v>0.48407848363684358</v>
          </cell>
          <cell r="J21">
            <v>1</v>
          </cell>
          <cell r="L21">
            <v>0.16276996639017036</v>
          </cell>
          <cell r="M21">
            <v>0.68450634209332561</v>
          </cell>
          <cell r="N21">
            <v>0.15272369151650397</v>
          </cell>
          <cell r="O21">
            <v>1</v>
          </cell>
        </row>
        <row r="25">
          <cell r="B25" t="str">
            <v>Built-up share - for Com_Master -CHAR</v>
          </cell>
        </row>
        <row r="27">
          <cell r="B27" t="str">
            <v>Multizone Systems Only</v>
          </cell>
          <cell r="C27" t="str">
            <v>Everything But SZ ducted systems</v>
          </cell>
          <cell r="G27" t="str">
            <v>Custom work in this table</v>
          </cell>
          <cell r="K27" t="str">
            <v>Electric</v>
          </cell>
          <cell r="L27" t="str">
            <v>Gas</v>
          </cell>
          <cell r="M27" t="str">
            <v>HP</v>
          </cell>
          <cell r="N27" t="str">
            <v>Total</v>
          </cell>
          <cell r="P27" t="str">
            <v>Everything But SZ Ducted</v>
          </cell>
          <cell r="Q27" t="str">
            <v>MZ Only</v>
          </cell>
        </row>
        <row r="28">
          <cell r="B28">
            <v>0.13911514778937467</v>
          </cell>
          <cell r="C28">
            <v>0.27379566641599334</v>
          </cell>
          <cell r="G28" t="str">
            <v>Not all formulas are the same</v>
          </cell>
          <cell r="I28" t="str">
            <v>Large Off</v>
          </cell>
          <cell r="J28" t="str">
            <v>&gt;50,000</v>
          </cell>
          <cell r="K28">
            <v>0.20943280302167308</v>
          </cell>
          <cell r="L28">
            <v>0.54037060186620078</v>
          </cell>
          <cell r="M28">
            <v>0.25019659511212627</v>
          </cell>
          <cell r="N28">
            <v>1.0000000000000002</v>
          </cell>
          <cell r="P28">
            <v>0.72977881629252517</v>
          </cell>
        </row>
        <row r="29">
          <cell r="B29">
            <v>0</v>
          </cell>
          <cell r="C29">
            <v>0.20656505403266429</v>
          </cell>
          <cell r="G29" t="str">
            <v>Pulling from different parts of this worksheet</v>
          </cell>
          <cell r="I29" t="str">
            <v>Medium Off</v>
          </cell>
          <cell r="J29" t="str">
            <v>5,000 to 50,000</v>
          </cell>
          <cell r="K29">
            <v>0.22131165109110185</v>
          </cell>
          <cell r="L29">
            <v>0.51430081857580845</v>
          </cell>
          <cell r="M29">
            <v>0.26438753033308959</v>
          </cell>
          <cell r="N29">
            <v>0.99999999999999989</v>
          </cell>
          <cell r="P29">
            <v>0.46635610541382266</v>
          </cell>
        </row>
        <row r="30">
          <cell r="B30">
            <v>0.53</v>
          </cell>
          <cell r="C30">
            <v>0.53</v>
          </cell>
          <cell r="I30" t="str">
            <v>Small Off</v>
          </cell>
          <cell r="J30" t="str">
            <v>&lt;5,000</v>
          </cell>
          <cell r="K30">
            <v>0.30640942705415353</v>
          </cell>
          <cell r="L30">
            <v>0.3275419203320854</v>
          </cell>
          <cell r="M30">
            <v>0.36604865261376096</v>
          </cell>
          <cell r="N30">
            <v>0.99999999999999989</v>
          </cell>
          <cell r="P30">
            <v>0.18010901567330029</v>
          </cell>
        </row>
        <row r="31">
          <cell r="B31">
            <v>5.6924185465057203E-2</v>
          </cell>
          <cell r="C31">
            <v>0.68482020855141457</v>
          </cell>
          <cell r="I31" t="str">
            <v>Xlarge Ret</v>
          </cell>
          <cell r="J31" t="str">
            <v>&gt;100,000</v>
          </cell>
          <cell r="K31">
            <v>5.2995881766435368E-2</v>
          </cell>
          <cell r="L31">
            <v>0.91606730000738101</v>
          </cell>
          <cell r="M31">
            <v>3.0936818226183656E-2</v>
          </cell>
          <cell r="N31">
            <v>1</v>
          </cell>
          <cell r="P31">
            <v>0.2530928144049488</v>
          </cell>
        </row>
        <row r="32">
          <cell r="B32">
            <v>0.25506362599984067</v>
          </cell>
          <cell r="C32">
            <v>0.37830047353246543</v>
          </cell>
          <cell r="I32" t="str">
            <v>Large Ret</v>
          </cell>
          <cell r="J32" t="str">
            <v>50,000 - 100,000</v>
          </cell>
          <cell r="K32">
            <v>1.0593107738682607E-2</v>
          </cell>
          <cell r="L32">
            <v>0.98322307122393326</v>
          </cell>
          <cell r="M32">
            <v>6.1838210373840949E-3</v>
          </cell>
          <cell r="N32">
            <v>1</v>
          </cell>
          <cell r="P32">
            <v>0.2530928144049488</v>
          </cell>
        </row>
        <row r="33">
          <cell r="B33">
            <v>0.16716328428783481</v>
          </cell>
          <cell r="C33">
            <v>0.46120223430256424</v>
          </cell>
          <cell r="I33" t="str">
            <v>Medium Ret</v>
          </cell>
          <cell r="J33" t="str">
            <v>5000 - 50,000</v>
          </cell>
          <cell r="K33">
            <v>0.12006240959495594</v>
          </cell>
          <cell r="L33">
            <v>0.80985008893074606</v>
          </cell>
          <cell r="M33">
            <v>7.0087501474297986E-2</v>
          </cell>
          <cell r="N33">
            <v>1</v>
          </cell>
          <cell r="P33">
            <v>0.2530928144049488</v>
          </cell>
        </row>
        <row r="34">
          <cell r="B34">
            <v>2.8348285792584815E-2</v>
          </cell>
          <cell r="C34">
            <v>0.52265270042747103</v>
          </cell>
          <cell r="I34" t="str">
            <v>Small Ret</v>
          </cell>
          <cell r="J34" t="str">
            <v>&lt;5000</v>
          </cell>
          <cell r="K34">
            <v>0.2732917310450087</v>
          </cell>
          <cell r="L34">
            <v>0.56717178566142912</v>
          </cell>
          <cell r="M34">
            <v>0.15953648329356207</v>
          </cell>
          <cell r="N34">
            <v>0.99999999999999989</v>
          </cell>
          <cell r="P34">
            <v>0.2530928144049488</v>
          </cell>
        </row>
        <row r="35">
          <cell r="B35">
            <v>0</v>
          </cell>
          <cell r="C35">
            <v>5.8610362131589246E-2</v>
          </cell>
          <cell r="I35" t="str">
            <v>School K-12</v>
          </cell>
          <cell r="J35" t="str">
            <v>Any</v>
          </cell>
          <cell r="K35">
            <v>5.8369343906151915E-2</v>
          </cell>
          <cell r="L35">
            <v>0.84777782221188291</v>
          </cell>
          <cell r="M35">
            <v>9.3852833881965178E-2</v>
          </cell>
          <cell r="N35">
            <v>1</v>
          </cell>
          <cell r="P35">
            <v>0.45489304544728093</v>
          </cell>
        </row>
        <row r="36">
          <cell r="B36">
            <v>1.9041724473909054E-2</v>
          </cell>
          <cell r="C36">
            <v>0.2530928144049488</v>
          </cell>
          <cell r="I36" t="str">
            <v>University</v>
          </cell>
          <cell r="J36" t="str">
            <v>Any</v>
          </cell>
          <cell r="K36">
            <v>5.8369343906151915E-2</v>
          </cell>
          <cell r="L36">
            <v>0.84777782221188291</v>
          </cell>
          <cell r="M36">
            <v>9.3852833881965178E-2</v>
          </cell>
          <cell r="N36">
            <v>1</v>
          </cell>
          <cell r="P36">
            <v>0.45489304544728093</v>
          </cell>
        </row>
        <row r="37">
          <cell r="B37">
            <v>0.21392277044122734</v>
          </cell>
          <cell r="C37">
            <v>0.45489304544728093</v>
          </cell>
          <cell r="I37" t="str">
            <v>Warehouse</v>
          </cell>
          <cell r="J37" t="str">
            <v>Any</v>
          </cell>
          <cell r="K37">
            <v>6.3929137015483993E-3</v>
          </cell>
          <cell r="L37">
            <v>0.98700382329725422</v>
          </cell>
          <cell r="M37">
            <v>6.6032630011973147E-3</v>
          </cell>
          <cell r="N37">
            <v>0.99999999999999989</v>
          </cell>
          <cell r="P37">
            <v>0.68364721407456519</v>
          </cell>
        </row>
        <row r="38">
          <cell r="B38">
            <v>0.72</v>
          </cell>
          <cell r="C38">
            <v>0.72</v>
          </cell>
          <cell r="I38" t="str">
            <v>Supermarket</v>
          </cell>
          <cell r="J38" t="str">
            <v>&gt; 5000</v>
          </cell>
          <cell r="K38">
            <v>3.9182634298973458E-2</v>
          </cell>
          <cell r="L38">
            <v>0.46957192737561176</v>
          </cell>
          <cell r="M38">
            <v>6.234756715808213E-2</v>
          </cell>
          <cell r="N38">
            <v>0.57110212883266731</v>
          </cell>
          <cell r="P38">
            <v>0.20656505403266429</v>
          </cell>
        </row>
        <row r="39">
          <cell r="B39">
            <v>0</v>
          </cell>
          <cell r="C39">
            <v>0.68364721407456519</v>
          </cell>
          <cell r="I39" t="str">
            <v>MiniMart</v>
          </cell>
          <cell r="J39" t="str">
            <v>&lt; 5000</v>
          </cell>
          <cell r="K39">
            <v>9.8940421863423066E-3</v>
          </cell>
          <cell r="L39">
            <v>0.86606113087441317</v>
          </cell>
          <cell r="M39">
            <v>1.5743440192688529E-2</v>
          </cell>
          <cell r="N39">
            <v>0.89169861325344391</v>
          </cell>
          <cell r="P39">
            <v>0.20656505403266429</v>
          </cell>
        </row>
        <row r="40">
          <cell r="I40" t="str">
            <v>Restaurant</v>
          </cell>
          <cell r="J40" t="str">
            <v>Any</v>
          </cell>
          <cell r="K40">
            <v>3.0050555941853869E-2</v>
          </cell>
          <cell r="L40">
            <v>0.79365284945968273</v>
          </cell>
          <cell r="M40">
            <v>0.17629659459846331</v>
          </cell>
          <cell r="N40">
            <v>1</v>
          </cell>
          <cell r="P40">
            <v>5.8610362131589246E-2</v>
          </cell>
        </row>
        <row r="41">
          <cell r="I41" t="str">
            <v>Lodging</v>
          </cell>
          <cell r="J41" t="str">
            <v>Any</v>
          </cell>
          <cell r="K41">
            <v>0.44679184687802564</v>
          </cell>
          <cell r="L41">
            <v>0.24941748529786834</v>
          </cell>
          <cell r="M41">
            <v>0.30379066782410608</v>
          </cell>
          <cell r="N41">
            <v>1</v>
          </cell>
          <cell r="P41">
            <v>0.68482020855141457</v>
          </cell>
        </row>
        <row r="42">
          <cell r="I42" t="str">
            <v>Hospital</v>
          </cell>
          <cell r="J42" t="str">
            <v>Any</v>
          </cell>
          <cell r="K42">
            <v>0.33985691133471541</v>
          </cell>
          <cell r="L42">
            <v>0.40556621261939335</v>
          </cell>
          <cell r="M42">
            <v>0.25457687604589124</v>
          </cell>
          <cell r="N42">
            <v>1</v>
          </cell>
          <cell r="P42">
            <v>0.53</v>
          </cell>
        </row>
        <row r="43">
          <cell r="I43" t="str">
            <v>Residential Care</v>
          </cell>
          <cell r="J43" t="str">
            <v>Any</v>
          </cell>
          <cell r="K43">
            <v>0.33985691133471541</v>
          </cell>
          <cell r="L43">
            <v>0.40556621261939335</v>
          </cell>
          <cell r="M43">
            <v>0.25457687604589124</v>
          </cell>
          <cell r="N43">
            <v>1</v>
          </cell>
          <cell r="P43">
            <v>0.53</v>
          </cell>
        </row>
        <row r="44">
          <cell r="I44" t="str">
            <v>Assembly</v>
          </cell>
          <cell r="J44" t="str">
            <v>Any</v>
          </cell>
          <cell r="K44">
            <v>0.10640191237323121</v>
          </cell>
          <cell r="L44">
            <v>0.77815390025512432</v>
          </cell>
          <cell r="M44">
            <v>0.11544418737164447</v>
          </cell>
          <cell r="N44">
            <v>1</v>
          </cell>
          <cell r="P44">
            <v>0.27379566641599334</v>
          </cell>
        </row>
        <row r="45">
          <cell r="I45" t="str">
            <v>Other</v>
          </cell>
          <cell r="J45" t="str">
            <v>Any</v>
          </cell>
          <cell r="K45">
            <v>0.16939513747697868</v>
          </cell>
          <cell r="L45">
            <v>0.7257160432726234</v>
          </cell>
          <cell r="M45">
            <v>0.104888819250398</v>
          </cell>
          <cell r="N45">
            <v>1</v>
          </cell>
          <cell r="P45">
            <v>0.46120223430256424</v>
          </cell>
        </row>
        <row r="48">
          <cell r="B48" t="str">
            <v>Site_ID</v>
          </cell>
          <cell r="C48" t="str">
            <v>(All)</v>
          </cell>
        </row>
        <row r="49">
          <cell r="B49" t="str">
            <v>Fan_Ctr</v>
          </cell>
          <cell r="C49" t="str">
            <v>(All)</v>
          </cell>
        </row>
        <row r="50">
          <cell r="B50" t="str">
            <v>DistSys</v>
          </cell>
          <cell r="C50" t="str">
            <v>(All)</v>
          </cell>
        </row>
        <row r="51">
          <cell r="B51" t="str">
            <v>Equip_Type</v>
          </cell>
          <cell r="C51" t="str">
            <v>(All)</v>
          </cell>
        </row>
        <row r="52">
          <cell r="B52" t="str">
            <v>DistSys_Detail</v>
          </cell>
          <cell r="C52" t="str">
            <v>(All)</v>
          </cell>
        </row>
        <row r="54">
          <cell r="B54" t="str">
            <v>Sum of Heat_Frac_Sf_PNW_Heated</v>
          </cell>
          <cell r="D54" t="str">
            <v>Column Labels</v>
          </cell>
        </row>
        <row r="55">
          <cell r="B55" t="str">
            <v>Row Labels</v>
          </cell>
          <cell r="C55" t="str">
            <v>Size_Group</v>
          </cell>
          <cell r="D55" t="str">
            <v>Electricity</v>
          </cell>
          <cell r="E55" t="str">
            <v>Natural Gas</v>
          </cell>
          <cell r="F55" t="str">
            <v>Grand Total</v>
          </cell>
          <cell r="G55" t="str">
            <v>SF</v>
          </cell>
        </row>
        <row r="56">
          <cell r="B56" t="str">
            <v>Assembly</v>
          </cell>
          <cell r="C56" t="str">
            <v>&lt;5,001</v>
          </cell>
          <cell r="D56">
            <v>0.28968678369813988</v>
          </cell>
          <cell r="E56">
            <v>0.71031321630186006</v>
          </cell>
          <cell r="F56">
            <v>1</v>
          </cell>
          <cell r="G56">
            <v>10791889.418072201</v>
          </cell>
        </row>
        <row r="57">
          <cell r="C57" t="str">
            <v>100,001+</v>
          </cell>
          <cell r="D57">
            <v>0.18435982906228074</v>
          </cell>
          <cell r="E57">
            <v>0.81564017093771923</v>
          </cell>
          <cell r="F57">
            <v>1</v>
          </cell>
          <cell r="G57">
            <v>47585686.482744053</v>
          </cell>
        </row>
        <row r="58">
          <cell r="C58" t="str">
            <v>20,001-50,000</v>
          </cell>
          <cell r="D58">
            <v>0.20157557375693722</v>
          </cell>
          <cell r="E58">
            <v>0.79842442624306276</v>
          </cell>
          <cell r="F58">
            <v>1</v>
          </cell>
          <cell r="G58">
            <v>75093057.6555399</v>
          </cell>
        </row>
        <row r="59">
          <cell r="C59" t="str">
            <v>5,001-20,000</v>
          </cell>
          <cell r="D59">
            <v>0.28320940685422302</v>
          </cell>
          <cell r="E59">
            <v>0.71679059314577698</v>
          </cell>
          <cell r="F59">
            <v>1</v>
          </cell>
          <cell r="G59">
            <v>133312634.77726388</v>
          </cell>
        </row>
        <row r="60">
          <cell r="C60" t="str">
            <v>50,001-100,000</v>
          </cell>
          <cell r="D60">
            <v>0.12313805305365039</v>
          </cell>
          <cell r="E60">
            <v>0.87686194694634967</v>
          </cell>
          <cell r="F60">
            <v>1</v>
          </cell>
          <cell r="G60">
            <v>56800309.557055436</v>
          </cell>
          <cell r="O60" t="str">
            <v>Electric</v>
          </cell>
          <cell r="P60" t="str">
            <v>Gas</v>
          </cell>
        </row>
        <row r="61">
          <cell r="B61" t="str">
            <v>Grocery</v>
          </cell>
          <cell r="C61" t="str">
            <v>&lt;5,001</v>
          </cell>
          <cell r="D61">
            <v>0.53042807262438818</v>
          </cell>
          <cell r="E61">
            <v>0.46957192737561176</v>
          </cell>
          <cell r="F61">
            <v>1</v>
          </cell>
          <cell r="G61">
            <v>9815889.4471183456</v>
          </cell>
          <cell r="I61" t="str">
            <v>&lt;5,001</v>
          </cell>
          <cell r="J61">
            <v>0.53042807262438818</v>
          </cell>
          <cell r="K61">
            <v>0.46957192737561176</v>
          </cell>
          <cell r="L61">
            <v>1</v>
          </cell>
          <cell r="M61">
            <v>9815889.4471183456</v>
          </cell>
          <cell r="N61" t="str">
            <v>&gt; 5000</v>
          </cell>
          <cell r="O61">
            <v>0.53042807262438818</v>
          </cell>
          <cell r="P61">
            <v>0.46957192737561176</v>
          </cell>
        </row>
        <row r="62">
          <cell r="C62" t="str">
            <v>20,001-50,000</v>
          </cell>
          <cell r="D62">
            <v>3.5142286878275322E-2</v>
          </cell>
          <cell r="E62">
            <v>0.96485771312172464</v>
          </cell>
          <cell r="F62">
            <v>1</v>
          </cell>
          <cell r="G62">
            <v>23241500.137925949</v>
          </cell>
          <cell r="I62" t="str">
            <v>20,001-50,000</v>
          </cell>
          <cell r="J62">
            <v>3.5142286878275322E-2</v>
          </cell>
          <cell r="K62">
            <v>0.96485771312172464</v>
          </cell>
          <cell r="L62">
            <v>1</v>
          </cell>
          <cell r="M62">
            <v>23241500.137925949</v>
          </cell>
          <cell r="N62" t="str">
            <v>&lt; 5000</v>
          </cell>
          <cell r="O62">
            <v>0.13393886912558689</v>
          </cell>
          <cell r="P62">
            <v>0.86606113087441317</v>
          </cell>
        </row>
        <row r="63">
          <cell r="C63" t="str">
            <v>5,001-20,000</v>
          </cell>
          <cell r="D63">
            <v>0.24107220109261876</v>
          </cell>
          <cell r="E63">
            <v>0.75892779890738127</v>
          </cell>
          <cell r="F63">
            <v>1</v>
          </cell>
          <cell r="G63">
            <v>16084444.905748043</v>
          </cell>
          <cell r="I63" t="str">
            <v>5,001-20,000</v>
          </cell>
          <cell r="J63">
            <v>0.24107220109261876</v>
          </cell>
          <cell r="K63">
            <v>0.75892779890738127</v>
          </cell>
          <cell r="L63">
            <v>1</v>
          </cell>
          <cell r="M63">
            <v>16084444.905748043</v>
          </cell>
        </row>
        <row r="64">
          <cell r="C64" t="str">
            <v>50,001-100,000</v>
          </cell>
          <cell r="D64">
            <v>0.16478658283274414</v>
          </cell>
          <cell r="E64">
            <v>0.83521341716725583</v>
          </cell>
          <cell r="F64">
            <v>1</v>
          </cell>
          <cell r="G64">
            <v>18575140.114893399</v>
          </cell>
          <cell r="I64" t="str">
            <v>50,001-100,000</v>
          </cell>
          <cell r="J64">
            <v>0.16478658283274414</v>
          </cell>
          <cell r="K64">
            <v>0.83521341716725583</v>
          </cell>
          <cell r="L64">
            <v>1</v>
          </cell>
          <cell r="M64">
            <v>18575140.114893399</v>
          </cell>
        </row>
        <row r="65">
          <cell r="B65" t="str">
            <v>Lodging</v>
          </cell>
          <cell r="C65" t="str">
            <v>&lt;5,001</v>
          </cell>
          <cell r="D65">
            <v>1</v>
          </cell>
          <cell r="E65">
            <v>0</v>
          </cell>
          <cell r="F65">
            <v>1</v>
          </cell>
          <cell r="G65">
            <v>771154.95824772085</v>
          </cell>
        </row>
        <row r="66">
          <cell r="C66" t="str">
            <v>100,001+</v>
          </cell>
          <cell r="D66">
            <v>0.66932609944359711</v>
          </cell>
          <cell r="E66">
            <v>0.33067390055640283</v>
          </cell>
          <cell r="F66">
            <v>1</v>
          </cell>
          <cell r="G66">
            <v>37478802.645819291</v>
          </cell>
        </row>
        <row r="67">
          <cell r="C67" t="str">
            <v>20,001-50,000</v>
          </cell>
          <cell r="D67">
            <v>0.80938461207249257</v>
          </cell>
          <cell r="E67">
            <v>0.19061538792750743</v>
          </cell>
          <cell r="F67">
            <v>1</v>
          </cell>
          <cell r="G67">
            <v>44511439.869276322</v>
          </cell>
        </row>
        <row r="68">
          <cell r="C68" t="str">
            <v>5,001-20,000</v>
          </cell>
          <cell r="D68">
            <v>0.708233600439651</v>
          </cell>
          <cell r="E68">
            <v>0.29176639956034905</v>
          </cell>
          <cell r="F68">
            <v>1</v>
          </cell>
          <cell r="G68">
            <v>8867151.9690522291</v>
          </cell>
        </row>
        <row r="69">
          <cell r="C69" t="str">
            <v>50,001-100,000</v>
          </cell>
          <cell r="D69">
            <v>0.75967537196550394</v>
          </cell>
          <cell r="E69">
            <v>0.24032462803449609</v>
          </cell>
          <cell r="F69">
            <v>1</v>
          </cell>
          <cell r="G69">
            <v>67217799.666102752</v>
          </cell>
          <cell r="O69" t="str">
            <v>Electric</v>
          </cell>
          <cell r="P69" t="str">
            <v>Gas</v>
          </cell>
          <cell r="T69" t="str">
            <v>SZ Ducted</v>
          </cell>
          <cell r="V69" t="str">
            <v>SZ Ducted</v>
          </cell>
          <cell r="W69" t="str">
            <v>Everything but</v>
          </cell>
          <cell r="Y69" t="str">
            <v>Multizone systems</v>
          </cell>
        </row>
        <row r="70">
          <cell r="B70" t="str">
            <v>Office</v>
          </cell>
          <cell r="C70" t="str">
            <v>&lt;5,001</v>
          </cell>
          <cell r="D70">
            <v>0.67245807966791449</v>
          </cell>
          <cell r="E70">
            <v>0.3275419203320854</v>
          </cell>
          <cell r="F70">
            <v>1</v>
          </cell>
          <cell r="G70">
            <v>88922415.770519257</v>
          </cell>
          <cell r="I70" t="str">
            <v>100,001+</v>
          </cell>
          <cell r="J70">
            <v>0.56343603427674449</v>
          </cell>
          <cell r="K70">
            <v>0.43656396572325545</v>
          </cell>
          <cell r="L70">
            <v>1</v>
          </cell>
          <cell r="M70">
            <v>161400968.09734377</v>
          </cell>
          <cell r="N70" t="str">
            <v>&gt;50,000</v>
          </cell>
          <cell r="O70">
            <v>0.45962939813379933</v>
          </cell>
          <cell r="P70">
            <v>0.54037060186620078</v>
          </cell>
          <cell r="S70" t="str">
            <v>100,001+</v>
          </cell>
          <cell r="T70">
            <v>0.20317755500773604</v>
          </cell>
          <cell r="U70" t="str">
            <v>&gt;50,000</v>
          </cell>
          <cell r="V70">
            <v>0.27022118370747483</v>
          </cell>
          <cell r="W70">
            <v>0.72977881629252517</v>
          </cell>
          <cell r="Y70" t="str">
            <v>&lt;5,001</v>
          </cell>
        </row>
        <row r="71">
          <cell r="C71" t="str">
            <v>100,001+</v>
          </cell>
          <cell r="D71">
            <v>0.56343603427674449</v>
          </cell>
          <cell r="E71">
            <v>0.43656396572325545</v>
          </cell>
          <cell r="F71">
            <v>1</v>
          </cell>
          <cell r="G71">
            <v>161400968.09734377</v>
          </cell>
          <cell r="I71" t="str">
            <v>50,001-100,000</v>
          </cell>
          <cell r="J71">
            <v>0.25807624626210907</v>
          </cell>
          <cell r="K71">
            <v>0.74192375373789099</v>
          </cell>
          <cell r="L71">
            <v>1</v>
          </cell>
          <cell r="M71">
            <v>83126914.229880497</v>
          </cell>
          <cell r="N71" t="str">
            <v>5,000 to 50,000</v>
          </cell>
          <cell r="O71">
            <v>0.48569918142419144</v>
          </cell>
          <cell r="P71">
            <v>0.51430081857580845</v>
          </cell>
          <cell r="S71" t="str">
            <v>50,001-100,000</v>
          </cell>
          <cell r="T71">
            <v>0.40039450575540259</v>
          </cell>
          <cell r="U71" t="str">
            <v>5,000 to 50,000</v>
          </cell>
          <cell r="V71">
            <v>0.53364389458617734</v>
          </cell>
          <cell r="W71">
            <v>0.46635610541382266</v>
          </cell>
          <cell r="Y71" t="str">
            <v>100,001+</v>
          </cell>
        </row>
        <row r="72">
          <cell r="C72" t="str">
            <v>20,001-50,000</v>
          </cell>
          <cell r="D72">
            <v>0.34614420585949485</v>
          </cell>
          <cell r="E72">
            <v>0.6538557941405051</v>
          </cell>
          <cell r="F72">
            <v>1</v>
          </cell>
          <cell r="G72">
            <v>121088778.65134136</v>
          </cell>
          <cell r="I72" t="str">
            <v>20,001-50,000</v>
          </cell>
          <cell r="J72">
            <v>0.34614420585949485</v>
          </cell>
          <cell r="K72">
            <v>0.6538557941405051</v>
          </cell>
          <cell r="L72">
            <v>1</v>
          </cell>
          <cell r="M72">
            <v>121088778.65134136</v>
          </cell>
          <cell r="N72" t="str">
            <v>&lt;5,000</v>
          </cell>
          <cell r="O72">
            <v>0.67245807966791449</v>
          </cell>
          <cell r="P72">
            <v>0.3275419203320854</v>
          </cell>
          <cell r="S72" t="str">
            <v>20,001-50,000</v>
          </cell>
          <cell r="T72">
            <v>0.79236371541570771</v>
          </cell>
          <cell r="U72" t="str">
            <v>&lt;5,000</v>
          </cell>
          <cell r="V72">
            <v>0.81989098432669971</v>
          </cell>
          <cell r="W72">
            <v>0.18010901567330029</v>
          </cell>
          <cell r="Y72" t="str">
            <v>20,001-50,000</v>
          </cell>
        </row>
        <row r="73">
          <cell r="C73" t="str">
            <v>5,001-20,000</v>
          </cell>
          <cell r="D73">
            <v>0.59535158312648861</v>
          </cell>
          <cell r="E73">
            <v>0.40464841687351133</v>
          </cell>
          <cell r="F73">
            <v>1</v>
          </cell>
          <cell r="G73">
            <v>154110090.46318847</v>
          </cell>
          <cell r="I73" t="str">
            <v>5,001-20,000</v>
          </cell>
          <cell r="J73">
            <v>0.59535158312648861</v>
          </cell>
          <cell r="K73">
            <v>0.40464841687351133</v>
          </cell>
          <cell r="L73">
            <v>1</v>
          </cell>
          <cell r="M73">
            <v>154110090.46318847</v>
          </cell>
          <cell r="S73" t="str">
            <v>5,001-20,000</v>
          </cell>
          <cell r="T73">
            <v>0.87333850962546711</v>
          </cell>
          <cell r="Y73" t="str">
            <v>5,001-20,000</v>
          </cell>
        </row>
        <row r="74">
          <cell r="C74" t="str">
            <v>50,001-100,000</v>
          </cell>
          <cell r="D74">
            <v>0.25807624626210907</v>
          </cell>
          <cell r="E74">
            <v>0.74192375373789099</v>
          </cell>
          <cell r="F74">
            <v>1</v>
          </cell>
          <cell r="G74">
            <v>83126914.229880497</v>
          </cell>
          <cell r="I74" t="str">
            <v>&lt;5,001</v>
          </cell>
          <cell r="J74">
            <v>0.67245807966791449</v>
          </cell>
          <cell r="K74">
            <v>0.3275419203320854</v>
          </cell>
          <cell r="L74">
            <v>1</v>
          </cell>
          <cell r="M74">
            <v>88922415.770519257</v>
          </cell>
          <cell r="S74" t="str">
            <v>&lt;5,001</v>
          </cell>
          <cell r="T74">
            <v>0.86743113566731078</v>
          </cell>
          <cell r="Y74" t="str">
            <v>50,001-100,000</v>
          </cell>
        </row>
        <row r="75">
          <cell r="B75" t="str">
            <v>Other</v>
          </cell>
          <cell r="C75" t="str">
            <v>&lt;5,001</v>
          </cell>
          <cell r="D75">
            <v>0.36963108384061777</v>
          </cell>
          <cell r="E75">
            <v>0.63036891615938218</v>
          </cell>
          <cell r="F75">
            <v>1</v>
          </cell>
          <cell r="G75">
            <v>11401400.474691771</v>
          </cell>
        </row>
        <row r="76">
          <cell r="C76" t="str">
            <v>100,001+</v>
          </cell>
          <cell r="D76">
            <v>0.11927323464793231</v>
          </cell>
          <cell r="E76">
            <v>0.88072676535206773</v>
          </cell>
          <cell r="F76">
            <v>1</v>
          </cell>
          <cell r="G76">
            <v>60024943.803527087</v>
          </cell>
        </row>
        <row r="77">
          <cell r="C77" t="str">
            <v>20,001-50,000</v>
          </cell>
          <cell r="D77">
            <v>0.28972859528015749</v>
          </cell>
          <cell r="E77">
            <v>0.71027140471984251</v>
          </cell>
          <cell r="F77">
            <v>1</v>
          </cell>
          <cell r="G77">
            <v>67056749.230095625</v>
          </cell>
        </row>
        <row r="78">
          <cell r="C78" t="str">
            <v>5,001-20,000</v>
          </cell>
          <cell r="D78">
            <v>0.19665327325738066</v>
          </cell>
          <cell r="E78">
            <v>0.80334672674261942</v>
          </cell>
          <cell r="F78">
            <v>1</v>
          </cell>
          <cell r="G78">
            <v>90016986.964126915</v>
          </cell>
        </row>
        <row r="79">
          <cell r="C79" t="str">
            <v>50,001-100,000</v>
          </cell>
          <cell r="D79">
            <v>0.58009651662613548</v>
          </cell>
          <cell r="E79">
            <v>0.41990348337386446</v>
          </cell>
          <cell r="F79">
            <v>1</v>
          </cell>
          <cell r="G79">
            <v>46335023.23670388</v>
          </cell>
        </row>
        <row r="80">
          <cell r="B80" t="str">
            <v>Residential Care</v>
          </cell>
          <cell r="C80" t="str">
            <v>&lt;5,001</v>
          </cell>
          <cell r="D80">
            <v>1.3677517552166963E-2</v>
          </cell>
          <cell r="E80">
            <v>0.98632248244783316</v>
          </cell>
          <cell r="F80">
            <v>1</v>
          </cell>
          <cell r="G80">
            <v>617607.67825962591</v>
          </cell>
        </row>
        <row r="81">
          <cell r="C81" t="str">
            <v>100,001+</v>
          </cell>
          <cell r="D81">
            <v>0.65208373998713842</v>
          </cell>
          <cell r="E81">
            <v>0.34791626001286152</v>
          </cell>
          <cell r="F81">
            <v>1</v>
          </cell>
          <cell r="G81">
            <v>29481393.869044412</v>
          </cell>
        </row>
        <row r="82">
          <cell r="C82" t="str">
            <v>20,001-50,000</v>
          </cell>
          <cell r="D82">
            <v>0.58940370199270897</v>
          </cell>
          <cell r="E82">
            <v>0.41059629800729103</v>
          </cell>
          <cell r="F82">
            <v>1</v>
          </cell>
          <cell r="G82">
            <v>45870170.91031719</v>
          </cell>
        </row>
        <row r="83">
          <cell r="C83" t="str">
            <v>5,001-20,000</v>
          </cell>
          <cell r="D83">
            <v>0.43473317164785674</v>
          </cell>
          <cell r="E83">
            <v>0.56526682835214326</v>
          </cell>
          <cell r="F83">
            <v>1</v>
          </cell>
          <cell r="G83">
            <v>21950482.47130106</v>
          </cell>
        </row>
        <row r="84">
          <cell r="C84" t="str">
            <v>50,001-100,000</v>
          </cell>
          <cell r="D84">
            <v>0.7159490279733054</v>
          </cell>
          <cell r="E84">
            <v>0.28405097202669471</v>
          </cell>
          <cell r="F84">
            <v>1</v>
          </cell>
          <cell r="G84">
            <v>19712054.250720531</v>
          </cell>
        </row>
        <row r="85">
          <cell r="B85" t="str">
            <v>Restaurant</v>
          </cell>
          <cell r="C85" t="str">
            <v>&lt;5,001</v>
          </cell>
          <cell r="D85">
            <v>0.222372990309429</v>
          </cell>
          <cell r="E85">
            <v>0.77762700969057108</v>
          </cell>
          <cell r="F85">
            <v>1</v>
          </cell>
          <cell r="G85">
            <v>23327830.483758003</v>
          </cell>
        </row>
        <row r="86">
          <cell r="C86" t="str">
            <v>5,001-20,000</v>
          </cell>
          <cell r="D86">
            <v>0.19083743977042419</v>
          </cell>
          <cell r="E86">
            <v>0.80916256022957589</v>
          </cell>
          <cell r="F86">
            <v>1</v>
          </cell>
          <cell r="G86">
            <v>24104129.2800515</v>
          </cell>
          <cell r="O86" t="str">
            <v>Electric</v>
          </cell>
          <cell r="P86" t="str">
            <v>Gas</v>
          </cell>
        </row>
        <row r="87">
          <cell r="B87" t="str">
            <v>Retail/Service</v>
          </cell>
          <cell r="C87" t="str">
            <v>&lt;5,001</v>
          </cell>
          <cell r="D87">
            <v>0.43282821433857083</v>
          </cell>
          <cell r="E87">
            <v>0.56717178566142912</v>
          </cell>
          <cell r="F87">
            <v>1</v>
          </cell>
          <cell r="G87">
            <v>45229806.543296024</v>
          </cell>
          <cell r="H87">
            <v>0.01</v>
          </cell>
          <cell r="I87" t="str">
            <v>100,001+</v>
          </cell>
          <cell r="J87">
            <v>8.3932699992619028E-2</v>
          </cell>
          <cell r="K87">
            <v>0.91606730000738101</v>
          </cell>
          <cell r="L87">
            <v>1</v>
          </cell>
          <cell r="M87">
            <v>124562026.1368593</v>
          </cell>
          <cell r="N87" t="str">
            <v>&gt;100,000</v>
          </cell>
          <cell r="O87">
            <v>8.3932699992619028E-2</v>
          </cell>
          <cell r="P87">
            <v>0.91606730000738101</v>
          </cell>
        </row>
        <row r="88">
          <cell r="C88" t="str">
            <v>100,001+</v>
          </cell>
          <cell r="D88">
            <v>8.3932699992619028E-2</v>
          </cell>
          <cell r="E88">
            <v>0.91606730000738101</v>
          </cell>
          <cell r="F88">
            <v>1</v>
          </cell>
          <cell r="G88">
            <v>124562026.1368593</v>
          </cell>
          <cell r="H88">
            <v>0.02</v>
          </cell>
          <cell r="I88" t="str">
            <v>50,001-100,000</v>
          </cell>
          <cell r="J88">
            <v>1.6776928776066704E-2</v>
          </cell>
          <cell r="K88">
            <v>0.98322307122393326</v>
          </cell>
          <cell r="L88">
            <v>1</v>
          </cell>
          <cell r="M88">
            <v>29532449.302067615</v>
          </cell>
          <cell r="N88" t="str">
            <v>50,000 - 100,000</v>
          </cell>
          <cell r="O88">
            <v>1.6776928776066704E-2</v>
          </cell>
          <cell r="P88">
            <v>0.98322307122393326</v>
          </cell>
        </row>
        <row r="89">
          <cell r="C89" t="str">
            <v>20,001-50,000</v>
          </cell>
          <cell r="D89">
            <v>0.12300334486769968</v>
          </cell>
          <cell r="E89">
            <v>0.8769966551323003</v>
          </cell>
          <cell r="F89">
            <v>1</v>
          </cell>
          <cell r="G89">
            <v>150479652.53202388</v>
          </cell>
          <cell r="H89">
            <v>0.03</v>
          </cell>
          <cell r="I89" t="str">
            <v>20,001-50,000</v>
          </cell>
          <cell r="J89">
            <v>0.12300334486769968</v>
          </cell>
          <cell r="K89">
            <v>0.8769966551323003</v>
          </cell>
          <cell r="L89">
            <v>1</v>
          </cell>
          <cell r="M89">
            <v>150479652.53202388</v>
          </cell>
          <cell r="N89" t="str">
            <v>5000 - 50,000</v>
          </cell>
          <cell r="O89">
            <v>0.19014991106925394</v>
          </cell>
          <cell r="P89">
            <v>0.80985008893074606</v>
          </cell>
        </row>
        <row r="90">
          <cell r="C90" t="str">
            <v>5,001-20,000</v>
          </cell>
          <cell r="D90">
            <v>0.26113899837633403</v>
          </cell>
          <cell r="E90">
            <v>0.73886100162366586</v>
          </cell>
          <cell r="F90">
            <v>1</v>
          </cell>
          <cell r="G90">
            <v>142334439.47546965</v>
          </cell>
          <cell r="H90">
            <v>0.04</v>
          </cell>
          <cell r="I90" t="str">
            <v>5,001-20,000</v>
          </cell>
          <cell r="J90">
            <v>0.26113899837633403</v>
          </cell>
          <cell r="K90">
            <v>0.73886100162366586</v>
          </cell>
          <cell r="L90">
            <v>1</v>
          </cell>
          <cell r="M90">
            <v>142334439.47546965</v>
          </cell>
          <cell r="N90" t="str">
            <v>&lt;5000</v>
          </cell>
          <cell r="O90">
            <v>0.43282821433857083</v>
          </cell>
          <cell r="P90">
            <v>0.56717178566142912</v>
          </cell>
        </row>
        <row r="91">
          <cell r="C91" t="str">
            <v>50,001-100,000</v>
          </cell>
          <cell r="D91">
            <v>1.6776928776066704E-2</v>
          </cell>
          <cell r="E91">
            <v>0.98322307122393326</v>
          </cell>
          <cell r="F91">
            <v>1</v>
          </cell>
          <cell r="G91">
            <v>29532449.302067615</v>
          </cell>
          <cell r="H91">
            <v>0.05</v>
          </cell>
          <cell r="I91" t="str">
            <v>&lt;5,001</v>
          </cell>
          <cell r="J91">
            <v>0.43282821433857083</v>
          </cell>
          <cell r="K91">
            <v>0.56717178566142912</v>
          </cell>
          <cell r="L91">
            <v>1</v>
          </cell>
          <cell r="M91">
            <v>45229806.543296024</v>
          </cell>
        </row>
        <row r="92">
          <cell r="B92" t="str">
            <v>School K-12</v>
          </cell>
          <cell r="C92" t="str">
            <v>&lt;5,001</v>
          </cell>
          <cell r="D92">
            <v>6.8260893508024292E-2</v>
          </cell>
          <cell r="E92">
            <v>0.93173910649197567</v>
          </cell>
          <cell r="F92">
            <v>1</v>
          </cell>
          <cell r="G92">
            <v>2868722.4248554921</v>
          </cell>
        </row>
        <row r="93">
          <cell r="C93" t="str">
            <v>100,001+</v>
          </cell>
          <cell r="D93">
            <v>0.16029926138119366</v>
          </cell>
          <cell r="E93">
            <v>0.83970073861880623</v>
          </cell>
          <cell r="F93">
            <v>1</v>
          </cell>
          <cell r="G93">
            <v>70407779.68745172</v>
          </cell>
        </row>
        <row r="94">
          <cell r="C94" t="str">
            <v>20,001-50,000</v>
          </cell>
          <cell r="D94">
            <v>0.14157569383085569</v>
          </cell>
          <cell r="E94">
            <v>0.85842430616914434</v>
          </cell>
          <cell r="F94">
            <v>1</v>
          </cell>
          <cell r="G94">
            <v>84555158.13868171</v>
          </cell>
        </row>
        <row r="95">
          <cell r="C95" t="str">
            <v>5,001-20,000</v>
          </cell>
          <cell r="D95">
            <v>0.24053328228867543</v>
          </cell>
          <cell r="E95">
            <v>0.75946671771132457</v>
          </cell>
          <cell r="F95">
            <v>1</v>
          </cell>
          <cell r="G95">
            <v>8452418.6872956287</v>
          </cell>
        </row>
        <row r="96">
          <cell r="C96" t="str">
            <v>50,001-100,000</v>
          </cell>
          <cell r="D96">
            <v>0.14934373572795726</v>
          </cell>
          <cell r="E96">
            <v>0.85065626427204277</v>
          </cell>
          <cell r="F96">
            <v>1</v>
          </cell>
          <cell r="G96">
            <v>60468543.335515603</v>
          </cell>
        </row>
        <row r="97">
          <cell r="B97" t="str">
            <v>Warehouse</v>
          </cell>
          <cell r="C97" t="str">
            <v>&lt;5,001</v>
          </cell>
          <cell r="D97">
            <v>0.12838801779438211</v>
          </cell>
          <cell r="E97">
            <v>0.87161198220561797</v>
          </cell>
          <cell r="F97">
            <v>1</v>
          </cell>
          <cell r="G97">
            <v>8938801.4812825639</v>
          </cell>
        </row>
        <row r="98">
          <cell r="C98" t="str">
            <v>100,001+</v>
          </cell>
          <cell r="D98">
            <v>0</v>
          </cell>
          <cell r="E98">
            <v>1</v>
          </cell>
          <cell r="F98">
            <v>1</v>
          </cell>
          <cell r="G98">
            <v>28824886.069673002</v>
          </cell>
        </row>
        <row r="99">
          <cell r="C99" t="str">
            <v>20,001-50,000</v>
          </cell>
          <cell r="D99">
            <v>5.1437746035443866E-3</v>
          </cell>
          <cell r="E99">
            <v>0.99485622539645557</v>
          </cell>
          <cell r="F99">
            <v>1</v>
          </cell>
          <cell r="G99">
            <v>99863887.212485299</v>
          </cell>
        </row>
        <row r="100">
          <cell r="C100" t="str">
            <v>5,001-20,000</v>
          </cell>
          <cell r="D100">
            <v>1.4492053425769444E-2</v>
          </cell>
          <cell r="E100">
            <v>0.98550794657423046</v>
          </cell>
          <cell r="F100">
            <v>1</v>
          </cell>
          <cell r="G100">
            <v>49025622.289909087</v>
          </cell>
        </row>
        <row r="101">
          <cell r="C101" t="str">
            <v>50,001-100,000</v>
          </cell>
          <cell r="D101">
            <v>1.8182350443928772E-2</v>
          </cell>
          <cell r="E101">
            <v>0.9818176495560712</v>
          </cell>
          <cell r="F101">
            <v>1</v>
          </cell>
          <cell r="G101">
            <v>10409150.518417275</v>
          </cell>
        </row>
        <row r="102">
          <cell r="B102" t="str">
            <v>Grand Total</v>
          </cell>
          <cell r="D102">
            <v>0.31344565584888812</v>
          </cell>
          <cell r="E102">
            <v>0.68655434415111194</v>
          </cell>
          <cell r="F102">
            <v>1</v>
          </cell>
          <cell r="G102">
            <v>2514648185.3050141</v>
          </cell>
        </row>
        <row r="105">
          <cell r="B105" t="str">
            <v>Shares of Electric Heat</v>
          </cell>
        </row>
        <row r="106">
          <cell r="B106" t="str">
            <v>Site_ID</v>
          </cell>
          <cell r="C106" t="str">
            <v>(All)</v>
          </cell>
        </row>
        <row r="107">
          <cell r="B107" t="str">
            <v>Fan_Ctr</v>
          </cell>
          <cell r="C107" t="str">
            <v>(All)</v>
          </cell>
        </row>
        <row r="108">
          <cell r="B108" t="str">
            <v>DistSys</v>
          </cell>
          <cell r="C108" t="str">
            <v>(All)</v>
          </cell>
        </row>
        <row r="109">
          <cell r="B109" t="str">
            <v>DistSys_Detail</v>
          </cell>
          <cell r="C109" t="str">
            <v>(All)</v>
          </cell>
        </row>
        <row r="110">
          <cell r="B110" t="str">
            <v>HeatSys_PrimFuel</v>
          </cell>
          <cell r="C110" t="str">
            <v>Electricity</v>
          </cell>
        </row>
        <row r="111">
          <cell r="B111" t="str">
            <v>Equip_Type</v>
          </cell>
          <cell r="C111" t="str">
            <v>(All)</v>
          </cell>
        </row>
        <row r="113">
          <cell r="B113" t="str">
            <v>Sum of Heat_Frac_Sf_PNW_Heated</v>
          </cell>
          <cell r="C113" t="str">
            <v>Column Labels</v>
          </cell>
        </row>
        <row r="114">
          <cell r="B114" t="str">
            <v>Row Labels</v>
          </cell>
          <cell r="C114" t="str">
            <v>CE</v>
          </cell>
          <cell r="D114" t="str">
            <v>HP</v>
          </cell>
          <cell r="E114" t="str">
            <v>HWC</v>
          </cell>
          <cell r="F114" t="str">
            <v>NA</v>
          </cell>
          <cell r="G114" t="str">
            <v>OT</v>
          </cell>
          <cell r="H114" t="str">
            <v>SC</v>
          </cell>
          <cell r="I114" t="str">
            <v>SE</v>
          </cell>
          <cell r="J114" t="str">
            <v>Grand Total</v>
          </cell>
          <cell r="K114" t="str">
            <v>Elect- Non-HP</v>
          </cell>
          <cell r="L114" t="str">
            <v>Elect-HP</v>
          </cell>
        </row>
        <row r="115">
          <cell r="B115" t="str">
            <v>Assembly</v>
          </cell>
          <cell r="C115">
            <v>2.1933371064227269E-2</v>
          </cell>
          <cell r="D115">
            <v>0.52037961228259577</v>
          </cell>
          <cell r="E115">
            <v>8.4869959933207936E-2</v>
          </cell>
          <cell r="F115">
            <v>0.37281705671996906</v>
          </cell>
          <cell r="G115">
            <v>0</v>
          </cell>
          <cell r="H115">
            <v>0</v>
          </cell>
          <cell r="I115">
            <v>0</v>
          </cell>
          <cell r="J115">
            <v>1</v>
          </cell>
          <cell r="K115">
            <v>0.47962038771740423</v>
          </cell>
          <cell r="L115">
            <v>0.52037961228259577</v>
          </cell>
        </row>
        <row r="116">
          <cell r="B116" t="str">
            <v>Grocery</v>
          </cell>
          <cell r="C116">
            <v>0</v>
          </cell>
          <cell r="D116">
            <v>0.61407902538687853</v>
          </cell>
          <cell r="E116">
            <v>0</v>
          </cell>
          <cell r="F116">
            <v>0.38592097461312153</v>
          </cell>
          <cell r="G116">
            <v>0</v>
          </cell>
          <cell r="H116">
            <v>0</v>
          </cell>
          <cell r="I116">
            <v>0</v>
          </cell>
          <cell r="J116">
            <v>1</v>
          </cell>
          <cell r="K116">
            <v>0.38592097461312147</v>
          </cell>
          <cell r="L116">
            <v>0.61407902538687853</v>
          </cell>
        </row>
        <row r="117">
          <cell r="B117" t="str">
            <v>Lodging</v>
          </cell>
          <cell r="C117">
            <v>0</v>
          </cell>
          <cell r="D117">
            <v>0.40473986786737931</v>
          </cell>
          <cell r="E117">
            <v>1.9101566005885497E-2</v>
          </cell>
          <cell r="F117">
            <v>0.56637390858008696</v>
          </cell>
          <cell r="G117">
            <v>0</v>
          </cell>
          <cell r="H117">
            <v>0</v>
          </cell>
          <cell r="I117">
            <v>9.7846575466481386E-3</v>
          </cell>
          <cell r="J117">
            <v>1</v>
          </cell>
          <cell r="K117">
            <v>0.59526013213262075</v>
          </cell>
          <cell r="L117">
            <v>0.40473986786737931</v>
          </cell>
        </row>
        <row r="118">
          <cell r="B118" t="str">
            <v>Office</v>
          </cell>
          <cell r="C118">
            <v>0</v>
          </cell>
          <cell r="D118">
            <v>0.54434419584121851</v>
          </cell>
          <cell r="E118">
            <v>1.3163924041996011E-2</v>
          </cell>
          <cell r="F118">
            <v>0.29977798762598179</v>
          </cell>
          <cell r="G118">
            <v>5.6989236417166553E-3</v>
          </cell>
          <cell r="H118">
            <v>1.8553743341665496E-2</v>
          </cell>
          <cell r="I118">
            <v>0.11846122550742165</v>
          </cell>
          <cell r="J118">
            <v>1</v>
          </cell>
          <cell r="K118">
            <v>0.45565580415878149</v>
          </cell>
          <cell r="L118">
            <v>0.54434419584121851</v>
          </cell>
        </row>
        <row r="119">
          <cell r="B119" t="str">
            <v>Other</v>
          </cell>
          <cell r="C119">
            <v>1.8656133921888154E-2</v>
          </cell>
          <cell r="D119">
            <v>0.38240960390786466</v>
          </cell>
          <cell r="E119">
            <v>3.4723225987817435E-2</v>
          </cell>
          <cell r="F119">
            <v>0.39770544205545494</v>
          </cell>
          <cell r="G119">
            <v>0</v>
          </cell>
          <cell r="H119">
            <v>0</v>
          </cell>
          <cell r="I119">
            <v>0.1665055941269748</v>
          </cell>
          <cell r="J119">
            <v>1</v>
          </cell>
          <cell r="K119">
            <v>0.6175903960921354</v>
          </cell>
          <cell r="L119">
            <v>0.38240960390786466</v>
          </cell>
        </row>
      </sheetData>
      <sheetData sheetId="19">
        <row r="11">
          <cell r="B11">
            <v>2.0434554153352484E-2</v>
          </cell>
        </row>
        <row r="12">
          <cell r="B12">
            <v>3.1863582040406999E-2</v>
          </cell>
        </row>
        <row r="13">
          <cell r="B13">
            <v>5.5794347273117245E-2</v>
          </cell>
        </row>
        <row r="14">
          <cell r="B14">
            <v>0.23374291413554329</v>
          </cell>
        </row>
        <row r="15">
          <cell r="B15">
            <v>0.12270755891365608</v>
          </cell>
        </row>
        <row r="16">
          <cell r="B16">
            <v>4.2121761451219118E-2</v>
          </cell>
        </row>
        <row r="17">
          <cell r="B17">
            <v>1.255060122823257E-2</v>
          </cell>
        </row>
        <row r="18">
          <cell r="B18">
            <v>0.16379453573805774</v>
          </cell>
        </row>
        <row r="19">
          <cell r="B19">
            <v>8.8639553331737689E-2</v>
          </cell>
          <cell r="N19" t="str">
            <v>Data tables from CBSA</v>
          </cell>
        </row>
        <row r="20">
          <cell r="B20">
            <v>2.590476843098345E-3</v>
          </cell>
        </row>
        <row r="21">
          <cell r="B21">
            <v>9.6266945662747766E-2</v>
          </cell>
          <cell r="N21" t="str">
            <v>Site_ID</v>
          </cell>
          <cell r="O21" t="str">
            <v>(All)</v>
          </cell>
        </row>
        <row r="22">
          <cell r="B22">
            <v>1</v>
          </cell>
          <cell r="N22" t="str">
            <v>Fan_Ctr</v>
          </cell>
          <cell r="O22" t="str">
            <v>(All)</v>
          </cell>
        </row>
        <row r="23">
          <cell r="B23">
            <v>7.398534349162611E-2</v>
          </cell>
          <cell r="N23" t="str">
            <v>DistSys</v>
          </cell>
          <cell r="O23" t="str">
            <v>(All)</v>
          </cell>
        </row>
        <row r="24">
          <cell r="N24" t="str">
            <v>Equip_Type</v>
          </cell>
          <cell r="O24" t="str">
            <v>(All)</v>
          </cell>
        </row>
        <row r="25">
          <cell r="N25" t="str">
            <v>DistSys_Detail</v>
          </cell>
          <cell r="O25" t="str">
            <v>(All)</v>
          </cell>
        </row>
        <row r="26">
          <cell r="N26" t="str">
            <v>Vintage</v>
          </cell>
          <cell r="O26" t="str">
            <v>2004-2013</v>
          </cell>
        </row>
        <row r="27">
          <cell r="B27" t="str">
            <v>2004-2013</v>
          </cell>
          <cell r="I27" t="str">
            <v>To CHAR</v>
          </cell>
          <cell r="U27" t="str">
            <v>Vintage</v>
          </cell>
          <cell r="V27" t="str">
            <v>2004-2013</v>
          </cell>
        </row>
        <row r="28">
          <cell r="P28" t="str">
            <v>Values</v>
          </cell>
        </row>
        <row r="29">
          <cell r="B29" t="str">
            <v>Sum of Sf_PNW</v>
          </cell>
          <cell r="E29" t="str">
            <v>SF</v>
          </cell>
          <cell r="F29" t="str">
            <v>SF Share</v>
          </cell>
          <cell r="G29" t="str">
            <v>Cool Frac</v>
          </cell>
          <cell r="J29" t="str">
            <v>SF</v>
          </cell>
          <cell r="K29" t="str">
            <v>SF Share</v>
          </cell>
          <cell r="L29" t="str">
            <v>Cool Frac</v>
          </cell>
          <cell r="N29" t="str">
            <v>Row Labels</v>
          </cell>
          <cell r="O29" t="str">
            <v>Size_Group</v>
          </cell>
          <cell r="P29" t="str">
            <v>Sum of Heat_Frac_Sf_PNW_Heated</v>
          </cell>
          <cell r="Q29" t="str">
            <v>Sum of Cool_Frac_Sf_PNW</v>
          </cell>
          <cell r="S29" t="str">
            <v>Share</v>
          </cell>
          <cell r="U29" t="str">
            <v>Row Labels</v>
          </cell>
          <cell r="V29" t="str">
            <v>Sum of Sf_PNW</v>
          </cell>
        </row>
        <row r="30">
          <cell r="B30">
            <v>165907691.59999999</v>
          </cell>
          <cell r="D30" t="str">
            <v>Assembly</v>
          </cell>
          <cell r="E30">
            <v>165907691.59999999</v>
          </cell>
          <cell r="F30">
            <v>0.12949316922883078</v>
          </cell>
          <cell r="G30">
            <v>0.91177234717447209</v>
          </cell>
          <cell r="I30" t="str">
            <v>Large Off</v>
          </cell>
          <cell r="J30">
            <v>165907691.59999999</v>
          </cell>
          <cell r="K30">
            <v>0.12949316922883078</v>
          </cell>
          <cell r="L30">
            <v>0.95128694884061893</v>
          </cell>
          <cell r="N30" t="str">
            <v>Assembly</v>
          </cell>
          <cell r="P30">
            <v>162680832.55865625</v>
          </cell>
          <cell r="Q30">
            <v>151270045.38443044</v>
          </cell>
          <cell r="R30">
            <v>165907691.59999999</v>
          </cell>
          <cell r="S30">
            <v>0.91177234717447209</v>
          </cell>
          <cell r="U30" t="str">
            <v>Assembly</v>
          </cell>
          <cell r="V30">
            <v>165907691.59999999</v>
          </cell>
        </row>
        <row r="31">
          <cell r="B31">
            <v>26180915.399999999</v>
          </cell>
          <cell r="D31" t="str">
            <v>Supermarket</v>
          </cell>
          <cell r="E31">
            <v>22661825.399999999</v>
          </cell>
          <cell r="F31">
            <v>1.7687857405861318E-2</v>
          </cell>
          <cell r="G31">
            <v>0.92147944946531313</v>
          </cell>
          <cell r="I31" t="str">
            <v>Medium Off</v>
          </cell>
          <cell r="J31">
            <v>22661825.399999999</v>
          </cell>
          <cell r="K31">
            <v>1.7687857405861318E-2</v>
          </cell>
          <cell r="L31">
            <v>0.97665874571205136</v>
          </cell>
          <cell r="N31" t="str">
            <v>Grocery</v>
          </cell>
          <cell r="O31" t="str">
            <v>&lt;5,001</v>
          </cell>
          <cell r="P31">
            <v>3007817.5990934744</v>
          </cell>
          <cell r="Q31">
            <v>2951425.5438271598</v>
          </cell>
          <cell r="R31">
            <v>3519089.9999999995</v>
          </cell>
          <cell r="S31">
            <v>0.83868998628257874</v>
          </cell>
          <cell r="U31" t="str">
            <v>Grocery</v>
          </cell>
          <cell r="V31">
            <v>26180915.399999999</v>
          </cell>
        </row>
        <row r="32">
          <cell r="B32">
            <v>3519089.9999999995</v>
          </cell>
          <cell r="D32" t="str">
            <v>Minimart</v>
          </cell>
          <cell r="E32">
            <v>3519089.9999999995</v>
          </cell>
          <cell r="F32">
            <v>2.7466967474911578E-3</v>
          </cell>
          <cell r="G32">
            <v>0.83868998628257874</v>
          </cell>
          <cell r="I32" t="str">
            <v>Small Off</v>
          </cell>
          <cell r="J32">
            <v>3519089.9999999995</v>
          </cell>
          <cell r="K32">
            <v>2.7466967474911578E-3</v>
          </cell>
          <cell r="L32">
            <v>0.91122609210258287</v>
          </cell>
          <cell r="O32" t="str">
            <v>5,001-20,000</v>
          </cell>
          <cell r="P32">
            <v>3986446.8767986465</v>
          </cell>
          <cell r="Q32">
            <v>3879036.8423711793</v>
          </cell>
          <cell r="R32">
            <v>4873991.3999999994</v>
          </cell>
          <cell r="S32">
            <v>0.79586452334962665</v>
          </cell>
          <cell r="U32" t="str">
            <v>&lt;5,001</v>
          </cell>
          <cell r="V32">
            <v>3519089.9999999995</v>
          </cell>
        </row>
        <row r="33">
          <cell r="B33">
            <v>4873991.3999999994</v>
          </cell>
          <cell r="D33" t="str">
            <v>Hospital</v>
          </cell>
          <cell r="E33">
            <v>40823878</v>
          </cell>
          <cell r="F33">
            <v>3.1863582040406992E-2</v>
          </cell>
          <cell r="I33" t="str">
            <v>Xlarge Ret</v>
          </cell>
          <cell r="J33">
            <v>40823878</v>
          </cell>
          <cell r="K33">
            <v>3.1863582040406992E-2</v>
          </cell>
          <cell r="L33">
            <v>0.98608503921852686</v>
          </cell>
          <cell r="O33" t="str">
            <v>20,001-50,000</v>
          </cell>
          <cell r="P33">
            <v>11467754.274220692</v>
          </cell>
          <cell r="Q33">
            <v>10683291.020562317</v>
          </cell>
          <cell r="R33">
            <v>11467755</v>
          </cell>
          <cell r="S33">
            <v>0.93159393626410025</v>
          </cell>
          <cell r="U33" t="str">
            <v>5,001-20,000</v>
          </cell>
          <cell r="V33">
            <v>4873991.3999999994</v>
          </cell>
        </row>
        <row r="34">
          <cell r="B34">
            <v>11467755</v>
          </cell>
          <cell r="D34" t="str">
            <v>Lodging</v>
          </cell>
          <cell r="E34">
            <v>71484167.200000003</v>
          </cell>
          <cell r="F34">
            <v>5.5794347273117231E-2</v>
          </cell>
          <cell r="G34">
            <v>0.94438859080377269</v>
          </cell>
          <cell r="I34" t="str">
            <v>Large Ret</v>
          </cell>
          <cell r="J34">
            <v>71484167.200000003</v>
          </cell>
          <cell r="K34">
            <v>5.5794347273117231E-2</v>
          </cell>
          <cell r="L34">
            <v>0.77181511362305244</v>
          </cell>
          <cell r="O34" t="str">
            <v>50,001-100,000</v>
          </cell>
          <cell r="P34">
            <v>6320078.5305375494</v>
          </cell>
          <cell r="Q34">
            <v>6320078.5305375513</v>
          </cell>
          <cell r="R34">
            <v>6320079</v>
          </cell>
          <cell r="S34">
            <v>0.99999992571889551</v>
          </cell>
          <cell r="U34" t="str">
            <v>20,001-50,000</v>
          </cell>
          <cell r="V34">
            <v>11467755</v>
          </cell>
        </row>
        <row r="35">
          <cell r="B35">
            <v>6320079</v>
          </cell>
          <cell r="D35" t="str">
            <v>Large Off</v>
          </cell>
          <cell r="E35">
            <v>148846158</v>
          </cell>
          <cell r="F35">
            <v>0.11617641437279382</v>
          </cell>
          <cell r="G35">
            <v>0.95128694884061893</v>
          </cell>
          <cell r="I35" t="str">
            <v>Medium Ret</v>
          </cell>
          <cell r="J35">
            <v>148846158</v>
          </cell>
          <cell r="K35">
            <v>0.11617641437279382</v>
          </cell>
          <cell r="L35">
            <v>0.90527535536267667</v>
          </cell>
          <cell r="N35" t="str">
            <v>Lodging</v>
          </cell>
          <cell r="P35">
            <v>67358224.807189479</v>
          </cell>
          <cell r="Q35">
            <v>67508831.926789269</v>
          </cell>
          <cell r="R35">
            <v>71484167.200000003</v>
          </cell>
          <cell r="S35">
            <v>0.94438859080377269</v>
          </cell>
          <cell r="U35" t="str">
            <v>50,001-100,000</v>
          </cell>
          <cell r="V35">
            <v>6320079</v>
          </cell>
        </row>
        <row r="36">
          <cell r="B36">
            <v>40823878</v>
          </cell>
          <cell r="D36" t="str">
            <v>Medium Off</v>
          </cell>
          <cell r="E36">
            <v>127597664</v>
          </cell>
          <cell r="F36">
            <v>9.9591681001699198E-2</v>
          </cell>
          <cell r="G36">
            <v>0.97665874571205136</v>
          </cell>
          <cell r="I36" t="str">
            <v>Small Ret</v>
          </cell>
          <cell r="J36">
            <v>127597664</v>
          </cell>
          <cell r="K36">
            <v>9.9591681001699198E-2</v>
          </cell>
          <cell r="L36">
            <v>0.53668215741883951</v>
          </cell>
          <cell r="N36" t="str">
            <v>Office</v>
          </cell>
          <cell r="O36" t="str">
            <v>&lt;5,001</v>
          </cell>
          <cell r="P36">
            <v>23029482.214190245</v>
          </cell>
          <cell r="Q36">
            <v>20985065.432742432</v>
          </cell>
          <cell r="R36">
            <v>23029482.600000001</v>
          </cell>
          <cell r="S36">
            <v>0.91122609210258287</v>
          </cell>
          <cell r="U36" t="str">
            <v>Hospital</v>
          </cell>
          <cell r="V36">
            <v>40823878</v>
          </cell>
        </row>
        <row r="37">
          <cell r="B37">
            <v>71484167.200000003</v>
          </cell>
          <cell r="D37" t="str">
            <v>Small Off</v>
          </cell>
          <cell r="E37">
            <v>23029482.600000001</v>
          </cell>
          <cell r="F37">
            <v>1.7974818761050219E-2</v>
          </cell>
          <cell r="G37">
            <v>0.91122609210258287</v>
          </cell>
          <cell r="I37" t="str">
            <v>School K-12</v>
          </cell>
          <cell r="J37">
            <v>23029482.600000001</v>
          </cell>
          <cell r="K37">
            <v>1.7974818761050219E-2</v>
          </cell>
          <cell r="L37">
            <v>0.96128535178408803</v>
          </cell>
          <cell r="O37" t="str">
            <v>5,001-20,000</v>
          </cell>
          <cell r="P37">
            <v>80784182.574405566</v>
          </cell>
          <cell r="Q37">
            <v>82746734.576799899</v>
          </cell>
          <cell r="R37">
            <v>85725024</v>
          </cell>
          <cell r="S37">
            <v>0.96525764258520241</v>
          </cell>
          <cell r="U37" t="str">
            <v>Lodging</v>
          </cell>
          <cell r="V37">
            <v>71484167.200000003</v>
          </cell>
        </row>
        <row r="38">
          <cell r="B38">
            <v>299473304.60000002</v>
          </cell>
          <cell r="D38" t="str">
            <v>Other</v>
          </cell>
          <cell r="E38">
            <v>157213913</v>
          </cell>
          <cell r="F38">
            <v>0.12270755891365605</v>
          </cell>
          <cell r="G38">
            <v>0.87717751610580841</v>
          </cell>
          <cell r="I38" t="str">
            <v>University</v>
          </cell>
          <cell r="J38">
            <v>157213913</v>
          </cell>
          <cell r="K38">
            <v>0.12270755891365605</v>
          </cell>
          <cell r="L38">
            <v>0</v>
          </cell>
          <cell r="O38" t="str">
            <v>20,001-50,000</v>
          </cell>
          <cell r="P38">
            <v>34539301.857369535</v>
          </cell>
          <cell r="Q38">
            <v>41872639.901227877</v>
          </cell>
          <cell r="R38">
            <v>41872640</v>
          </cell>
          <cell r="S38">
            <v>0.99999999764112979</v>
          </cell>
          <cell r="U38" t="str">
            <v>Office</v>
          </cell>
          <cell r="V38">
            <v>299473304.60000002</v>
          </cell>
        </row>
        <row r="39">
          <cell r="B39">
            <v>23029482.600000001</v>
          </cell>
          <cell r="D39" t="str">
            <v>residential care</v>
          </cell>
          <cell r="E39">
            <v>53966740.100000001</v>
          </cell>
          <cell r="F39">
            <v>4.2121761451219111E-2</v>
          </cell>
          <cell r="G39">
            <v>0.8423386600487599</v>
          </cell>
          <cell r="I39" t="str">
            <v>Warehouse</v>
          </cell>
          <cell r="J39">
            <v>53966740.100000001</v>
          </cell>
          <cell r="K39">
            <v>4.2121761451219111E-2</v>
          </cell>
          <cell r="L39">
            <v>0.18162271351024481</v>
          </cell>
          <cell r="O39" t="str">
            <v>50,001-100,000</v>
          </cell>
          <cell r="P39">
            <v>43034153.216813698</v>
          </cell>
          <cell r="Q39">
            <v>63253424.725206777</v>
          </cell>
          <cell r="R39">
            <v>63929821</v>
          </cell>
          <cell r="S39">
            <v>0.98941970641849253</v>
          </cell>
          <cell r="U39" t="str">
            <v>&lt;5,001</v>
          </cell>
          <cell r="V39">
            <v>23029482.600000001</v>
          </cell>
        </row>
        <row r="40">
          <cell r="B40">
            <v>85725024</v>
          </cell>
          <cell r="D40" t="str">
            <v>Restaurant</v>
          </cell>
          <cell r="E40">
            <v>16079931.400000002</v>
          </cell>
          <cell r="F40">
            <v>1.2550601228232568E-2</v>
          </cell>
          <cell r="G40">
            <v>0.99999997512427186</v>
          </cell>
          <cell r="I40" t="str">
            <v>Supermarket</v>
          </cell>
          <cell r="J40">
            <v>16079931.400000002</v>
          </cell>
          <cell r="K40">
            <v>1.2550601228232568E-2</v>
          </cell>
          <cell r="L40">
            <v>0.92147944946531313</v>
          </cell>
          <cell r="O40" t="str">
            <v>100,001+</v>
          </cell>
          <cell r="P40">
            <v>64636550.250122726</v>
          </cell>
          <cell r="Q40">
            <v>78341982.765261889</v>
          </cell>
          <cell r="R40">
            <v>84916337</v>
          </cell>
          <cell r="S40">
            <v>0.92257845230961733</v>
          </cell>
          <cell r="U40" t="str">
            <v>5,001-20,000</v>
          </cell>
          <cell r="V40">
            <v>85725024</v>
          </cell>
        </row>
        <row r="41">
          <cell r="B41">
            <v>41872640</v>
          </cell>
          <cell r="D41" t="str">
            <v>Xlarge Ret</v>
          </cell>
          <cell r="E41">
            <v>59225697</v>
          </cell>
          <cell r="F41">
            <v>4.6226447552576613E-2</v>
          </cell>
          <cell r="G41">
            <v>0.98608503921852686</v>
          </cell>
          <cell r="I41" t="str">
            <v>MiniMart</v>
          </cell>
          <cell r="J41">
            <v>59225697</v>
          </cell>
          <cell r="K41">
            <v>4.6226447552576613E-2</v>
          </cell>
          <cell r="L41">
            <v>0.83868998628257874</v>
          </cell>
          <cell r="N41" t="str">
            <v>Other</v>
          </cell>
          <cell r="P41">
            <v>153654082.32473806</v>
          </cell>
          <cell r="Q41">
            <v>137904509.70261467</v>
          </cell>
          <cell r="R41">
            <v>157213913</v>
          </cell>
          <cell r="S41">
            <v>0.87717751610580841</v>
          </cell>
          <cell r="U41" t="str">
            <v>20,001-50,000</v>
          </cell>
          <cell r="V41">
            <v>41872640</v>
          </cell>
        </row>
        <row r="42">
          <cell r="B42">
            <v>63929821</v>
          </cell>
          <cell r="D42" t="str">
            <v>Large Ret</v>
          </cell>
          <cell r="E42">
            <v>72646954</v>
          </cell>
          <cell r="F42">
            <v>5.6701917901201666E-2</v>
          </cell>
          <cell r="G42">
            <v>0.77181511362305244</v>
          </cell>
          <cell r="I42" t="str">
            <v>Restaurant</v>
          </cell>
          <cell r="J42">
            <v>72646954</v>
          </cell>
          <cell r="K42">
            <v>5.6701917901201666E-2</v>
          </cell>
          <cell r="L42">
            <v>0.99999997512427186</v>
          </cell>
          <cell r="N42" t="str">
            <v>Residential Care</v>
          </cell>
          <cell r="P42">
            <v>49714392.777311653</v>
          </cell>
          <cell r="Q42">
            <v>45458271.543033682</v>
          </cell>
          <cell r="R42">
            <v>53966740.100000001</v>
          </cell>
          <cell r="S42">
            <v>0.8423386600487599</v>
          </cell>
          <cell r="U42" t="str">
            <v>50,001-100,000</v>
          </cell>
          <cell r="V42">
            <v>63929821</v>
          </cell>
        </row>
        <row r="43">
          <cell r="B43">
            <v>84916337</v>
          </cell>
          <cell r="D43" t="str">
            <v>Medium Ret</v>
          </cell>
          <cell r="E43">
            <v>68116174</v>
          </cell>
          <cell r="F43">
            <v>5.3165583596140417E-2</v>
          </cell>
          <cell r="G43">
            <v>0.90527535536267667</v>
          </cell>
          <cell r="I43" t="str">
            <v>Lodging</v>
          </cell>
          <cell r="J43">
            <v>68116174</v>
          </cell>
          <cell r="K43">
            <v>5.3165583596140417E-2</v>
          </cell>
          <cell r="L43">
            <v>0.94438859080377269</v>
          </cell>
          <cell r="N43" t="str">
            <v>Restaurant</v>
          </cell>
          <cell r="P43">
            <v>15578466.927956199</v>
          </cell>
          <cell r="Q43">
            <v>16079931</v>
          </cell>
          <cell r="R43">
            <v>16079931.400000002</v>
          </cell>
          <cell r="S43">
            <v>0.99999997512427186</v>
          </cell>
          <cell r="U43" t="str">
            <v>100,001+</v>
          </cell>
          <cell r="V43">
            <v>84916337</v>
          </cell>
        </row>
        <row r="44">
          <cell r="B44">
            <v>157213913</v>
          </cell>
          <cell r="D44" t="str">
            <v>Small Ret</v>
          </cell>
          <cell r="E44">
            <v>9866053.6999999993</v>
          </cell>
          <cell r="F44">
            <v>7.7005866881390082E-3</v>
          </cell>
          <cell r="G44">
            <v>0.53668215741883951</v>
          </cell>
          <cell r="I44" t="str">
            <v>Hospital</v>
          </cell>
          <cell r="J44">
            <v>9866053.6999999993</v>
          </cell>
          <cell r="K44">
            <v>7.7005866881390082E-3</v>
          </cell>
          <cell r="L44">
            <v>0</v>
          </cell>
          <cell r="N44" t="str">
            <v>Retail/Service</v>
          </cell>
          <cell r="O44" t="str">
            <v>&lt;5,001</v>
          </cell>
          <cell r="P44">
            <v>9866053.8742124401</v>
          </cell>
          <cell r="Q44">
            <v>5294934.9849261232</v>
          </cell>
          <cell r="R44">
            <v>9866053.6999999993</v>
          </cell>
          <cell r="S44">
            <v>0.53668215741883951</v>
          </cell>
          <cell r="U44" t="str">
            <v>Other</v>
          </cell>
          <cell r="V44">
            <v>157213913</v>
          </cell>
        </row>
        <row r="45">
          <cell r="B45">
            <v>53966740.100000001</v>
          </cell>
          <cell r="D45" t="str">
            <v>School K-12</v>
          </cell>
          <cell r="E45">
            <v>113565709.8</v>
          </cell>
          <cell r="F45">
            <v>8.8639553331737675E-2</v>
          </cell>
          <cell r="G45">
            <v>0.96128535178408803</v>
          </cell>
          <cell r="I45" t="str">
            <v>Residential Care</v>
          </cell>
          <cell r="J45">
            <v>113565709.8</v>
          </cell>
          <cell r="K45">
            <v>8.8639553331737675E-2</v>
          </cell>
          <cell r="L45">
            <v>0.8423386600487599</v>
          </cell>
          <cell r="O45" t="str">
            <v>5,001-20,000</v>
          </cell>
          <cell r="P45">
            <v>62095801.889099516</v>
          </cell>
          <cell r="Q45">
            <v>61663893.623795919</v>
          </cell>
          <cell r="R45">
            <v>68116174</v>
          </cell>
          <cell r="S45">
            <v>0.90527535536267667</v>
          </cell>
          <cell r="U45" t="str">
            <v>Residential Care</v>
          </cell>
          <cell r="V45">
            <v>53966740.100000001</v>
          </cell>
        </row>
        <row r="46">
          <cell r="B46">
            <v>16079931.400000002</v>
          </cell>
          <cell r="D46" t="str">
            <v>University</v>
          </cell>
          <cell r="E46">
            <v>3318939.8</v>
          </cell>
          <cell r="F46">
            <v>2.5904768430983446E-3</v>
          </cell>
          <cell r="I46" t="str">
            <v>Assembly</v>
          </cell>
          <cell r="J46">
            <v>3318939.8</v>
          </cell>
          <cell r="K46">
            <v>2.5904768430983446E-3</v>
          </cell>
          <cell r="L46">
            <v>0.91177234717447209</v>
          </cell>
          <cell r="O46" t="str">
            <v>20,001-50,000</v>
          </cell>
          <cell r="P46">
            <v>72646953.999999955</v>
          </cell>
          <cell r="Q46">
            <v>56070017.055878662</v>
          </cell>
          <cell r="R46">
            <v>72646954</v>
          </cell>
          <cell r="S46">
            <v>0.77181511362305244</v>
          </cell>
          <cell r="U46" t="str">
            <v>Restaurant</v>
          </cell>
          <cell r="V46">
            <v>16079931.400000002</v>
          </cell>
        </row>
        <row r="47">
          <cell r="B47">
            <v>4744164.2</v>
          </cell>
          <cell r="D47" t="str">
            <v>Warehouse</v>
          </cell>
          <cell r="E47">
            <v>123337986.3</v>
          </cell>
          <cell r="F47">
            <v>9.6266945662747752E-2</v>
          </cell>
          <cell r="G47">
            <v>0.18162271351024481</v>
          </cell>
          <cell r="I47" t="str">
            <v>Other</v>
          </cell>
          <cell r="J47">
            <v>123337986.3</v>
          </cell>
          <cell r="K47">
            <v>9.6266945662747752E-2</v>
          </cell>
          <cell r="L47">
            <v>0.87717751610580841</v>
          </cell>
          <cell r="O47" t="str">
            <v>100,001+</v>
          </cell>
          <cell r="P47">
            <v>59225697.00000003</v>
          </cell>
          <cell r="Q47">
            <v>58401573.74898959</v>
          </cell>
          <cell r="R47">
            <v>59225697</v>
          </cell>
          <cell r="S47">
            <v>0.98608503921852686</v>
          </cell>
          <cell r="U47" t="str">
            <v>&lt;5,001</v>
          </cell>
          <cell r="V47">
            <v>4744164.2</v>
          </cell>
        </row>
        <row r="48">
          <cell r="B48">
            <v>11335767.200000001</v>
          </cell>
          <cell r="E48">
            <v>1281208055.9000001</v>
          </cell>
          <cell r="J48">
            <v>1281208055.9000001</v>
          </cell>
          <cell r="K48">
            <v>1</v>
          </cell>
          <cell r="N48" t="str">
            <v>School K-12</v>
          </cell>
          <cell r="P48">
            <v>110527499.14520694</v>
          </cell>
          <cell r="Q48">
            <v>109169053.29570265</v>
          </cell>
          <cell r="R48">
            <v>113565709.8</v>
          </cell>
          <cell r="S48">
            <v>0.96128535178408803</v>
          </cell>
          <cell r="U48" t="str">
            <v>5,001-20,000</v>
          </cell>
          <cell r="V48">
            <v>11335767.200000001</v>
          </cell>
        </row>
        <row r="49">
          <cell r="B49">
            <v>209854878.69999999</v>
          </cell>
          <cell r="N49" t="str">
            <v>Warehouse</v>
          </cell>
          <cell r="P49">
            <v>84732711.903829709</v>
          </cell>
          <cell r="Q49">
            <v>22400979.7506954</v>
          </cell>
          <cell r="R49">
            <v>123337986.3</v>
          </cell>
          <cell r="S49">
            <v>0.18162271351024481</v>
          </cell>
          <cell r="U49" t="str">
            <v>Retail/Service</v>
          </cell>
          <cell r="V49">
            <v>209854878.69999999</v>
          </cell>
        </row>
        <row r="50">
          <cell r="B50">
            <v>9866053.6999999993</v>
          </cell>
          <cell r="N50" t="str">
            <v>Grand Total</v>
          </cell>
          <cell r="P50">
            <v>1118886484.6017523</v>
          </cell>
          <cell r="Q50">
            <v>1042255721.3553934</v>
          </cell>
          <cell r="R50">
            <v>1281208055.9000001</v>
          </cell>
          <cell r="S50">
            <v>0.81349451133699613</v>
          </cell>
          <cell r="U50" t="str">
            <v>&lt;5,001</v>
          </cell>
          <cell r="V50">
            <v>9866053.6999999993</v>
          </cell>
        </row>
        <row r="51">
          <cell r="B51">
            <v>68116174</v>
          </cell>
          <cell r="U51" t="str">
            <v>5,001-20,000</v>
          </cell>
          <cell r="V51">
            <v>68116174</v>
          </cell>
        </row>
        <row r="52">
          <cell r="B52">
            <v>72646954</v>
          </cell>
          <cell r="U52" t="str">
            <v>20,001-50,000</v>
          </cell>
          <cell r="V52">
            <v>72646954</v>
          </cell>
        </row>
        <row r="53">
          <cell r="B53">
            <v>59225697</v>
          </cell>
          <cell r="U53" t="str">
            <v>100,001+</v>
          </cell>
          <cell r="V53">
            <v>59225697</v>
          </cell>
        </row>
        <row r="54">
          <cell r="B54">
            <v>113565709.8</v>
          </cell>
          <cell r="U54" t="str">
            <v>School K-12</v>
          </cell>
          <cell r="V54">
            <v>113565709.8</v>
          </cell>
        </row>
        <row r="55">
          <cell r="B55">
            <v>3318939.8</v>
          </cell>
          <cell r="U55" t="str">
            <v>University</v>
          </cell>
          <cell r="V55">
            <v>3318939.8</v>
          </cell>
        </row>
        <row r="56">
          <cell r="B56">
            <v>123337986.3</v>
          </cell>
          <cell r="U56" t="str">
            <v>Warehouse</v>
          </cell>
          <cell r="V56">
            <v>123337986.3</v>
          </cell>
        </row>
        <row r="57">
          <cell r="B57">
            <v>1281208055.9000001</v>
          </cell>
          <cell r="U57" t="str">
            <v>Grand Total</v>
          </cell>
          <cell r="V57">
            <v>1281208055.9000001</v>
          </cell>
        </row>
        <row r="63">
          <cell r="B63" t="str">
            <v>(All)</v>
          </cell>
        </row>
        <row r="64">
          <cell r="B64" t="str">
            <v>(All)</v>
          </cell>
        </row>
        <row r="65">
          <cell r="B65" t="str">
            <v>(All)</v>
          </cell>
        </row>
        <row r="66">
          <cell r="B66" t="str">
            <v>(All)</v>
          </cell>
        </row>
        <row r="67">
          <cell r="B67" t="str">
            <v>2004-2013</v>
          </cell>
        </row>
        <row r="68">
          <cell r="B68" t="str">
            <v>Electricity</v>
          </cell>
        </row>
        <row r="70">
          <cell r="C70" t="str">
            <v>Column Labels</v>
          </cell>
          <cell r="F70" t="str">
            <v>HP</v>
          </cell>
        </row>
        <row r="71">
          <cell r="B71" t="str">
            <v>Size_Group</v>
          </cell>
          <cell r="C71">
            <v>1</v>
          </cell>
          <cell r="D71">
            <v>3</v>
          </cell>
          <cell r="E71">
            <v>4</v>
          </cell>
          <cell r="F71">
            <v>5</v>
          </cell>
          <cell r="G71">
            <v>6</v>
          </cell>
          <cell r="H71">
            <v>8</v>
          </cell>
          <cell r="I71">
            <v>9</v>
          </cell>
          <cell r="J71">
            <v>10</v>
          </cell>
          <cell r="K71">
            <v>11</v>
          </cell>
          <cell r="L71">
            <v>12</v>
          </cell>
          <cell r="M71">
            <v>13</v>
          </cell>
          <cell r="N71" t="str">
            <v>(blank)</v>
          </cell>
          <cell r="O71" t="str">
            <v>Grand Total</v>
          </cell>
          <cell r="P71" t="str">
            <v>SF</v>
          </cell>
          <cell r="Q71" t="str">
            <v>HP</v>
          </cell>
          <cell r="R71" t="str">
            <v>Elect</v>
          </cell>
        </row>
        <row r="72">
          <cell r="C72">
            <v>3.6534593810539057E-2</v>
          </cell>
          <cell r="D72">
            <v>9.6072243813068336E-2</v>
          </cell>
          <cell r="E72">
            <v>0</v>
          </cell>
          <cell r="F72">
            <v>0.50965114798682787</v>
          </cell>
          <cell r="G72">
            <v>3.1956647213604777E-2</v>
          </cell>
          <cell r="H72">
            <v>0</v>
          </cell>
          <cell r="I72">
            <v>0</v>
          </cell>
          <cell r="J72">
            <v>3.5497740342013101E-3</v>
          </cell>
          <cell r="K72">
            <v>5.8039414061002159E-4</v>
          </cell>
          <cell r="L72">
            <v>0</v>
          </cell>
          <cell r="M72">
            <v>0</v>
          </cell>
          <cell r="N72">
            <v>0.32165519900114858</v>
          </cell>
          <cell r="O72">
            <v>1</v>
          </cell>
          <cell r="P72">
            <v>323583577.89067554</v>
          </cell>
          <cell r="Q72">
            <v>0.50965114798682787</v>
          </cell>
          <cell r="R72">
            <v>0.49034885201317213</v>
          </cell>
        </row>
        <row r="73">
          <cell r="B73" t="str">
            <v>&lt;5,001</v>
          </cell>
          <cell r="C73">
            <v>0</v>
          </cell>
          <cell r="D73">
            <v>0</v>
          </cell>
          <cell r="E73">
            <v>0.18622247697050309</v>
          </cell>
          <cell r="F73">
            <v>0.81377752302949691</v>
          </cell>
          <cell r="G73">
            <v>0</v>
          </cell>
          <cell r="H73">
            <v>0</v>
          </cell>
          <cell r="I73">
            <v>0</v>
          </cell>
          <cell r="J73">
            <v>0</v>
          </cell>
          <cell r="K73">
            <v>0</v>
          </cell>
          <cell r="L73">
            <v>0</v>
          </cell>
          <cell r="M73">
            <v>0</v>
          </cell>
          <cell r="N73">
            <v>0</v>
          </cell>
          <cell r="O73">
            <v>1</v>
          </cell>
          <cell r="P73">
            <v>9815889.4471183456</v>
          </cell>
          <cell r="Q73">
            <v>0.81377752302949691</v>
          </cell>
          <cell r="R73">
            <v>0.18622247697050309</v>
          </cell>
        </row>
        <row r="74">
          <cell r="B74" t="str">
            <v>5,001-20,000</v>
          </cell>
          <cell r="C74">
            <v>0.81202354242998354</v>
          </cell>
          <cell r="D74">
            <v>3.3971992626398925E-2</v>
          </cell>
          <cell r="E74">
            <v>0</v>
          </cell>
          <cell r="F74">
            <v>0.15400446494361758</v>
          </cell>
          <cell r="G74">
            <v>0</v>
          </cell>
          <cell r="H74">
            <v>0</v>
          </cell>
          <cell r="I74">
            <v>0</v>
          </cell>
          <cell r="J74">
            <v>0</v>
          </cell>
          <cell r="K74">
            <v>0</v>
          </cell>
          <cell r="L74">
            <v>0</v>
          </cell>
          <cell r="M74">
            <v>0</v>
          </cell>
          <cell r="N74">
            <v>0</v>
          </cell>
          <cell r="O74">
            <v>1</v>
          </cell>
          <cell r="P74">
            <v>16084444.905748043</v>
          </cell>
          <cell r="Q74">
            <v>0.15400446494361758</v>
          </cell>
          <cell r="R74">
            <v>0.84599553505638236</v>
          </cell>
        </row>
        <row r="75">
          <cell r="B75" t="str">
            <v>20,001-50,000</v>
          </cell>
          <cell r="C75">
            <v>0</v>
          </cell>
          <cell r="D75">
            <v>0</v>
          </cell>
          <cell r="E75">
            <v>0</v>
          </cell>
          <cell r="F75">
            <v>0.18249203765273975</v>
          </cell>
          <cell r="G75">
            <v>0</v>
          </cell>
          <cell r="H75">
            <v>0</v>
          </cell>
          <cell r="I75">
            <v>0.8175079623472602</v>
          </cell>
          <cell r="J75">
            <v>0</v>
          </cell>
          <cell r="K75">
            <v>0</v>
          </cell>
          <cell r="L75">
            <v>0</v>
          </cell>
          <cell r="M75">
            <v>0</v>
          </cell>
          <cell r="N75">
            <v>0</v>
          </cell>
          <cell r="O75">
            <v>1</v>
          </cell>
          <cell r="P75">
            <v>23241500.137925949</v>
          </cell>
          <cell r="Q75">
            <v>0.18249203765273975</v>
          </cell>
          <cell r="R75">
            <v>0.81750796234726031</v>
          </cell>
        </row>
        <row r="76">
          <cell r="C76">
            <v>2.6830345435340821E-2</v>
          </cell>
          <cell r="D76">
            <v>1.3652575123708729E-2</v>
          </cell>
          <cell r="E76">
            <v>2.8001180638092205E-2</v>
          </cell>
          <cell r="F76">
            <v>0.18888064796136644</v>
          </cell>
          <cell r="G76">
            <v>0.57870617384054446</v>
          </cell>
          <cell r="H76">
            <v>0</v>
          </cell>
          <cell r="I76">
            <v>0</v>
          </cell>
          <cell r="J76">
            <v>7.5228886618891851E-3</v>
          </cell>
          <cell r="K76">
            <v>0.10945787462577937</v>
          </cell>
          <cell r="L76">
            <v>0</v>
          </cell>
          <cell r="M76">
            <v>0</v>
          </cell>
          <cell r="N76">
            <v>4.6948313713278858E-2</v>
          </cell>
          <cell r="O76">
            <v>1</v>
          </cell>
          <cell r="P76">
            <v>158846349.10849831</v>
          </cell>
          <cell r="Q76">
            <v>0.18888064796136644</v>
          </cell>
          <cell r="R76">
            <v>0.8111193520386335</v>
          </cell>
        </row>
        <row r="77">
          <cell r="B77" t="str">
            <v>&lt;5,001</v>
          </cell>
          <cell r="C77">
            <v>0</v>
          </cell>
          <cell r="D77">
            <v>0.17664037080346631</v>
          </cell>
          <cell r="E77">
            <v>0</v>
          </cell>
          <cell r="F77">
            <v>0.52490452587958114</v>
          </cell>
          <cell r="G77">
            <v>0</v>
          </cell>
          <cell r="H77">
            <v>0</v>
          </cell>
          <cell r="I77">
            <v>0</v>
          </cell>
          <cell r="J77">
            <v>1.9787254337404303E-2</v>
          </cell>
          <cell r="K77">
            <v>0</v>
          </cell>
          <cell r="L77">
            <v>0</v>
          </cell>
          <cell r="M77">
            <v>0</v>
          </cell>
          <cell r="N77">
            <v>0.27866784897954844</v>
          </cell>
          <cell r="O77">
            <v>1</v>
          </cell>
          <cell r="P77">
            <v>88922415.770519257</v>
          </cell>
          <cell r="Q77">
            <v>0.52490452587958114</v>
          </cell>
          <cell r="R77">
            <v>0.47509547412041886</v>
          </cell>
        </row>
        <row r="78">
          <cell r="B78" t="str">
            <v>5,001-20,000</v>
          </cell>
          <cell r="C78">
            <v>0</v>
          </cell>
          <cell r="D78">
            <v>0</v>
          </cell>
          <cell r="E78">
            <v>4.3228968896827348E-2</v>
          </cell>
          <cell r="F78">
            <v>0.75611452678600732</v>
          </cell>
          <cell r="G78">
            <v>0</v>
          </cell>
          <cell r="H78">
            <v>0</v>
          </cell>
          <cell r="I78">
            <v>0</v>
          </cell>
          <cell r="J78">
            <v>0</v>
          </cell>
          <cell r="K78">
            <v>0</v>
          </cell>
          <cell r="L78">
            <v>3.0685926118516452E-2</v>
          </cell>
          <cell r="M78">
            <v>0</v>
          </cell>
          <cell r="N78">
            <v>0.16997057819864889</v>
          </cell>
          <cell r="O78">
            <v>1</v>
          </cell>
          <cell r="P78">
            <v>154110090.46318847</v>
          </cell>
          <cell r="Q78">
            <v>0.75611452678600732</v>
          </cell>
          <cell r="R78">
            <v>0.24388547321399268</v>
          </cell>
        </row>
        <row r="79">
          <cell r="B79" t="str">
            <v>20,001-50,000</v>
          </cell>
          <cell r="C79">
            <v>0.27157849224769093</v>
          </cell>
          <cell r="D79">
            <v>0.16108600680990617</v>
          </cell>
          <cell r="E79">
            <v>0</v>
          </cell>
          <cell r="F79">
            <v>0.48968672235722216</v>
          </cell>
          <cell r="G79">
            <v>4.2122637341405176E-4</v>
          </cell>
          <cell r="H79">
            <v>0</v>
          </cell>
          <cell r="I79">
            <v>0</v>
          </cell>
          <cell r="J79">
            <v>0</v>
          </cell>
          <cell r="K79">
            <v>0</v>
          </cell>
          <cell r="L79">
            <v>0</v>
          </cell>
          <cell r="M79">
            <v>0</v>
          </cell>
          <cell r="N79">
            <v>7.7227552211766498E-2</v>
          </cell>
          <cell r="O79">
            <v>1</v>
          </cell>
          <cell r="P79">
            <v>121088778.65134136</v>
          </cell>
          <cell r="Q79">
            <v>0.48968672235722216</v>
          </cell>
          <cell r="R79">
            <v>0.5103132776427779</v>
          </cell>
        </row>
        <row r="80">
          <cell r="B80" t="str">
            <v>50,001-100,000</v>
          </cell>
          <cell r="C80">
            <v>0</v>
          </cell>
          <cell r="D80">
            <v>0</v>
          </cell>
          <cell r="E80">
            <v>0</v>
          </cell>
          <cell r="F80">
            <v>0</v>
          </cell>
          <cell r="G80">
            <v>0</v>
          </cell>
          <cell r="H80">
            <v>0</v>
          </cell>
          <cell r="I80">
            <v>0</v>
          </cell>
          <cell r="J80">
            <v>0</v>
          </cell>
          <cell r="K80">
            <v>0</v>
          </cell>
          <cell r="L80">
            <v>0</v>
          </cell>
          <cell r="M80">
            <v>0</v>
          </cell>
          <cell r="N80">
            <v>1</v>
          </cell>
          <cell r="O80">
            <v>1</v>
          </cell>
          <cell r="P80">
            <v>83126914.229880497</v>
          </cell>
          <cell r="Q80">
            <v>0</v>
          </cell>
          <cell r="R80">
            <v>1</v>
          </cell>
        </row>
        <row r="81">
          <cell r="B81" t="str">
            <v>100,001+</v>
          </cell>
          <cell r="C81">
            <v>0</v>
          </cell>
          <cell r="D81">
            <v>9.0247339982572464E-2</v>
          </cell>
          <cell r="E81">
            <v>0</v>
          </cell>
          <cell r="F81">
            <v>3.7300330925293994E-2</v>
          </cell>
          <cell r="G81">
            <v>0</v>
          </cell>
          <cell r="H81">
            <v>0</v>
          </cell>
          <cell r="I81">
            <v>0</v>
          </cell>
          <cell r="J81">
            <v>6.1086377136007814E-4</v>
          </cell>
          <cell r="K81">
            <v>0</v>
          </cell>
          <cell r="L81">
            <v>0</v>
          </cell>
          <cell r="M81">
            <v>0</v>
          </cell>
          <cell r="N81">
            <v>0.87184146532077345</v>
          </cell>
          <cell r="O81">
            <v>1</v>
          </cell>
          <cell r="P81">
            <v>161400968.09734377</v>
          </cell>
          <cell r="Q81">
            <v>3.7300330925293994E-2</v>
          </cell>
          <cell r="R81">
            <v>0.96269966907470605</v>
          </cell>
        </row>
        <row r="82">
          <cell r="C82">
            <v>3.0358719899233007E-2</v>
          </cell>
          <cell r="D82">
            <v>7.9022624302837394E-2</v>
          </cell>
          <cell r="E82">
            <v>2.3915459988707082E-2</v>
          </cell>
          <cell r="F82">
            <v>0.41080265497275703</v>
          </cell>
          <cell r="G82">
            <v>5.4849597267194045E-2</v>
          </cell>
          <cell r="H82">
            <v>5.3229117383233899E-3</v>
          </cell>
          <cell r="I82">
            <v>9.1480776677612327E-2</v>
          </cell>
          <cell r="J82">
            <v>8.7343776958000094E-3</v>
          </cell>
          <cell r="K82">
            <v>0</v>
          </cell>
          <cell r="L82">
            <v>0</v>
          </cell>
          <cell r="M82">
            <v>0</v>
          </cell>
          <cell r="N82">
            <v>0.29551287745753574</v>
          </cell>
          <cell r="O82">
            <v>1</v>
          </cell>
          <cell r="P82">
            <v>274835103.70914501</v>
          </cell>
          <cell r="Q82">
            <v>0.41080265497275703</v>
          </cell>
          <cell r="R82">
            <v>0.58919734502724297</v>
          </cell>
        </row>
        <row r="83">
          <cell r="C83">
            <v>4.8491951753153045E-2</v>
          </cell>
          <cell r="D83">
            <v>0</v>
          </cell>
          <cell r="E83">
            <v>7.2786406113312819E-3</v>
          </cell>
          <cell r="F83">
            <v>0.25160789616687884</v>
          </cell>
          <cell r="G83">
            <v>0.31248631124873866</v>
          </cell>
          <cell r="H83">
            <v>0</v>
          </cell>
          <cell r="I83">
            <v>0</v>
          </cell>
          <cell r="J83">
            <v>0.18360090438102558</v>
          </cell>
          <cell r="K83">
            <v>0.17776288985715782</v>
          </cell>
          <cell r="L83">
            <v>0</v>
          </cell>
          <cell r="M83">
            <v>1.383259321048938E-4</v>
          </cell>
          <cell r="N83">
            <v>1.863308004961009E-2</v>
          </cell>
          <cell r="O83">
            <v>1</v>
          </cell>
          <cell r="P83">
            <v>117631709.17964283</v>
          </cell>
          <cell r="Q83">
            <v>0.25160789616687884</v>
          </cell>
          <cell r="R83">
            <v>0.74839210383312116</v>
          </cell>
        </row>
        <row r="84">
          <cell r="C84">
            <v>0</v>
          </cell>
          <cell r="D84">
            <v>0</v>
          </cell>
          <cell r="E84">
            <v>8.4985032383021089E-2</v>
          </cell>
          <cell r="F84">
            <v>0.8667911132476972</v>
          </cell>
          <cell r="G84">
            <v>0</v>
          </cell>
          <cell r="H84">
            <v>0</v>
          </cell>
          <cell r="I84">
            <v>0</v>
          </cell>
          <cell r="J84">
            <v>4.8223854369281734E-2</v>
          </cell>
          <cell r="K84">
            <v>0</v>
          </cell>
          <cell r="L84">
            <v>0</v>
          </cell>
          <cell r="M84">
            <v>0</v>
          </cell>
          <cell r="N84">
            <v>0</v>
          </cell>
          <cell r="O84">
            <v>1</v>
          </cell>
          <cell r="P84">
            <v>47431959.763809502</v>
          </cell>
          <cell r="Q84">
            <v>0.8667911132476972</v>
          </cell>
          <cell r="R84">
            <v>0.1332088867523028</v>
          </cell>
        </row>
        <row r="85">
          <cell r="B85" t="str">
            <v>&lt;5,001</v>
          </cell>
          <cell r="C85">
            <v>0</v>
          </cell>
          <cell r="D85">
            <v>0.30228709576973001</v>
          </cell>
          <cell r="E85">
            <v>0</v>
          </cell>
          <cell r="F85">
            <v>0.6004457335185307</v>
          </cell>
          <cell r="G85">
            <v>0</v>
          </cell>
          <cell r="H85">
            <v>0</v>
          </cell>
          <cell r="I85">
            <v>0</v>
          </cell>
          <cell r="J85">
            <v>3.9538732283492091E-2</v>
          </cell>
          <cell r="K85">
            <v>5.7728438428247104E-2</v>
          </cell>
          <cell r="L85">
            <v>0</v>
          </cell>
          <cell r="M85">
            <v>0</v>
          </cell>
          <cell r="N85">
            <v>0</v>
          </cell>
          <cell r="O85">
            <v>1</v>
          </cell>
          <cell r="P85">
            <v>45229806.543296024</v>
          </cell>
          <cell r="Q85">
            <v>0.6004457335185307</v>
          </cell>
          <cell r="R85">
            <v>0.3995542664814693</v>
          </cell>
        </row>
        <row r="86">
          <cell r="B86" t="str">
            <v>5,001-20,000</v>
          </cell>
          <cell r="C86">
            <v>0.67420376757283751</v>
          </cell>
          <cell r="D86">
            <v>0</v>
          </cell>
          <cell r="E86">
            <v>0</v>
          </cell>
          <cell r="F86">
            <v>0.25959218292260067</v>
          </cell>
          <cell r="G86">
            <v>0</v>
          </cell>
          <cell r="H86">
            <v>0</v>
          </cell>
          <cell r="I86">
            <v>6.6204049504561782E-2</v>
          </cell>
          <cell r="J86">
            <v>0</v>
          </cell>
          <cell r="K86">
            <v>0</v>
          </cell>
          <cell r="L86">
            <v>0</v>
          </cell>
          <cell r="M86">
            <v>0</v>
          </cell>
          <cell r="N86">
            <v>0</v>
          </cell>
          <cell r="O86">
            <v>1</v>
          </cell>
          <cell r="P86">
            <v>142334439.47546965</v>
          </cell>
          <cell r="Q86">
            <v>0.25959218292260067</v>
          </cell>
          <cell r="R86">
            <v>0.74040781707739933</v>
          </cell>
        </row>
        <row r="87">
          <cell r="B87" t="str">
            <v>20,001-50,000</v>
          </cell>
          <cell r="C87">
            <v>0.44457384121018961</v>
          </cell>
          <cell r="D87">
            <v>0</v>
          </cell>
          <cell r="E87">
            <v>0</v>
          </cell>
          <cell r="F87">
            <v>0.52538539575341459</v>
          </cell>
          <cell r="G87">
            <v>0</v>
          </cell>
          <cell r="H87">
            <v>0</v>
          </cell>
          <cell r="I87">
            <v>0</v>
          </cell>
          <cell r="J87">
            <v>3.0040763036395728E-2</v>
          </cell>
          <cell r="K87">
            <v>0</v>
          </cell>
          <cell r="L87">
            <v>0</v>
          </cell>
          <cell r="M87">
            <v>0</v>
          </cell>
          <cell r="N87">
            <v>0</v>
          </cell>
          <cell r="O87">
            <v>1</v>
          </cell>
          <cell r="P87">
            <v>150479652.53202388</v>
          </cell>
          <cell r="Q87">
            <v>0.52538539575341459</v>
          </cell>
          <cell r="R87">
            <v>0.47461460424658541</v>
          </cell>
        </row>
        <row r="88">
          <cell r="B88" t="str">
            <v>100,001+</v>
          </cell>
          <cell r="C88">
            <v>0</v>
          </cell>
          <cell r="D88">
            <v>0</v>
          </cell>
          <cell r="E88">
            <v>0</v>
          </cell>
          <cell r="F88">
            <v>1</v>
          </cell>
          <cell r="G88">
            <v>0</v>
          </cell>
          <cell r="H88">
            <v>0</v>
          </cell>
          <cell r="I88">
            <v>0</v>
          </cell>
          <cell r="J88">
            <v>0</v>
          </cell>
          <cell r="K88">
            <v>0</v>
          </cell>
          <cell r="L88">
            <v>0</v>
          </cell>
          <cell r="M88">
            <v>0</v>
          </cell>
          <cell r="N88">
            <v>0</v>
          </cell>
          <cell r="O88">
            <v>1</v>
          </cell>
          <cell r="P88">
            <v>29532449.302067615</v>
          </cell>
          <cell r="Q88">
            <v>1</v>
          </cell>
          <cell r="R88">
            <v>0</v>
          </cell>
        </row>
        <row r="89">
          <cell r="C89">
            <v>0</v>
          </cell>
          <cell r="D89">
            <v>0</v>
          </cell>
          <cell r="E89">
            <v>0</v>
          </cell>
          <cell r="F89">
            <v>0.60623284948217304</v>
          </cell>
          <cell r="G89">
            <v>0</v>
          </cell>
          <cell r="H89">
            <v>0</v>
          </cell>
          <cell r="I89">
            <v>0</v>
          </cell>
          <cell r="J89">
            <v>0</v>
          </cell>
          <cell r="K89">
            <v>0</v>
          </cell>
          <cell r="L89">
            <v>7.8006315859590558E-2</v>
          </cell>
          <cell r="M89">
            <v>0</v>
          </cell>
          <cell r="N89">
            <v>0.31576083465823634</v>
          </cell>
          <cell r="O89">
            <v>1</v>
          </cell>
          <cell r="P89">
            <v>124562026.1368593</v>
          </cell>
          <cell r="Q89">
            <v>0.60623284948217304</v>
          </cell>
          <cell r="R89">
            <v>0.39376715051782696</v>
          </cell>
        </row>
        <row r="90">
          <cell r="C90">
            <v>0</v>
          </cell>
          <cell r="D90">
            <v>0</v>
          </cell>
          <cell r="E90">
            <v>0</v>
          </cell>
          <cell r="F90">
            <v>0.25284882715292539</v>
          </cell>
          <cell r="G90">
            <v>9.15963886801789E-2</v>
          </cell>
          <cell r="H90">
            <v>5.0434425613117444E-2</v>
          </cell>
          <cell r="I90">
            <v>0</v>
          </cell>
          <cell r="J90">
            <v>0.60086537417955166</v>
          </cell>
          <cell r="K90">
            <v>4.2549843742266929E-3</v>
          </cell>
          <cell r="L90">
            <v>0</v>
          </cell>
          <cell r="M90">
            <v>0</v>
          </cell>
          <cell r="N90">
            <v>0</v>
          </cell>
          <cell r="O90">
            <v>1</v>
          </cell>
          <cell r="P90">
            <v>226752622.27380022</v>
          </cell>
          <cell r="Q90">
            <v>0.25284882715292539</v>
          </cell>
          <cell r="R90">
            <v>0.74715117284707455</v>
          </cell>
        </row>
        <row r="91">
          <cell r="C91">
            <v>9.1376585173836206E-2</v>
          </cell>
          <cell r="D91">
            <v>4.3578166262721339E-2</v>
          </cell>
          <cell r="E91">
            <v>1.5647501421037862E-2</v>
          </cell>
          <cell r="F91">
            <v>0.36751344938564412</v>
          </cell>
          <cell r="G91">
            <v>0.12676686309729684</v>
          </cell>
          <cell r="H91">
            <v>7.9239003385834128E-4</v>
          </cell>
          <cell r="I91">
            <v>1.6904134041812836E-2</v>
          </cell>
          <cell r="J91">
            <v>2.4251816992745853E-2</v>
          </cell>
          <cell r="K91">
            <v>3.4260457436102294E-2</v>
          </cell>
          <cell r="L91">
            <v>7.4496258356358891E-3</v>
          </cell>
          <cell r="M91">
            <v>1.3534357178331009E-5</v>
          </cell>
          <cell r="N91">
            <v>0.27144547596213026</v>
          </cell>
          <cell r="O91">
            <v>1</v>
          </cell>
          <cell r="P91">
            <v>197062347.57176718</v>
          </cell>
          <cell r="Q91">
            <v>0.36751344938564412</v>
          </cell>
          <cell r="R91">
            <v>0.63248655061435588</v>
          </cell>
        </row>
        <row r="93">
          <cell r="B93" t="str">
            <v>(All)</v>
          </cell>
        </row>
        <row r="94">
          <cell r="B94" t="str">
            <v>(All)</v>
          </cell>
        </row>
        <row r="95">
          <cell r="B95" t="str">
            <v>(All)</v>
          </cell>
        </row>
        <row r="96">
          <cell r="B96" t="str">
            <v>(All)</v>
          </cell>
        </row>
        <row r="97">
          <cell r="B97" t="str">
            <v>(All)</v>
          </cell>
        </row>
        <row r="98">
          <cell r="B98" t="str">
            <v>2004-2013</v>
          </cell>
        </row>
        <row r="100">
          <cell r="C100" t="str">
            <v>Column Labels</v>
          </cell>
          <cell r="O100" t="str">
            <v>Heat Type Final</v>
          </cell>
        </row>
        <row r="101">
          <cell r="B101" t="str">
            <v>Size_Group</v>
          </cell>
          <cell r="C101" t="str">
            <v>Electricity</v>
          </cell>
          <cell r="D101" t="str">
            <v>Natural Gas</v>
          </cell>
          <cell r="E101" t="str">
            <v>Grand Total</v>
          </cell>
          <cell r="F101" t="str">
            <v>Total SF</v>
          </cell>
        </row>
        <row r="102">
          <cell r="C102">
            <v>0.19127215823254617</v>
          </cell>
          <cell r="D102">
            <v>0.80872784176745371</v>
          </cell>
          <cell r="E102">
            <v>1</v>
          </cell>
          <cell r="F102">
            <v>323583577.89067554</v>
          </cell>
          <cell r="J102" t="str">
            <v>Elect Share</v>
          </cell>
          <cell r="K102" t="str">
            <v>NG Share</v>
          </cell>
          <cell r="L102" t="str">
            <v>HP</v>
          </cell>
          <cell r="M102" t="str">
            <v>Elect</v>
          </cell>
          <cell r="P102" t="str">
            <v>NG</v>
          </cell>
          <cell r="Q102" t="str">
            <v>Elect</v>
          </cell>
          <cell r="R102" t="str">
            <v>HP</v>
          </cell>
        </row>
        <row r="103">
          <cell r="B103" t="str">
            <v>&lt;5,001</v>
          </cell>
          <cell r="C103">
            <v>0.34120957993445039</v>
          </cell>
          <cell r="D103">
            <v>0.65879042006554966</v>
          </cell>
          <cell r="E103">
            <v>1</v>
          </cell>
          <cell r="F103">
            <v>9815889.4471183456</v>
          </cell>
          <cell r="I103" t="str">
            <v>Assembly</v>
          </cell>
          <cell r="J103">
            <v>0.19127215823254617</v>
          </cell>
          <cell r="K103">
            <v>0.80872784176745371</v>
          </cell>
          <cell r="L103">
            <v>0.50965114798682787</v>
          </cell>
          <cell r="M103">
            <v>0.49034885201317213</v>
          </cell>
          <cell r="O103" t="str">
            <v>Large Off</v>
          </cell>
          <cell r="P103">
            <v>0.80872784176745371</v>
          </cell>
          <cell r="Q103">
            <v>9.379008321141083E-2</v>
          </cell>
          <cell r="R103">
            <v>9.7482075021135345E-2</v>
          </cell>
        </row>
        <row r="104">
          <cell r="B104" t="str">
            <v>5,001-20,000</v>
          </cell>
          <cell r="C104">
            <v>0.20553132715572342</v>
          </cell>
          <cell r="D104">
            <v>0.79446867284427658</v>
          </cell>
          <cell r="E104">
            <v>1</v>
          </cell>
          <cell r="F104">
            <v>16084444.905748043</v>
          </cell>
          <cell r="I104" t="str">
            <v>Supermarket</v>
          </cell>
          <cell r="J104">
            <v>6.8914388415774033E-2</v>
          </cell>
          <cell r="K104">
            <v>0.93108561158422598</v>
          </cell>
          <cell r="L104">
            <v>0.17084052379262782</v>
          </cell>
          <cell r="M104">
            <v>0.82915947620737218</v>
          </cell>
          <cell r="O104" t="str">
            <v>Medium Off</v>
          </cell>
          <cell r="P104">
            <v>0.93108561158422598</v>
          </cell>
          <cell r="Q104">
            <v>5.7141018201974592E-2</v>
          </cell>
          <cell r="R104">
            <v>1.1773370213799438E-2</v>
          </cell>
        </row>
        <row r="105">
          <cell r="B105" t="str">
            <v>20,001-50,000</v>
          </cell>
          <cell r="C105">
            <v>2.9445627872964144E-2</v>
          </cell>
          <cell r="D105">
            <v>0.97055437212703577</v>
          </cell>
          <cell r="E105">
            <v>1</v>
          </cell>
          <cell r="F105">
            <v>23241500.137925949</v>
          </cell>
          <cell r="I105" t="str">
            <v>Minimart</v>
          </cell>
          <cell r="J105">
            <v>0.34120957993445039</v>
          </cell>
          <cell r="K105">
            <v>0.65879042006554966</v>
          </cell>
          <cell r="L105">
            <v>0.81377752302949691</v>
          </cell>
          <cell r="M105">
            <v>0.18622247697050309</v>
          </cell>
          <cell r="O105" t="str">
            <v>Small Off</v>
          </cell>
          <cell r="P105">
            <v>0.65879042006554966</v>
          </cell>
          <cell r="Q105">
            <v>6.3540893141458221E-2</v>
          </cell>
          <cell r="R105">
            <v>0.27766868679299217</v>
          </cell>
        </row>
        <row r="106">
          <cell r="B106" t="str">
            <v>50,001-100,000</v>
          </cell>
          <cell r="C106">
            <v>0</v>
          </cell>
          <cell r="D106">
            <v>1</v>
          </cell>
          <cell r="E106">
            <v>1</v>
          </cell>
          <cell r="F106">
            <v>18575140.114893399</v>
          </cell>
          <cell r="I106" t="str">
            <v>Hospital</v>
          </cell>
          <cell r="J106">
            <v>0.69635535044967534</v>
          </cell>
          <cell r="K106">
            <v>0.30364464955032466</v>
          </cell>
          <cell r="L106">
            <v>0.25160789616687884</v>
          </cell>
          <cell r="M106">
            <v>0.74839210383312116</v>
          </cell>
          <cell r="O106" t="str">
            <v>Xlarge Ret</v>
          </cell>
          <cell r="P106">
            <v>0.30364464955032466</v>
          </cell>
          <cell r="Q106">
            <v>0.52114684573848291</v>
          </cell>
          <cell r="R106">
            <v>0.17520850471119245</v>
          </cell>
        </row>
        <row r="107">
          <cell r="C107">
            <v>0.79019796385281693</v>
          </cell>
          <cell r="D107">
            <v>0.20980203614718312</v>
          </cell>
          <cell r="E107">
            <v>1</v>
          </cell>
          <cell r="F107">
            <v>158846349.10849831</v>
          </cell>
          <cell r="I107" t="str">
            <v>Lodging</v>
          </cell>
          <cell r="J107">
            <v>0.79019796385281693</v>
          </cell>
          <cell r="K107">
            <v>0.20980203614718312</v>
          </cell>
          <cell r="L107">
            <v>0.18888064796136644</v>
          </cell>
          <cell r="M107">
            <v>0.8111193520386335</v>
          </cell>
          <cell r="O107" t="str">
            <v>Large Ret</v>
          </cell>
          <cell r="P107">
            <v>0.20980203614718312</v>
          </cell>
          <cell r="Q107">
            <v>0.64094486042254439</v>
          </cell>
          <cell r="R107">
            <v>0.14925310343027248</v>
          </cell>
        </row>
        <row r="108">
          <cell r="B108" t="str">
            <v>&lt;5,001</v>
          </cell>
          <cell r="C108">
            <v>0.46909449471346648</v>
          </cell>
          <cell r="D108">
            <v>0.53090550528653346</v>
          </cell>
          <cell r="E108">
            <v>1</v>
          </cell>
          <cell r="F108">
            <v>88922415.770519257</v>
          </cell>
          <cell r="I108" t="str">
            <v>Large Off</v>
          </cell>
          <cell r="J108">
            <v>0.57577270269147163</v>
          </cell>
          <cell r="K108">
            <v>0.42422729730852854</v>
          </cell>
          <cell r="L108">
            <v>2.4620135194388326E-2</v>
          </cell>
          <cell r="M108">
            <v>0.97537986480561178</v>
          </cell>
          <cell r="O108" t="str">
            <v>Medium Ret</v>
          </cell>
          <cell r="P108">
            <v>0.42422729730852854</v>
          </cell>
          <cell r="Q108">
            <v>0.56159710090996928</v>
          </cell>
          <cell r="R108">
            <v>1.4175601781502387E-2</v>
          </cell>
        </row>
        <row r="109">
          <cell r="B109" t="str">
            <v>5,001-20,000</v>
          </cell>
          <cell r="C109">
            <v>0.71327493880016912</v>
          </cell>
          <cell r="D109">
            <v>0.28672506119983077</v>
          </cell>
          <cell r="E109">
            <v>1</v>
          </cell>
          <cell r="F109">
            <v>154110090.46318847</v>
          </cell>
          <cell r="I109" t="str">
            <v>Medium Off</v>
          </cell>
          <cell r="J109">
            <v>0.55252560574833076</v>
          </cell>
          <cell r="K109">
            <v>0.44747439425166918</v>
          </cell>
          <cell r="L109">
            <v>0.63888505727240341</v>
          </cell>
          <cell r="M109">
            <v>0.36111494272759653</v>
          </cell>
          <cell r="O109" t="str">
            <v>Small Ret</v>
          </cell>
          <cell r="P109">
            <v>0.44747439425166918</v>
          </cell>
          <cell r="Q109">
            <v>0.19952525247533903</v>
          </cell>
          <cell r="R109">
            <v>0.35300035327299167</v>
          </cell>
        </row>
        <row r="110">
          <cell r="B110" t="str">
            <v>20,001-50,000</v>
          </cell>
          <cell r="C110">
            <v>0.34793939607281016</v>
          </cell>
          <cell r="D110">
            <v>0.6520606039271899</v>
          </cell>
          <cell r="E110">
            <v>1</v>
          </cell>
          <cell r="F110">
            <v>121088778.65134136</v>
          </cell>
          <cell r="I110" t="str">
            <v>Small Off</v>
          </cell>
          <cell r="J110">
            <v>0.46909449471346648</v>
          </cell>
          <cell r="K110">
            <v>0.53090550528653346</v>
          </cell>
          <cell r="L110">
            <v>0.52490452587958114</v>
          </cell>
          <cell r="M110">
            <v>0.47509547412041886</v>
          </cell>
          <cell r="O110" t="str">
            <v>School K-12</v>
          </cell>
          <cell r="P110">
            <v>0.53090550528653346</v>
          </cell>
          <cell r="Q110">
            <v>0.22286467137317267</v>
          </cell>
          <cell r="R110">
            <v>0.24622982334029381</v>
          </cell>
        </row>
        <row r="111">
          <cell r="B111" t="str">
            <v>50,001-100,000</v>
          </cell>
          <cell r="C111">
            <v>0.3310637482934789</v>
          </cell>
          <cell r="D111">
            <v>0.66893625170652105</v>
          </cell>
          <cell r="E111">
            <v>1</v>
          </cell>
          <cell r="F111">
            <v>83126914.229880497</v>
          </cell>
          <cell r="I111" t="str">
            <v>Other</v>
          </cell>
          <cell r="J111">
            <v>0.26961498794069311</v>
          </cell>
          <cell r="K111">
            <v>0.73038501205930684</v>
          </cell>
          <cell r="L111">
            <v>0.41080265497275703</v>
          </cell>
          <cell r="M111">
            <v>0.58919734502724297</v>
          </cell>
          <cell r="O111" t="str">
            <v>University</v>
          </cell>
          <cell r="P111">
            <v>0.73038501205930684</v>
          </cell>
          <cell r="Q111">
            <v>0.15885643507420852</v>
          </cell>
          <cell r="R111">
            <v>0.1107585528664846</v>
          </cell>
        </row>
        <row r="112">
          <cell r="B112" t="str">
            <v>100,001+</v>
          </cell>
          <cell r="C112">
            <v>0.70180602518837931</v>
          </cell>
          <cell r="D112">
            <v>0.29819397481162069</v>
          </cell>
          <cell r="E112">
            <v>1</v>
          </cell>
          <cell r="F112">
            <v>161400968.09734377</v>
          </cell>
          <cell r="I112" t="str">
            <v>residential care</v>
          </cell>
          <cell r="J112">
            <v>0.69635535044967534</v>
          </cell>
          <cell r="K112">
            <v>0.30364464955032466</v>
          </cell>
          <cell r="L112">
            <v>0.25160789616687884</v>
          </cell>
          <cell r="M112">
            <v>0.74839210383312116</v>
          </cell>
          <cell r="O112" t="str">
            <v>Warehouse</v>
          </cell>
          <cell r="P112">
            <v>0.30364464955032466</v>
          </cell>
          <cell r="Q112">
            <v>0.52114684573848291</v>
          </cell>
          <cell r="R112">
            <v>0.17520850471119245</v>
          </cell>
        </row>
        <row r="113">
          <cell r="C113">
            <v>0.26961498794069311</v>
          </cell>
          <cell r="D113">
            <v>0.73038501205930684</v>
          </cell>
          <cell r="E113">
            <v>1</v>
          </cell>
          <cell r="F113">
            <v>274835103.70914501</v>
          </cell>
          <cell r="I113" t="str">
            <v>Restaurant</v>
          </cell>
          <cell r="J113">
            <v>0.11544136812444949</v>
          </cell>
          <cell r="K113">
            <v>0.88455863187555051</v>
          </cell>
          <cell r="L113">
            <v>0.8667911132476972</v>
          </cell>
          <cell r="M113">
            <v>0.1332088867523028</v>
          </cell>
          <cell r="O113" t="str">
            <v>Supermarket</v>
          </cell>
          <cell r="P113">
            <v>0.88455863187555051</v>
          </cell>
          <cell r="Q113">
            <v>1.5377816133020691E-2</v>
          </cell>
          <cell r="R113">
            <v>0.1000635519914288</v>
          </cell>
        </row>
        <row r="114">
          <cell r="C114">
            <v>0.69635535044967534</v>
          </cell>
          <cell r="D114">
            <v>0.30364464955032466</v>
          </cell>
          <cell r="E114">
            <v>1</v>
          </cell>
          <cell r="F114">
            <v>117631709.17964283</v>
          </cell>
          <cell r="I114" t="str">
            <v>Xlarge Ret</v>
          </cell>
          <cell r="J114">
            <v>3.7919073269764856E-3</v>
          </cell>
          <cell r="K114">
            <v>0.99620809267302346</v>
          </cell>
          <cell r="L114">
            <v>1</v>
          </cell>
          <cell r="M114">
            <v>0</v>
          </cell>
          <cell r="O114" t="str">
            <v>MiniMart</v>
          </cell>
          <cell r="P114">
            <v>0.99620809267302346</v>
          </cell>
          <cell r="Q114">
            <v>0</v>
          </cell>
          <cell r="R114">
            <v>3.7919073269764856E-3</v>
          </cell>
        </row>
        <row r="115">
          <cell r="C115">
            <v>0.11544136812444949</v>
          </cell>
          <cell r="D115">
            <v>0.88455863187555051</v>
          </cell>
          <cell r="E115">
            <v>1</v>
          </cell>
          <cell r="F115">
            <v>47431959.763809502</v>
          </cell>
          <cell r="I115" t="str">
            <v>Large Ret</v>
          </cell>
          <cell r="J115">
            <v>0.11633093892826991</v>
          </cell>
          <cell r="K115">
            <v>0.88366906107173016</v>
          </cell>
          <cell r="L115">
            <v>0.52538539575341459</v>
          </cell>
          <cell r="M115">
            <v>0.47461460424658541</v>
          </cell>
          <cell r="O115" t="str">
            <v>Restaurant</v>
          </cell>
          <cell r="P115">
            <v>0.88366906107173016</v>
          </cell>
          <cell r="Q115">
            <v>5.5212362541074519E-2</v>
          </cell>
          <cell r="R115">
            <v>6.1118576387195395E-2</v>
          </cell>
        </row>
        <row r="116">
          <cell r="B116" t="str">
            <v>&lt;5,001</v>
          </cell>
          <cell r="C116">
            <v>0.25807376864155529</v>
          </cell>
          <cell r="D116">
            <v>0.74192623135844471</v>
          </cell>
          <cell r="E116">
            <v>1</v>
          </cell>
          <cell r="F116">
            <v>45229806.543296024</v>
          </cell>
          <cell r="I116" t="str">
            <v>Medium Ret</v>
          </cell>
          <cell r="J116">
            <v>0.46382631638129862</v>
          </cell>
          <cell r="K116">
            <v>0.53617368361870132</v>
          </cell>
          <cell r="L116">
            <v>0.25959218292260067</v>
          </cell>
          <cell r="M116">
            <v>0.74040781707739933</v>
          </cell>
          <cell r="O116" t="str">
            <v>Lodging</v>
          </cell>
          <cell r="P116">
            <v>0.53617368361870132</v>
          </cell>
          <cell r="Q116">
            <v>0.34342063041492848</v>
          </cell>
          <cell r="R116">
            <v>0.12040568596637012</v>
          </cell>
        </row>
        <row r="117">
          <cell r="B117" t="str">
            <v>5,001-20,000</v>
          </cell>
          <cell r="C117">
            <v>0.46382631638129862</v>
          </cell>
          <cell r="D117">
            <v>0.53617368361870132</v>
          </cell>
          <cell r="E117">
            <v>1</v>
          </cell>
          <cell r="F117">
            <v>142334439.47546965</v>
          </cell>
          <cell r="I117" t="str">
            <v>Small Ret</v>
          </cell>
          <cell r="J117">
            <v>0.25807376864155529</v>
          </cell>
          <cell r="K117">
            <v>0.74192623135844471</v>
          </cell>
          <cell r="L117">
            <v>0.6004457335185307</v>
          </cell>
          <cell r="M117">
            <v>0.3995542664814693</v>
          </cell>
          <cell r="O117" t="str">
            <v>Hospital</v>
          </cell>
          <cell r="P117">
            <v>0.74192623135844471</v>
          </cell>
          <cell r="Q117">
            <v>0.10311447532768504</v>
          </cell>
          <cell r="R117">
            <v>0.15495929331387026</v>
          </cell>
        </row>
        <row r="118">
          <cell r="B118" t="str">
            <v>20,001-50,000</v>
          </cell>
          <cell r="C118">
            <v>0.11633093892826991</v>
          </cell>
          <cell r="D118">
            <v>0.88366906107173016</v>
          </cell>
          <cell r="E118">
            <v>1</v>
          </cell>
          <cell r="F118">
            <v>150479652.53202388</v>
          </cell>
          <cell r="I118" t="str">
            <v>School K-12</v>
          </cell>
          <cell r="J118">
            <v>1.4242837102056283E-2</v>
          </cell>
          <cell r="K118">
            <v>0.98575716289794368</v>
          </cell>
          <cell r="L118">
            <v>0.60623284948217304</v>
          </cell>
          <cell r="M118">
            <v>0.39376715051782696</v>
          </cell>
          <cell r="O118" t="str">
            <v>Residential Care</v>
          </cell>
          <cell r="P118">
            <v>0.98575716289794368</v>
          </cell>
          <cell r="Q118">
            <v>5.6083613809662864E-3</v>
          </cell>
          <cell r="R118">
            <v>8.6344757210899958E-3</v>
          </cell>
        </row>
        <row r="119">
          <cell r="B119" t="str">
            <v>100,001+</v>
          </cell>
          <cell r="C119">
            <v>3.7919073269764856E-3</v>
          </cell>
          <cell r="D119">
            <v>0.99620809267302346</v>
          </cell>
          <cell r="E119">
            <v>1</v>
          </cell>
          <cell r="F119">
            <v>29532449.302067615</v>
          </cell>
          <cell r="I119" t="str">
            <v>University</v>
          </cell>
          <cell r="J119">
            <v>1.4242837102056283E-2</v>
          </cell>
          <cell r="K119">
            <v>0.98575716289794368</v>
          </cell>
          <cell r="L119">
            <v>0.60623284948217304</v>
          </cell>
          <cell r="M119">
            <v>0.39376715051782696</v>
          </cell>
          <cell r="O119" t="str">
            <v>Assembly</v>
          </cell>
          <cell r="P119">
            <v>0.98575716289794368</v>
          </cell>
          <cell r="Q119">
            <v>5.6083613809662864E-3</v>
          </cell>
          <cell r="R119">
            <v>8.6344757210899958E-3</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OG"/>
      <sheetName val="Pop Forecast (Base Case)"/>
      <sheetName val="Res Forecast (Base Case)"/>
      <sheetName val="Res Forecast (Low)"/>
      <sheetName val="Res Forecast (High)"/>
      <sheetName val="Com Forecast (Low)"/>
      <sheetName val="Com Forecast (Base Case)"/>
      <sheetName val="Com Forecast (High)"/>
      <sheetName val="Ind Forecast (Base Case)"/>
      <sheetName val="Ag Forecast (Base Case)"/>
      <sheetName val="DEI (Base Case)"/>
      <sheetName val="Pop Forecast (High Case)"/>
      <sheetName val="Pop Forecast (Low Case)"/>
      <sheetName val="7P Forecasts D2"/>
      <sheetName val="ProCost 6th Plan Inputs"/>
    </sheetNames>
    <sheetDataSet>
      <sheetData sheetId="0"/>
      <sheetData sheetId="1">
        <row r="5">
          <cell r="B5" t="str">
            <v>Abrev</v>
          </cell>
          <cell r="C5" t="str">
            <v>POPULATION FORECAST (1000s)</v>
          </cell>
          <cell r="D5" t="str">
            <v>Scenario</v>
          </cell>
          <cell r="E5">
            <v>1985</v>
          </cell>
          <cell r="F5">
            <v>1986</v>
          </cell>
          <cell r="G5">
            <v>1987</v>
          </cell>
          <cell r="H5">
            <v>1988</v>
          </cell>
          <cell r="I5">
            <v>1989</v>
          </cell>
          <cell r="J5">
            <v>1990</v>
          </cell>
          <cell r="K5">
            <v>1991</v>
          </cell>
          <cell r="L5">
            <v>1992</v>
          </cell>
          <cell r="M5">
            <v>1993</v>
          </cell>
          <cell r="N5">
            <v>1994</v>
          </cell>
          <cell r="O5">
            <v>1995</v>
          </cell>
          <cell r="P5">
            <v>1996</v>
          </cell>
          <cell r="Q5">
            <v>1997</v>
          </cell>
          <cell r="R5">
            <v>1998</v>
          </cell>
          <cell r="S5">
            <v>1999</v>
          </cell>
          <cell r="T5">
            <v>2000</v>
          </cell>
          <cell r="U5">
            <v>2001</v>
          </cell>
          <cell r="V5">
            <v>2002</v>
          </cell>
          <cell r="W5">
            <v>2003</v>
          </cell>
          <cell r="X5">
            <v>2004</v>
          </cell>
          <cell r="Y5">
            <v>2005</v>
          </cell>
          <cell r="Z5">
            <v>2006</v>
          </cell>
          <cell r="AA5">
            <v>2007</v>
          </cell>
          <cell r="AB5">
            <v>2008</v>
          </cell>
          <cell r="AC5">
            <v>2009</v>
          </cell>
          <cell r="AD5">
            <v>2010</v>
          </cell>
          <cell r="AE5">
            <v>2011</v>
          </cell>
          <cell r="AF5">
            <v>2012</v>
          </cell>
          <cell r="AG5">
            <v>2013</v>
          </cell>
          <cell r="AH5">
            <v>2014</v>
          </cell>
          <cell r="AI5">
            <v>2015</v>
          </cell>
          <cell r="AJ5">
            <v>2016</v>
          </cell>
          <cell r="AK5">
            <v>2017</v>
          </cell>
          <cell r="AL5">
            <v>2018</v>
          </cell>
          <cell r="AM5">
            <v>2019</v>
          </cell>
          <cell r="AN5">
            <v>2020</v>
          </cell>
          <cell r="AO5">
            <v>2021</v>
          </cell>
          <cell r="AP5">
            <v>2022</v>
          </cell>
          <cell r="AQ5">
            <v>2023</v>
          </cell>
          <cell r="AR5">
            <v>2024</v>
          </cell>
          <cell r="AS5">
            <v>2025</v>
          </cell>
          <cell r="AT5">
            <v>2026</v>
          </cell>
          <cell r="AU5">
            <v>2027</v>
          </cell>
          <cell r="AV5">
            <v>2028</v>
          </cell>
          <cell r="AW5">
            <v>2029</v>
          </cell>
          <cell r="AX5">
            <v>2030</v>
          </cell>
          <cell r="AY5">
            <v>2031</v>
          </cell>
          <cell r="AZ5">
            <v>2032</v>
          </cell>
          <cell r="BA5">
            <v>2033</v>
          </cell>
          <cell r="BB5">
            <v>2034</v>
          </cell>
          <cell r="BC5">
            <v>2035</v>
          </cell>
        </row>
        <row r="6">
          <cell r="B6" t="str">
            <v>Or</v>
          </cell>
          <cell r="C6" t="str">
            <v>Oregon</v>
          </cell>
          <cell r="D6" t="str">
            <v>Trend (basecase)</v>
          </cell>
          <cell r="E6">
            <v>2674.306</v>
          </cell>
          <cell r="F6">
            <v>2686.1149999999998</v>
          </cell>
          <cell r="G6">
            <v>2707.4250000000002</v>
          </cell>
          <cell r="H6">
            <v>2747.9569999999999</v>
          </cell>
          <cell r="I6">
            <v>2800.471</v>
          </cell>
          <cell r="J6">
            <v>2868.6590000000001</v>
          </cell>
          <cell r="K6">
            <v>2935.9960000000001</v>
          </cell>
          <cell r="L6">
            <v>3000.55</v>
          </cell>
          <cell r="M6">
            <v>3067.395</v>
          </cell>
          <cell r="N6">
            <v>3129.1930000000002</v>
          </cell>
          <cell r="O6">
            <v>3192.0929999999998</v>
          </cell>
          <cell r="P6">
            <v>3253.8310000000001</v>
          </cell>
          <cell r="Q6">
            <v>3309.7</v>
          </cell>
          <cell r="R6">
            <v>3357.1759999999999</v>
          </cell>
          <cell r="S6">
            <v>3398.232</v>
          </cell>
          <cell r="T6">
            <v>3434.8069999999998</v>
          </cell>
          <cell r="U6">
            <v>3474.0340000000001</v>
          </cell>
          <cell r="V6">
            <v>3516.915</v>
          </cell>
          <cell r="W6">
            <v>3549.38</v>
          </cell>
          <cell r="X6">
            <v>3576.2510000000002</v>
          </cell>
          <cell r="Y6">
            <v>3621.221</v>
          </cell>
          <cell r="Z6">
            <v>3676.88</v>
          </cell>
          <cell r="AA6">
            <v>3727.835</v>
          </cell>
          <cell r="AB6">
            <v>3773.288</v>
          </cell>
          <cell r="AC6">
            <v>3811.7179999999998</v>
          </cell>
          <cell r="AD6">
            <v>3841.4360000000001</v>
          </cell>
          <cell r="AE6">
            <v>3871.9769999999999</v>
          </cell>
          <cell r="AF6">
            <v>3903.4650000000001</v>
          </cell>
          <cell r="AG6">
            <v>3934.049</v>
          </cell>
          <cell r="AH6">
            <v>3966.8829999999998</v>
          </cell>
          <cell r="AI6">
            <v>4002.799</v>
          </cell>
          <cell r="AJ6">
            <v>4039.9940000000001</v>
          </cell>
          <cell r="AK6">
            <v>4078.125</v>
          </cell>
          <cell r="AL6">
            <v>4116.6090000000004</v>
          </cell>
          <cell r="AM6">
            <v>4154.674</v>
          </cell>
          <cell r="AN6">
            <v>4192.0780000000004</v>
          </cell>
          <cell r="AO6">
            <v>4228.7430000000004</v>
          </cell>
          <cell r="AP6">
            <v>4264.6490000000003</v>
          </cell>
          <cell r="AQ6">
            <v>4299.7920000000004</v>
          </cell>
          <cell r="AR6">
            <v>4334.1710000000003</v>
          </cell>
          <cell r="AS6">
            <v>4367.7330000000002</v>
          </cell>
          <cell r="AT6">
            <v>4400.4340000000002</v>
          </cell>
          <cell r="AU6">
            <v>4432.5820000000003</v>
          </cell>
          <cell r="AV6">
            <v>4464.3519999999999</v>
          </cell>
          <cell r="AW6">
            <v>4495.7730000000001</v>
          </cell>
          <cell r="AX6">
            <v>4526.8729999999996</v>
          </cell>
          <cell r="AY6">
            <v>4557.6930000000002</v>
          </cell>
          <cell r="AZ6">
            <v>4588.2659999999996</v>
          </cell>
          <cell r="BA6">
            <v>4618.6210000000001</v>
          </cell>
          <cell r="BB6">
            <v>4648.692</v>
          </cell>
          <cell r="BC6">
            <v>4678.3620000000001</v>
          </cell>
        </row>
        <row r="7">
          <cell r="B7" t="str">
            <v>WA</v>
          </cell>
          <cell r="C7" t="str">
            <v>Washington</v>
          </cell>
          <cell r="D7" t="str">
            <v>Trend (basecase)</v>
          </cell>
          <cell r="E7">
            <v>4406.3850000000002</v>
          </cell>
          <cell r="F7">
            <v>4464.1899999999996</v>
          </cell>
          <cell r="G7">
            <v>4547.0309999999999</v>
          </cell>
          <cell r="H7">
            <v>4652.9070000000002</v>
          </cell>
          <cell r="I7">
            <v>4768.7150000000001</v>
          </cell>
          <cell r="J7">
            <v>4915.9459999999999</v>
          </cell>
          <cell r="K7">
            <v>5043.0330000000004</v>
          </cell>
          <cell r="L7">
            <v>5174.2219999999998</v>
          </cell>
          <cell r="M7">
            <v>5289.3639999999996</v>
          </cell>
          <cell r="N7">
            <v>5388.8370000000004</v>
          </cell>
          <cell r="O7">
            <v>5490.92</v>
          </cell>
          <cell r="P7">
            <v>5583.7539999999999</v>
          </cell>
          <cell r="Q7">
            <v>5685.8310000000001</v>
          </cell>
          <cell r="R7">
            <v>5777.2370000000001</v>
          </cell>
          <cell r="S7">
            <v>5850.9089999999997</v>
          </cell>
          <cell r="T7">
            <v>5920.5039999999999</v>
          </cell>
          <cell r="U7">
            <v>5993.451</v>
          </cell>
          <cell r="V7">
            <v>6057.85</v>
          </cell>
          <cell r="W7">
            <v>6114.7939999999999</v>
          </cell>
          <cell r="X7">
            <v>6188.66</v>
          </cell>
          <cell r="Y7">
            <v>6273.5249999999996</v>
          </cell>
          <cell r="Z7">
            <v>6380.576</v>
          </cell>
          <cell r="AA7">
            <v>6474.665</v>
          </cell>
          <cell r="AB7">
            <v>6575.5370000000003</v>
          </cell>
          <cell r="AC7">
            <v>6675.0910000000003</v>
          </cell>
          <cell r="AD7">
            <v>6752.683</v>
          </cell>
          <cell r="AE7">
            <v>6830.3310000000001</v>
          </cell>
          <cell r="AF7">
            <v>6904.9059999999999</v>
          </cell>
          <cell r="AG7">
            <v>6981</v>
          </cell>
          <cell r="AH7">
            <v>7058.0010000000002</v>
          </cell>
          <cell r="AI7">
            <v>7134.8850000000002</v>
          </cell>
          <cell r="AJ7">
            <v>7210.4989999999998</v>
          </cell>
          <cell r="AK7">
            <v>7285.5159999999996</v>
          </cell>
          <cell r="AL7">
            <v>7360.0730000000003</v>
          </cell>
          <cell r="AM7">
            <v>7433.7640000000001</v>
          </cell>
          <cell r="AN7">
            <v>7506.3230000000003</v>
          </cell>
          <cell r="AO7">
            <v>7577.2960000000003</v>
          </cell>
          <cell r="AP7">
            <v>7646.607</v>
          </cell>
          <cell r="AQ7">
            <v>7714.268</v>
          </cell>
          <cell r="AR7">
            <v>7780.4369999999999</v>
          </cell>
          <cell r="AS7">
            <v>7845.4889999999996</v>
          </cell>
          <cell r="AT7">
            <v>7909.7030000000004</v>
          </cell>
          <cell r="AU7">
            <v>7973.1719999999996</v>
          </cell>
          <cell r="AV7">
            <v>8035.9170000000004</v>
          </cell>
          <cell r="AW7">
            <v>8097.9880000000003</v>
          </cell>
          <cell r="AX7">
            <v>8159.4440000000004</v>
          </cell>
          <cell r="AY7">
            <v>8220.3349999999991</v>
          </cell>
          <cell r="AZ7">
            <v>8280.7260000000006</v>
          </cell>
          <cell r="BA7">
            <v>8340.6640000000007</v>
          </cell>
          <cell r="BB7">
            <v>8400.2720000000008</v>
          </cell>
          <cell r="BC7">
            <v>8459.8109999999997</v>
          </cell>
        </row>
        <row r="8">
          <cell r="B8" t="str">
            <v>ID</v>
          </cell>
          <cell r="C8" t="str">
            <v>Idaho</v>
          </cell>
          <cell r="D8" t="str">
            <v>Trend (basecase)</v>
          </cell>
          <cell r="E8">
            <v>993.13199999999995</v>
          </cell>
          <cell r="F8">
            <v>989.48</v>
          </cell>
          <cell r="G8">
            <v>985.447</v>
          </cell>
          <cell r="H8">
            <v>987.25800000000004</v>
          </cell>
          <cell r="I8">
            <v>997.22299999999996</v>
          </cell>
          <cell r="J8">
            <v>1016.634</v>
          </cell>
          <cell r="K8">
            <v>1045.135</v>
          </cell>
          <cell r="L8">
            <v>1076.6510000000001</v>
          </cell>
          <cell r="M8">
            <v>1113.1759999999999</v>
          </cell>
          <cell r="N8">
            <v>1148.825</v>
          </cell>
          <cell r="O8">
            <v>1180.0889999999999</v>
          </cell>
          <cell r="P8">
            <v>1206.2</v>
          </cell>
          <cell r="Q8">
            <v>1231.357</v>
          </cell>
          <cell r="R8">
            <v>1255.1849999999999</v>
          </cell>
          <cell r="S8">
            <v>1278.7760000000001</v>
          </cell>
          <cell r="T8">
            <v>1301.894</v>
          </cell>
          <cell r="U8">
            <v>1322.481</v>
          </cell>
          <cell r="V8">
            <v>1343.3820000000001</v>
          </cell>
          <cell r="W8">
            <v>1367.23</v>
          </cell>
          <cell r="X8">
            <v>1396.7929999999999</v>
          </cell>
          <cell r="Y8">
            <v>1433.46</v>
          </cell>
          <cell r="Z8">
            <v>1472.8989999999999</v>
          </cell>
          <cell r="AA8">
            <v>1508.2539999999999</v>
          </cell>
          <cell r="AB8">
            <v>1536.239</v>
          </cell>
          <cell r="AC8">
            <v>1556.479</v>
          </cell>
          <cell r="AD8">
            <v>1572.4290000000001</v>
          </cell>
          <cell r="AE8">
            <v>1585.2860000000001</v>
          </cell>
          <cell r="AF8">
            <v>1597.952</v>
          </cell>
          <cell r="AG8">
            <v>1614.3810000000001</v>
          </cell>
          <cell r="AH8">
            <v>1633.1020000000001</v>
          </cell>
          <cell r="AI8">
            <v>1653.616</v>
          </cell>
          <cell r="AJ8">
            <v>1675.2660000000001</v>
          </cell>
          <cell r="AK8">
            <v>1698.1659999999999</v>
          </cell>
          <cell r="AL8">
            <v>1722.0160000000001</v>
          </cell>
          <cell r="AM8">
            <v>1746.183</v>
          </cell>
          <cell r="AN8">
            <v>1770.4179999999999</v>
          </cell>
          <cell r="AO8">
            <v>1794.69</v>
          </cell>
          <cell r="AP8">
            <v>1818.9970000000001</v>
          </cell>
          <cell r="AQ8">
            <v>1843.36</v>
          </cell>
          <cell r="AR8">
            <v>1867.77</v>
          </cell>
          <cell r="AS8">
            <v>1892.2149999999999</v>
          </cell>
          <cell r="AT8">
            <v>1916.6949999999999</v>
          </cell>
          <cell r="AU8">
            <v>1941.2059999999999</v>
          </cell>
          <cell r="AV8">
            <v>1965.741</v>
          </cell>
          <cell r="AW8">
            <v>1990.2360000000001</v>
          </cell>
          <cell r="AX8">
            <v>2014.665</v>
          </cell>
          <cell r="AY8">
            <v>2039.0309999999999</v>
          </cell>
          <cell r="AZ8">
            <v>2063.33</v>
          </cell>
          <cell r="BA8">
            <v>2087.5639999999999</v>
          </cell>
          <cell r="BB8">
            <v>2111.7449999999999</v>
          </cell>
          <cell r="BC8">
            <v>2135.9479999999999</v>
          </cell>
        </row>
        <row r="9">
          <cell r="B9" t="str">
            <v>MT</v>
          </cell>
          <cell r="C9" t="str">
            <v>Montana</v>
          </cell>
          <cell r="D9" t="str">
            <v>Trend (basecase)</v>
          </cell>
          <cell r="E9">
            <v>820.61699999999996</v>
          </cell>
          <cell r="F9">
            <v>812.64099999999996</v>
          </cell>
          <cell r="G9">
            <v>804.69</v>
          </cell>
          <cell r="H9">
            <v>800.39700000000005</v>
          </cell>
          <cell r="I9">
            <v>799.77599999999995</v>
          </cell>
          <cell r="J9">
            <v>801.93899999999996</v>
          </cell>
          <cell r="K9">
            <v>812.08500000000004</v>
          </cell>
          <cell r="L9">
            <v>828.29399999999998</v>
          </cell>
          <cell r="M9">
            <v>846.649</v>
          </cell>
          <cell r="N9">
            <v>863.10900000000004</v>
          </cell>
          <cell r="O9">
            <v>877.40700000000004</v>
          </cell>
          <cell r="P9">
            <v>886.32100000000003</v>
          </cell>
          <cell r="Q9">
            <v>890.12</v>
          </cell>
          <cell r="R9">
            <v>893.221</v>
          </cell>
          <cell r="S9">
            <v>898.36199999999997</v>
          </cell>
          <cell r="T9">
            <v>903.97699999999998</v>
          </cell>
          <cell r="U9">
            <v>907.64300000000003</v>
          </cell>
          <cell r="V9">
            <v>912.86199999999997</v>
          </cell>
          <cell r="W9">
            <v>921.07</v>
          </cell>
          <cell r="X9">
            <v>931.24400000000003</v>
          </cell>
          <cell r="Y9">
            <v>941.82</v>
          </cell>
          <cell r="Z9">
            <v>954.14599999999996</v>
          </cell>
          <cell r="AA9">
            <v>966.13900000000001</v>
          </cell>
          <cell r="AB9">
            <v>977.09500000000003</v>
          </cell>
          <cell r="AC9">
            <v>984.86599999999999</v>
          </cell>
          <cell r="AD9">
            <v>991.57600000000002</v>
          </cell>
          <cell r="AE9">
            <v>998.63499999999999</v>
          </cell>
          <cell r="AF9">
            <v>1006.807</v>
          </cell>
          <cell r="AG9">
            <v>1016.352</v>
          </cell>
          <cell r="AH9">
            <v>1025.7760000000001</v>
          </cell>
          <cell r="AI9">
            <v>1034.779</v>
          </cell>
          <cell r="AJ9">
            <v>1043.723</v>
          </cell>
          <cell r="AK9">
            <v>1052.69</v>
          </cell>
          <cell r="AL9">
            <v>1061.3920000000001</v>
          </cell>
          <cell r="AM9">
            <v>1069.5709999999999</v>
          </cell>
          <cell r="AN9">
            <v>1077.162</v>
          </cell>
          <cell r="AO9">
            <v>1084.1869999999999</v>
          </cell>
          <cell r="AP9">
            <v>1090.6420000000001</v>
          </cell>
          <cell r="AQ9">
            <v>1096.5219999999999</v>
          </cell>
          <cell r="AR9">
            <v>1101.83</v>
          </cell>
          <cell r="AS9">
            <v>1106.683</v>
          </cell>
          <cell r="AT9">
            <v>1111.384</v>
          </cell>
          <cell r="AU9">
            <v>1115.998</v>
          </cell>
          <cell r="AV9">
            <v>1120.511</v>
          </cell>
          <cell r="AW9">
            <v>1124.9100000000001</v>
          </cell>
          <cell r="AX9">
            <v>1129.1980000000001</v>
          </cell>
          <cell r="AY9">
            <v>1133.386</v>
          </cell>
          <cell r="AZ9">
            <v>1137.4849999999999</v>
          </cell>
          <cell r="BA9">
            <v>1141.509</v>
          </cell>
          <cell r="BB9">
            <v>1145.4690000000001</v>
          </cell>
          <cell r="BC9">
            <v>1149.357</v>
          </cell>
        </row>
        <row r="10">
          <cell r="B10" t="str">
            <v>Region</v>
          </cell>
          <cell r="C10" t="str">
            <v>Region (with WMT only)</v>
          </cell>
          <cell r="D10" t="str">
            <v>Trend (basecase)</v>
          </cell>
          <cell r="E10">
            <v>8541.5746899999995</v>
          </cell>
          <cell r="F10">
            <v>8602.9903699999995</v>
          </cell>
          <cell r="G10">
            <v>8698.5763000000006</v>
          </cell>
          <cell r="H10">
            <v>8844.3482899999999</v>
          </cell>
          <cell r="I10">
            <v>9022.2813200000001</v>
          </cell>
          <cell r="J10">
            <v>9258.3442299999988</v>
          </cell>
          <cell r="K10">
            <v>9487.052450000001</v>
          </cell>
          <cell r="L10">
            <v>9723.550580000001</v>
          </cell>
          <cell r="M10">
            <v>9952.5249299999996</v>
          </cell>
          <cell r="N10">
            <v>10158.827130000001</v>
          </cell>
          <cell r="O10">
            <v>10363.223989999999</v>
          </cell>
          <cell r="P10">
            <v>10548.98797</v>
          </cell>
          <cell r="Q10">
            <v>10734.256399999998</v>
          </cell>
          <cell r="R10">
            <v>10898.733969999999</v>
          </cell>
          <cell r="S10">
            <v>11039.983339999999</v>
          </cell>
          <cell r="T10">
            <v>11172.471890000001</v>
          </cell>
          <cell r="U10">
            <v>11307.32251</v>
          </cell>
          <cell r="V10">
            <v>11438.47834</v>
          </cell>
          <cell r="W10">
            <v>11556.4139</v>
          </cell>
          <cell r="X10">
            <v>11692.513080000001</v>
          </cell>
          <cell r="Y10">
            <v>11865.043399999999</v>
          </cell>
          <cell r="Z10">
            <v>12074.218219999999</v>
          </cell>
          <cell r="AA10">
            <v>12261.453230000001</v>
          </cell>
          <cell r="AB10">
            <v>12442.00815</v>
          </cell>
          <cell r="AC10">
            <v>12604.661620000001</v>
          </cell>
          <cell r="AD10">
            <v>12731.74632</v>
          </cell>
          <cell r="AE10">
            <v>12856.81595</v>
          </cell>
          <cell r="AF10">
            <v>12980.202989999998</v>
          </cell>
          <cell r="AG10">
            <v>13108.750639999998</v>
          </cell>
          <cell r="AH10">
            <v>13242.678320000001</v>
          </cell>
          <cell r="AI10">
            <v>13381.124030000001</v>
          </cell>
          <cell r="AJ10">
            <v>13520.68111</v>
          </cell>
          <cell r="AK10">
            <v>13661.840299999998</v>
          </cell>
          <cell r="AL10">
            <v>13803.691440000001</v>
          </cell>
          <cell r="AM10">
            <v>13944.276469999999</v>
          </cell>
          <cell r="AN10">
            <v>14082.801340000002</v>
          </cell>
          <cell r="AO10">
            <v>14218.715590000002</v>
          </cell>
          <cell r="AP10">
            <v>14351.918940000001</v>
          </cell>
          <cell r="AQ10">
            <v>14482.437540000003</v>
          </cell>
          <cell r="AR10">
            <v>14610.4211</v>
          </cell>
          <cell r="AS10">
            <v>14736.24631</v>
          </cell>
          <cell r="AT10">
            <v>14860.320880000001</v>
          </cell>
          <cell r="AU10">
            <v>14983.078860000001</v>
          </cell>
          <cell r="AV10">
            <v>15104.70127</v>
          </cell>
          <cell r="AW10">
            <v>15225.195700000002</v>
          </cell>
          <cell r="AX10">
            <v>15344.62486</v>
          </cell>
          <cell r="AY10">
            <v>15463.089019999998</v>
          </cell>
          <cell r="AZ10">
            <v>15580.68845</v>
          </cell>
          <cell r="BA10">
            <v>15697.50913</v>
          </cell>
          <cell r="BB10">
            <v>15813.626329999999</v>
          </cell>
          <cell r="BC10">
            <v>15929.254489999999</v>
          </cell>
        </row>
      </sheetData>
      <sheetData sheetId="2"/>
      <sheetData sheetId="3"/>
      <sheetData sheetId="4"/>
      <sheetData sheetId="5"/>
      <sheetData sheetId="6">
        <row r="187">
          <cell r="AJ187">
            <v>380.08828477966154</v>
          </cell>
          <cell r="AK187">
            <v>378.94801992532251</v>
          </cell>
          <cell r="AL187">
            <v>377.81117586554655</v>
          </cell>
          <cell r="AM187">
            <v>376.67774233794995</v>
          </cell>
          <cell r="AN187">
            <v>375.54770911093607</v>
          </cell>
          <cell r="AO187">
            <v>374.42106598360328</v>
          </cell>
          <cell r="AP187">
            <v>373.29780278565244</v>
          </cell>
          <cell r="AQ187">
            <v>372.17790937729552</v>
          </cell>
          <cell r="AR187">
            <v>371.06137564916361</v>
          </cell>
          <cell r="AS187">
            <v>369.94819152221612</v>
          </cell>
          <cell r="AT187">
            <v>368.83834694764948</v>
          </cell>
          <cell r="AU187">
            <v>367.73183190680658</v>
          </cell>
          <cell r="AV187">
            <v>366.62863641108612</v>
          </cell>
          <cell r="AW187">
            <v>365.52875050185287</v>
          </cell>
          <cell r="AX187">
            <v>364.43216425034728</v>
          </cell>
          <cell r="AY187">
            <v>363.33886775759629</v>
          </cell>
          <cell r="AZ187">
            <v>362.24885115432346</v>
          </cell>
          <cell r="BA187">
            <v>361.16210460086046</v>
          </cell>
          <cell r="BB187">
            <v>360.07861828705791</v>
          </cell>
          <cell r="BC187">
            <v>358.99838243219671</v>
          </cell>
        </row>
        <row r="188">
          <cell r="AJ188">
            <v>190.73687138333023</v>
          </cell>
          <cell r="AK188">
            <v>190.16466076918024</v>
          </cell>
          <cell r="AL188">
            <v>189.59416678687271</v>
          </cell>
          <cell r="AM188">
            <v>189.02538428651209</v>
          </cell>
          <cell r="AN188">
            <v>188.45830813365254</v>
          </cell>
          <cell r="AO188">
            <v>187.89293320925157</v>
          </cell>
          <cell r="AP188">
            <v>187.32925440962381</v>
          </cell>
          <cell r="AQ188">
            <v>186.76726664639497</v>
          </cell>
          <cell r="AR188">
            <v>186.20696484645578</v>
          </cell>
          <cell r="AS188">
            <v>185.64834395191642</v>
          </cell>
          <cell r="AT188">
            <v>185.09139892006067</v>
          </cell>
          <cell r="AU188">
            <v>184.5361247233005</v>
          </cell>
          <cell r="AV188">
            <v>183.98251634913058</v>
          </cell>
          <cell r="AW188">
            <v>183.43056880008319</v>
          </cell>
          <cell r="AX188">
            <v>182.88027709368296</v>
          </cell>
          <cell r="AY188">
            <v>182.33163626240187</v>
          </cell>
          <cell r="AZ188">
            <v>181.78464135361469</v>
          </cell>
          <cell r="BA188">
            <v>181.23928742955383</v>
          </cell>
          <cell r="BB188">
            <v>180.69556956726515</v>
          </cell>
          <cell r="BC188">
            <v>180.15348285856339</v>
          </cell>
        </row>
        <row r="189">
          <cell r="AJ189">
            <v>184.0913556049378</v>
          </cell>
          <cell r="AK189">
            <v>183.53908153812301</v>
          </cell>
          <cell r="AL189">
            <v>182.98846429350866</v>
          </cell>
          <cell r="AM189">
            <v>182.43949890062811</v>
          </cell>
          <cell r="AN189">
            <v>181.89218040392623</v>
          </cell>
          <cell r="AO189">
            <v>181.34650386271446</v>
          </cell>
          <cell r="AP189">
            <v>180.80246435112633</v>
          </cell>
          <cell r="AQ189">
            <v>180.26005695807294</v>
          </cell>
          <cell r="AR189">
            <v>179.71927678719871</v>
          </cell>
          <cell r="AS189">
            <v>179.18011895683713</v>
          </cell>
          <cell r="AT189">
            <v>178.64257859996661</v>
          </cell>
          <cell r="AU189">
            <v>178.10665086416668</v>
          </cell>
          <cell r="AV189">
            <v>177.57233091157423</v>
          </cell>
          <cell r="AW189">
            <v>177.03961391883951</v>
          </cell>
          <cell r="AX189">
            <v>176.50849507708296</v>
          </cell>
          <cell r="AY189">
            <v>175.97896959185172</v>
          </cell>
          <cell r="AZ189">
            <v>175.45103268307616</v>
          </cell>
          <cell r="BA189">
            <v>174.92467958502692</v>
          </cell>
          <cell r="BB189">
            <v>174.39990554627184</v>
          </cell>
          <cell r="BC189">
            <v>173.87670582963304</v>
          </cell>
        </row>
        <row r="190">
          <cell r="AJ190">
            <v>138.35734062238015</v>
          </cell>
          <cell r="AK190">
            <v>137.7208968555172</v>
          </cell>
          <cell r="AL190">
            <v>137.08738072998179</v>
          </cell>
          <cell r="AM190">
            <v>136.45677877862389</v>
          </cell>
          <cell r="AN190">
            <v>135.8290775962422</v>
          </cell>
          <cell r="AO190">
            <v>135.20426383929947</v>
          </cell>
          <cell r="AP190">
            <v>134.5823242256387</v>
          </cell>
          <cell r="AQ190">
            <v>133.96324553420075</v>
          </cell>
          <cell r="AR190">
            <v>133.34701460474344</v>
          </cell>
          <cell r="AS190">
            <v>132.73361833756161</v>
          </cell>
          <cell r="AT190">
            <v>132.12304369320884</v>
          </cell>
          <cell r="AU190">
            <v>131.51527769222005</v>
          </cell>
          <cell r="AV190">
            <v>130.91030741483584</v>
          </cell>
          <cell r="AW190">
            <v>130.3081200007276</v>
          </cell>
          <cell r="AX190">
            <v>129.70870264872423</v>
          </cell>
          <cell r="AY190">
            <v>129.11204261654012</v>
          </cell>
          <cell r="AZ190">
            <v>128.51812722050403</v>
          </cell>
          <cell r="BA190">
            <v>127.92694383528971</v>
          </cell>
          <cell r="BB190">
            <v>127.33847989364737</v>
          </cell>
          <cell r="BC190">
            <v>126.75272288613657</v>
          </cell>
        </row>
        <row r="191">
          <cell r="AJ191">
            <v>208.9574509880029</v>
          </cell>
          <cell r="AK191">
            <v>207.99624671345808</v>
          </cell>
          <cell r="AL191">
            <v>207.03946397857615</v>
          </cell>
          <cell r="AM191">
            <v>206.0870824442747</v>
          </cell>
          <cell r="AN191">
            <v>205.13908186503102</v>
          </cell>
          <cell r="AO191">
            <v>204.1954420884519</v>
          </cell>
          <cell r="AP191">
            <v>203.25614305484498</v>
          </cell>
          <cell r="AQ191">
            <v>202.32116479679266</v>
          </cell>
          <cell r="AR191">
            <v>201.3904874387274</v>
          </cell>
          <cell r="AS191">
            <v>200.46409119650929</v>
          </cell>
          <cell r="AT191">
            <v>199.54195637700533</v>
          </cell>
          <cell r="AU191">
            <v>198.62406337767112</v>
          </cell>
          <cell r="AV191">
            <v>197.71039268613379</v>
          </cell>
          <cell r="AW191">
            <v>196.8009248797776</v>
          </cell>
          <cell r="AX191">
            <v>195.8956406253306</v>
          </cell>
          <cell r="AY191">
            <v>194.99452067845405</v>
          </cell>
          <cell r="AZ191">
            <v>194.09754588333314</v>
          </cell>
          <cell r="BA191">
            <v>193.20469717226982</v>
          </cell>
          <cell r="BB191">
            <v>192.31595556527733</v>
          </cell>
          <cell r="BC191">
            <v>191.43130216967708</v>
          </cell>
        </row>
        <row r="192">
          <cell r="AJ192">
            <v>97.115689913224898</v>
          </cell>
          <cell r="AK192">
            <v>96.668957739624062</v>
          </cell>
          <cell r="AL192">
            <v>96.224280534021787</v>
          </cell>
          <cell r="AM192">
            <v>95.781648843565293</v>
          </cell>
          <cell r="AN192">
            <v>95.34105325888487</v>
          </cell>
          <cell r="AO192">
            <v>94.902484413894001</v>
          </cell>
          <cell r="AP192">
            <v>94.465932985590086</v>
          </cell>
          <cell r="AQ192">
            <v>94.031389693856369</v>
          </cell>
          <cell r="AR192">
            <v>93.598845301264618</v>
          </cell>
          <cell r="AS192">
            <v>93.168290612878806</v>
          </cell>
          <cell r="AT192">
            <v>92.739716476059556</v>
          </cell>
          <cell r="AU192">
            <v>92.313113780269674</v>
          </cell>
          <cell r="AV192">
            <v>91.888473456880433</v>
          </cell>
          <cell r="AW192">
            <v>91.465786478978771</v>
          </cell>
          <cell r="AX192">
            <v>91.045043861175472</v>
          </cell>
          <cell r="AY192">
            <v>90.626236659414062</v>
          </cell>
          <cell r="AZ192">
            <v>90.209355970780734</v>
          </cell>
          <cell r="BA192">
            <v>89.794392933315152</v>
          </cell>
          <cell r="BB192">
            <v>89.381338725821905</v>
          </cell>
          <cell r="BC192">
            <v>88.97018456768312</v>
          </cell>
        </row>
        <row r="193">
          <cell r="AJ193">
            <v>109.47966092768364</v>
          </cell>
          <cell r="AK193">
            <v>108.97605448741629</v>
          </cell>
          <cell r="AL193">
            <v>108.47476463677417</v>
          </cell>
          <cell r="AM193">
            <v>107.975780719445</v>
          </cell>
          <cell r="AN193">
            <v>107.47909212813555</v>
          </cell>
          <cell r="AO193">
            <v>106.98468830434612</v>
          </cell>
          <cell r="AP193">
            <v>106.49255873814613</v>
          </cell>
          <cell r="AQ193">
            <v>106.00269296795065</v>
          </cell>
          <cell r="AR193">
            <v>105.51508058029808</v>
          </cell>
          <cell r="AS193">
            <v>105.0297112096287</v>
          </cell>
          <cell r="AT193">
            <v>104.54657453806439</v>
          </cell>
          <cell r="AU193">
            <v>104.0656602951893</v>
          </cell>
          <cell r="AV193">
            <v>103.58695825783141</v>
          </cell>
          <cell r="AW193">
            <v>103.11045824984539</v>
          </cell>
          <cell r="AX193">
            <v>102.6361501418961</v>
          </cell>
          <cell r="AY193">
            <v>102.16402385124337</v>
          </cell>
          <cell r="AZ193">
            <v>101.69406934152764</v>
          </cell>
          <cell r="BA193">
            <v>101.2262766225566</v>
          </cell>
          <cell r="BB193">
            <v>100.76063575009285</v>
          </cell>
          <cell r="BC193">
            <v>100.29713682564241</v>
          </cell>
        </row>
        <row r="194">
          <cell r="AJ194">
            <v>241.11763975818661</v>
          </cell>
          <cell r="AK194">
            <v>240.12905743517803</v>
          </cell>
          <cell r="AL194">
            <v>239.14452829969383</v>
          </cell>
          <cell r="AM194">
            <v>238.16403573366509</v>
          </cell>
          <cell r="AN194">
            <v>237.18756318715711</v>
          </cell>
          <cell r="AO194">
            <v>236.21509417808971</v>
          </cell>
          <cell r="AP194">
            <v>235.24661229195956</v>
          </cell>
          <cell r="AQ194">
            <v>234.28210118156252</v>
          </cell>
          <cell r="AR194">
            <v>233.32154456671807</v>
          </cell>
          <cell r="AS194">
            <v>232.36492623399457</v>
          </cell>
          <cell r="AT194">
            <v>231.41223003643518</v>
          </cell>
          <cell r="AU194">
            <v>230.46343989328579</v>
          </cell>
          <cell r="AV194">
            <v>229.51853978972335</v>
          </cell>
          <cell r="AW194">
            <v>228.57751377658545</v>
          </cell>
          <cell r="AX194">
            <v>227.64034597010144</v>
          </cell>
          <cell r="AY194">
            <v>226.70702055162403</v>
          </cell>
          <cell r="AZ194">
            <v>225.77752176736234</v>
          </cell>
          <cell r="BA194">
            <v>224.85183392811618</v>
          </cell>
          <cell r="BB194">
            <v>223.92994140901092</v>
          </cell>
          <cell r="BC194">
            <v>223.01182864923393</v>
          </cell>
        </row>
        <row r="195">
          <cell r="AJ195">
            <v>122.15340627232256</v>
          </cell>
          <cell r="AK195">
            <v>121.65257730660603</v>
          </cell>
          <cell r="AL195">
            <v>121.15380173964894</v>
          </cell>
          <cell r="AM195">
            <v>120.65707115251638</v>
          </cell>
          <cell r="AN195">
            <v>120.16237716079107</v>
          </cell>
          <cell r="AO195">
            <v>119.66971141443182</v>
          </cell>
          <cell r="AP195">
            <v>119.17906559763266</v>
          </cell>
          <cell r="AQ195">
            <v>118.69043142868237</v>
          </cell>
          <cell r="AR195">
            <v>118.20380065982476</v>
          </cell>
          <cell r="AS195">
            <v>117.71916507711948</v>
          </cell>
          <cell r="AT195">
            <v>117.23651650030328</v>
          </cell>
          <cell r="AU195">
            <v>116.75584678265207</v>
          </cell>
          <cell r="AV195">
            <v>116.27714781084319</v>
          </cell>
          <cell r="AW195">
            <v>115.80041150481873</v>
          </cell>
          <cell r="AX195">
            <v>115.32562981764897</v>
          </cell>
          <cell r="AY195">
            <v>114.8527947353966</v>
          </cell>
          <cell r="AZ195">
            <v>114.38189827698147</v>
          </cell>
          <cell r="BA195">
            <v>113.91293249404585</v>
          </cell>
          <cell r="BB195">
            <v>113.44588947082025</v>
          </cell>
          <cell r="BC195">
            <v>112.98076132398991</v>
          </cell>
        </row>
        <row r="196">
          <cell r="AJ196">
            <v>448.69829599576161</v>
          </cell>
          <cell r="AK196">
            <v>447.03811230057732</v>
          </cell>
          <cell r="AL196">
            <v>445.3840712850652</v>
          </cell>
          <cell r="AM196">
            <v>443.73615022131042</v>
          </cell>
          <cell r="AN196">
            <v>442.09432646549152</v>
          </cell>
          <cell r="AO196">
            <v>440.45857745756916</v>
          </cell>
          <cell r="AP196">
            <v>438.82888072097626</v>
          </cell>
          <cell r="AQ196">
            <v>437.2052138623086</v>
          </cell>
          <cell r="AR196">
            <v>435.58755457101802</v>
          </cell>
          <cell r="AS196">
            <v>433.97588061910528</v>
          </cell>
          <cell r="AT196">
            <v>432.37016986081449</v>
          </cell>
          <cell r="AU196">
            <v>430.77040023232951</v>
          </cell>
          <cell r="AV196">
            <v>429.17654975146979</v>
          </cell>
          <cell r="AW196">
            <v>427.58859651738936</v>
          </cell>
          <cell r="AX196">
            <v>426.00651871027503</v>
          </cell>
          <cell r="AY196">
            <v>424.43029459104702</v>
          </cell>
          <cell r="AZ196">
            <v>422.85990250106011</v>
          </cell>
          <cell r="BA196">
            <v>421.2953208618062</v>
          </cell>
          <cell r="BB196">
            <v>419.73652817461749</v>
          </cell>
          <cell r="BC196">
            <v>418.18350302037135</v>
          </cell>
        </row>
        <row r="197">
          <cell r="AJ197">
            <v>53.720939527021244</v>
          </cell>
          <cell r="AK197">
            <v>53.237451071278059</v>
          </cell>
          <cell r="AL197">
            <v>52.758314011636557</v>
          </cell>
          <cell r="AM197">
            <v>52.283489185531828</v>
          </cell>
          <cell r="AN197">
            <v>51.812937782862043</v>
          </cell>
          <cell r="AO197">
            <v>51.346621342816277</v>
          </cell>
          <cell r="AP197">
            <v>50.884501750730934</v>
          </cell>
          <cell r="AQ197">
            <v>50.426541234974358</v>
          </cell>
          <cell r="AR197">
            <v>49.97270236385959</v>
          </cell>
          <cell r="AS197">
            <v>49.522948042584851</v>
          </cell>
          <cell r="AT197">
            <v>49.077241510201581</v>
          </cell>
          <cell r="AU197">
            <v>48.635546336609778</v>
          </cell>
          <cell r="AV197">
            <v>48.197826419580288</v>
          </cell>
          <cell r="AW197">
            <v>47.76404598180406</v>
          </cell>
          <cell r="AX197">
            <v>47.33416956796782</v>
          </cell>
          <cell r="AY197">
            <v>46.908162041856116</v>
          </cell>
          <cell r="AZ197">
            <v>46.485988583479411</v>
          </cell>
          <cell r="BA197">
            <v>46.067614686228097</v>
          </cell>
          <cell r="BB197">
            <v>45.653006154052044</v>
          </cell>
          <cell r="BC197">
            <v>45.242129098665572</v>
          </cell>
        </row>
        <row r="198">
          <cell r="AJ198">
            <v>22.491017060912501</v>
          </cell>
          <cell r="AK198">
            <v>22.384859460384995</v>
          </cell>
          <cell r="AL198">
            <v>22.279202923731983</v>
          </cell>
          <cell r="AM198">
            <v>22.174045085931969</v>
          </cell>
          <cell r="AN198">
            <v>22.069383593126368</v>
          </cell>
          <cell r="AO198">
            <v>21.965216102566814</v>
          </cell>
          <cell r="AP198">
            <v>21.8615402825627</v>
          </cell>
          <cell r="AQ198">
            <v>21.758353812429004</v>
          </cell>
          <cell r="AR198">
            <v>21.655654382434342</v>
          </cell>
          <cell r="AS198">
            <v>21.553439693749251</v>
          </cell>
          <cell r="AT198">
            <v>21.451707458394754</v>
          </cell>
          <cell r="AU198">
            <v>21.350455399191134</v>
          </cell>
          <cell r="AV198">
            <v>21.249681249706953</v>
          </cell>
          <cell r="AW198">
            <v>21.149382754208336</v>
          </cell>
          <cell r="AX198">
            <v>21.049557667608472</v>
          </cell>
          <cell r="AY198">
            <v>20.950203755417366</v>
          </cell>
          <cell r="AZ198">
            <v>20.851318793691796</v>
          </cell>
          <cell r="BA198">
            <v>20.75290056898557</v>
          </cell>
          <cell r="BB198">
            <v>20.654946878299963</v>
          </cell>
          <cell r="BC198">
            <v>20.557455529034385</v>
          </cell>
        </row>
        <row r="199">
          <cell r="AJ199">
            <v>51.550857208753726</v>
          </cell>
          <cell r="AK199">
            <v>51.307537162728408</v>
          </cell>
          <cell r="AL199">
            <v>51.065365587320336</v>
          </cell>
          <cell r="AM199">
            <v>50.824337061748189</v>
          </cell>
          <cell r="AN199">
            <v>50.584446190816735</v>
          </cell>
          <cell r="AO199">
            <v>50.345687604796083</v>
          </cell>
          <cell r="AP199">
            <v>50.108055959301453</v>
          </cell>
          <cell r="AQ199">
            <v>49.871545935173543</v>
          </cell>
          <cell r="AR199">
            <v>49.636152238359529</v>
          </cell>
          <cell r="AS199">
            <v>49.40186959979448</v>
          </cell>
          <cell r="AT199">
            <v>49.168692775283453</v>
          </cell>
          <cell r="AU199">
            <v>48.936616545384119</v>
          </cell>
          <cell r="AV199">
            <v>48.705635715289908</v>
          </cell>
          <cell r="AW199">
            <v>48.475745114713739</v>
          </cell>
          <cell r="AX199">
            <v>48.246939597772297</v>
          </cell>
          <cell r="AY199">
            <v>48.019214042870807</v>
          </cell>
          <cell r="AZ199">
            <v>47.792563352588466</v>
          </cell>
          <cell r="BA199">
            <v>47.56698245356425</v>
          </cell>
          <cell r="BB199">
            <v>47.342466296383435</v>
          </cell>
          <cell r="BC199">
            <v>47.119009855464505</v>
          </cell>
        </row>
        <row r="200">
          <cell r="AJ200">
            <v>170.15189589049527</v>
          </cell>
          <cell r="AK200">
            <v>169.74353134035809</v>
          </cell>
          <cell r="AL200">
            <v>169.33614686514122</v>
          </cell>
          <cell r="AM200">
            <v>168.92974011266489</v>
          </cell>
          <cell r="AN200">
            <v>168.52430873639449</v>
          </cell>
          <cell r="AO200">
            <v>168.11985039542716</v>
          </cell>
          <cell r="AP200">
            <v>167.71636275447813</v>
          </cell>
          <cell r="AQ200">
            <v>167.31384348386743</v>
          </cell>
          <cell r="AR200">
            <v>166.91229025950614</v>
          </cell>
          <cell r="AS200">
            <v>166.51170076288332</v>
          </cell>
          <cell r="AT200">
            <v>166.11207268105238</v>
          </cell>
          <cell r="AU200">
            <v>165.7134037066179</v>
          </cell>
          <cell r="AV200">
            <v>165.31569153772202</v>
          </cell>
          <cell r="AW200">
            <v>164.91893387803151</v>
          </cell>
          <cell r="AX200">
            <v>164.52312843672422</v>
          </cell>
          <cell r="AY200">
            <v>164.12827292847609</v>
          </cell>
          <cell r="AZ200">
            <v>163.73436507344778</v>
          </cell>
          <cell r="BA200">
            <v>163.3414025972715</v>
          </cell>
          <cell r="BB200">
            <v>162.94938323103807</v>
          </cell>
          <cell r="BC200">
            <v>162.55830471128357</v>
          </cell>
        </row>
        <row r="201">
          <cell r="AJ201">
            <v>105.02947953487826</v>
          </cell>
          <cell r="AK201">
            <v>104.80891762785501</v>
          </cell>
          <cell r="AL201">
            <v>104.58881890083651</v>
          </cell>
          <cell r="AM201">
            <v>104.36918238114475</v>
          </cell>
          <cell r="AN201">
            <v>104.15000709814436</v>
          </cell>
          <cell r="AO201">
            <v>103.93129208323826</v>
          </cell>
          <cell r="AP201">
            <v>103.71303636986346</v>
          </cell>
          <cell r="AQ201">
            <v>103.49523899348674</v>
          </cell>
          <cell r="AR201">
            <v>103.27789899160042</v>
          </cell>
          <cell r="AS201">
            <v>103.06101540371807</v>
          </cell>
          <cell r="AT201">
            <v>102.84458727137024</v>
          </cell>
          <cell r="AU201">
            <v>102.62861363810038</v>
          </cell>
          <cell r="AV201">
            <v>102.41309354946036</v>
          </cell>
          <cell r="AW201">
            <v>102.19802605300649</v>
          </cell>
          <cell r="AX201">
            <v>101.98341019829519</v>
          </cell>
          <cell r="AY201">
            <v>101.76924503687877</v>
          </cell>
          <cell r="AZ201">
            <v>101.55552962230132</v>
          </cell>
          <cell r="BA201">
            <v>101.3422630100945</v>
          </cell>
          <cell r="BB201">
            <v>101.1294442577733</v>
          </cell>
          <cell r="BC201">
            <v>100.91707242483197</v>
          </cell>
        </row>
        <row r="202">
          <cell r="AJ202">
            <v>128.74820917277606</v>
          </cell>
          <cell r="AK202">
            <v>128.43921347076139</v>
          </cell>
          <cell r="AL202">
            <v>128.1309593584316</v>
          </cell>
          <cell r="AM202">
            <v>127.82344505597135</v>
          </cell>
          <cell r="AN202">
            <v>127.51666878783702</v>
          </cell>
          <cell r="AO202">
            <v>127.21062878274621</v>
          </cell>
          <cell r="AP202">
            <v>126.90532327366765</v>
          </cell>
          <cell r="AQ202">
            <v>126.60075049781085</v>
          </cell>
          <cell r="AR202">
            <v>126.29690869661611</v>
          </cell>
          <cell r="AS202">
            <v>125.99379611574425</v>
          </cell>
          <cell r="AT202">
            <v>125.69141100506647</v>
          </cell>
          <cell r="AU202">
            <v>125.3897516186543</v>
          </cell>
          <cell r="AV202">
            <v>125.08881621476955</v>
          </cell>
          <cell r="AW202">
            <v>124.78860305585408</v>
          </cell>
          <cell r="AX202">
            <v>124.48911040852005</v>
          </cell>
          <cell r="AY202">
            <v>124.1903365435396</v>
          </cell>
          <cell r="AZ202">
            <v>123.8922797358351</v>
          </cell>
          <cell r="BA202">
            <v>123.59493826446912</v>
          </cell>
          <cell r="BB202">
            <v>123.29831041263438</v>
          </cell>
          <cell r="BC202">
            <v>123.00239446764408</v>
          </cell>
        </row>
        <row r="203">
          <cell r="AJ203">
            <v>375.90224900649127</v>
          </cell>
          <cell r="AK203">
            <v>374.21570091594884</v>
          </cell>
          <cell r="AL203">
            <v>372.53671980450594</v>
          </cell>
          <cell r="AM203">
            <v>370.86527172164978</v>
          </cell>
          <cell r="AN203">
            <v>369.20132286919198</v>
          </cell>
          <cell r="AO203">
            <v>367.54483960058553</v>
          </cell>
          <cell r="AP203">
            <v>365.89578842024423</v>
          </cell>
          <cell r="AQ203">
            <v>364.25413598286536</v>
          </cell>
          <cell r="AR203">
            <v>362.6198490927556</v>
          </cell>
          <cell r="AS203">
            <v>360.99289470315949</v>
          </cell>
          <cell r="AT203">
            <v>359.37323991559134</v>
          </cell>
          <cell r="AU203">
            <v>357.76085197917007</v>
          </cell>
          <cell r="AV203">
            <v>356.15569828995689</v>
          </cell>
          <cell r="AW203">
            <v>354.55774639029596</v>
          </cell>
          <cell r="AX203">
            <v>352.96696396815821</v>
          </cell>
          <cell r="AY203">
            <v>351.38331885648773</v>
          </cell>
          <cell r="AZ203">
            <v>349.80677903255156</v>
          </cell>
          <cell r="BA203">
            <v>348.23731261729228</v>
          </cell>
          <cell r="BB203">
            <v>346.67488787468267</v>
          </cell>
          <cell r="BC203">
            <v>345.11947321108494</v>
          </cell>
        </row>
        <row r="204">
          <cell r="AJ204">
            <v>342.64988330108076</v>
          </cell>
          <cell r="AK204">
            <v>339.56603435137106</v>
          </cell>
          <cell r="AL204">
            <v>336.50994004220871</v>
          </cell>
          <cell r="AM204">
            <v>333.48135058182885</v>
          </cell>
          <cell r="AN204">
            <v>330.48001842659238</v>
          </cell>
          <cell r="AO204">
            <v>327.50569826075304</v>
          </cell>
          <cell r="AP204">
            <v>324.55814697640625</v>
          </cell>
          <cell r="AQ204">
            <v>321.63712365361863</v>
          </cell>
          <cell r="AR204">
            <v>318.7423895407361</v>
          </cell>
          <cell r="AS204">
            <v>315.87370803486942</v>
          </cell>
          <cell r="AT204">
            <v>313.03084466255564</v>
          </cell>
          <cell r="AU204">
            <v>310.21356706059254</v>
          </cell>
          <cell r="AV204">
            <v>307.42164495704725</v>
          </cell>
          <cell r="AW204">
            <v>304.65485015243382</v>
          </cell>
          <cell r="AX204">
            <v>301.9129565010619</v>
          </cell>
          <cell r="AY204">
            <v>299.19573989255235</v>
          </cell>
          <cell r="AZ204">
            <v>296.50297823351934</v>
          </cell>
          <cell r="BA204">
            <v>293.83445142941764</v>
          </cell>
          <cell r="BB204">
            <v>291.18994136655289</v>
          </cell>
          <cell r="BC204">
            <v>288.5692318942539</v>
          </cell>
        </row>
      </sheetData>
      <sheetData sheetId="7"/>
      <sheetData sheetId="8"/>
      <sheetData sheetId="9"/>
      <sheetData sheetId="10"/>
      <sheetData sheetId="11"/>
      <sheetData sheetId="12"/>
      <sheetData sheetId="13" refreshError="1"/>
      <sheetData sheetId="1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ata Dictionary"/>
      <sheetName val="CBSA Site Summary Table "/>
      <sheetName val="Live Pivot Main"/>
      <sheetName val="Live Pivot Green"/>
      <sheetName val="Lighting_Summary_Data"/>
      <sheetName val="Pasted Pivot"/>
      <sheetName val="DataDump_Office"/>
      <sheetName val="ParkingEmbedded"/>
      <sheetName val="Window by Size"/>
    </sheetNames>
    <sheetDataSet>
      <sheetData sheetId="0"/>
      <sheetData sheetId="1">
        <row r="3">
          <cell r="VG3">
            <v>6</v>
          </cell>
        </row>
      </sheetData>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C-New"/>
      <sheetName val="SC-IntD"/>
      <sheetName val="SC-NR"/>
      <sheetName val="SC-Retro"/>
      <sheetName val="ProData"/>
      <sheetName val="MMap"/>
      <sheetName val="MDataMeas"/>
      <sheetName val="MDataRegWT New Btype"/>
      <sheetName val="MDataRegWT IntD Btype"/>
      <sheetName val="MDataRegWT NR Btype"/>
      <sheetName val="MDataRegWT Retro Btype"/>
      <sheetName val="KennedyOut"/>
      <sheetName val="Cost"/>
      <sheetName val="Notes2004"/>
      <sheetName val="CBSA2008"/>
      <sheetName val="CBSA2001"/>
      <sheetName val="Baseline"/>
      <sheetName val="Code - U Factors"/>
      <sheetName val="Code - SHGC Factors"/>
      <sheetName val="Window Default U"/>
      <sheetName val="To D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7">
          <cell r="E27">
            <v>0</v>
          </cell>
        </row>
        <row r="28">
          <cell r="E28">
            <v>0.5</v>
          </cell>
        </row>
        <row r="29">
          <cell r="E29">
            <v>3.99701</v>
          </cell>
        </row>
        <row r="30">
          <cell r="E30">
            <v>0.5</v>
          </cell>
        </row>
        <row r="32">
          <cell r="E32">
            <v>28</v>
          </cell>
        </row>
        <row r="35">
          <cell r="E35">
            <v>19</v>
          </cell>
        </row>
        <row r="37">
          <cell r="E37">
            <v>0</v>
          </cell>
        </row>
        <row r="38">
          <cell r="E38">
            <v>0.5</v>
          </cell>
        </row>
        <row r="39">
          <cell r="E39">
            <v>3.99701</v>
          </cell>
        </row>
        <row r="40">
          <cell r="E40">
            <v>0</v>
          </cell>
        </row>
        <row r="41">
          <cell r="E41">
            <v>0.5</v>
          </cell>
        </row>
      </sheetData>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hyperlink" Target="file:///C:\Documents%20and%20Settings\grist\Plan%205\Commercial\Data%20Sources\ECOTOPE\Commercial_Env522.xl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dimension ref="A1:BD43"/>
  <sheetViews>
    <sheetView zoomScale="85" zoomScaleNormal="85" workbookViewId="0">
      <selection activeCell="C40" sqref="C40"/>
    </sheetView>
  </sheetViews>
  <sheetFormatPr defaultRowHeight="12.75"/>
  <cols>
    <col min="1" max="2" width="21.85546875" customWidth="1"/>
    <col min="3" max="3" width="40.28515625" bestFit="1" customWidth="1"/>
    <col min="4" max="4" width="12.28515625" bestFit="1" customWidth="1"/>
    <col min="5" max="5" width="23.140625" customWidth="1"/>
    <col min="6" max="8" width="11.85546875" customWidth="1"/>
  </cols>
  <sheetData>
    <row r="1" spans="1:56" ht="15.75" thickBot="1">
      <c r="A1" s="72" t="s">
        <v>194</v>
      </c>
      <c r="B1" s="72" t="s">
        <v>195</v>
      </c>
      <c r="C1" s="72" t="s">
        <v>196</v>
      </c>
      <c r="D1" s="72" t="s">
        <v>197</v>
      </c>
      <c r="E1" s="72" t="s">
        <v>198</v>
      </c>
      <c r="F1" s="72" t="s">
        <v>199</v>
      </c>
      <c r="G1" s="72" t="s">
        <v>200</v>
      </c>
      <c r="H1" s="72" t="s">
        <v>201</v>
      </c>
      <c r="I1" s="72" t="s">
        <v>77</v>
      </c>
      <c r="J1" s="72" t="s">
        <v>78</v>
      </c>
      <c r="K1" s="74">
        <v>2016</v>
      </c>
      <c r="L1" s="90">
        <v>2017</v>
      </c>
      <c r="M1" s="90">
        <v>2018</v>
      </c>
      <c r="N1" s="90">
        <v>2019</v>
      </c>
      <c r="O1" s="90">
        <v>2020</v>
      </c>
      <c r="P1" s="90">
        <v>2021</v>
      </c>
      <c r="Q1" s="90">
        <v>2022</v>
      </c>
      <c r="R1" s="90">
        <v>2023</v>
      </c>
      <c r="S1" s="90">
        <v>2024</v>
      </c>
      <c r="T1" s="90">
        <v>2025</v>
      </c>
      <c r="U1" s="90">
        <v>2026</v>
      </c>
      <c r="V1" s="90">
        <v>2027</v>
      </c>
      <c r="W1" s="90">
        <v>2028</v>
      </c>
      <c r="X1" s="90">
        <v>2029</v>
      </c>
      <c r="Y1" s="90">
        <v>2030</v>
      </c>
      <c r="Z1" s="90">
        <v>2031</v>
      </c>
      <c r="AA1" s="90">
        <v>2032</v>
      </c>
      <c r="AB1" s="90">
        <v>2033</v>
      </c>
      <c r="AC1" s="90">
        <v>2034</v>
      </c>
      <c r="AD1" s="90">
        <v>2035</v>
      </c>
      <c r="AE1" s="92" t="s">
        <v>202</v>
      </c>
      <c r="AF1" s="93" t="s">
        <v>203</v>
      </c>
      <c r="AG1" s="94"/>
      <c r="AH1" s="94"/>
      <c r="AI1" s="94"/>
      <c r="AJ1" s="94"/>
      <c r="AK1" s="94"/>
      <c r="AL1" s="94"/>
      <c r="AM1" s="94"/>
      <c r="AN1" s="94"/>
      <c r="AO1" s="94"/>
      <c r="AP1" s="94"/>
      <c r="AQ1" s="95"/>
      <c r="AR1" s="96"/>
      <c r="AS1" s="93" t="s">
        <v>204</v>
      </c>
      <c r="AT1" s="94"/>
      <c r="AU1" s="94"/>
      <c r="AV1" s="94"/>
      <c r="AW1" s="94"/>
      <c r="AX1" s="94"/>
      <c r="AY1" s="94"/>
      <c r="AZ1" s="94"/>
      <c r="BA1" s="94"/>
      <c r="BB1" s="94"/>
      <c r="BC1" s="94"/>
      <c r="BD1" s="95"/>
    </row>
    <row r="2" spans="1:56" ht="15">
      <c r="A2" s="72"/>
      <c r="B2" s="72"/>
      <c r="C2" s="72"/>
      <c r="D2" s="72"/>
      <c r="E2" s="72"/>
      <c r="F2" s="72" t="s">
        <v>205</v>
      </c>
      <c r="G2" s="72" t="s">
        <v>75</v>
      </c>
      <c r="H2" s="72" t="s">
        <v>76</v>
      </c>
      <c r="I2" s="72">
        <v>1000000</v>
      </c>
      <c r="J2" s="72"/>
      <c r="K2" s="75" t="str">
        <f t="shared" ref="K2:AD2" si="0">CONCATENATE("aMW_",K$1)</f>
        <v>aMW_2016</v>
      </c>
      <c r="L2" s="91" t="str">
        <f t="shared" si="0"/>
        <v>aMW_2017</v>
      </c>
      <c r="M2" s="91" t="str">
        <f t="shared" si="0"/>
        <v>aMW_2018</v>
      </c>
      <c r="N2" s="91" t="str">
        <f t="shared" si="0"/>
        <v>aMW_2019</v>
      </c>
      <c r="O2" s="91" t="str">
        <f t="shared" si="0"/>
        <v>aMW_2020</v>
      </c>
      <c r="P2" s="91" t="str">
        <f t="shared" si="0"/>
        <v>aMW_2021</v>
      </c>
      <c r="Q2" s="91" t="str">
        <f t="shared" si="0"/>
        <v>aMW_2022</v>
      </c>
      <c r="R2" s="91" t="str">
        <f t="shared" si="0"/>
        <v>aMW_2023</v>
      </c>
      <c r="S2" s="91" t="str">
        <f t="shared" si="0"/>
        <v>aMW_2024</v>
      </c>
      <c r="T2" s="91" t="str">
        <f t="shared" si="0"/>
        <v>aMW_2025</v>
      </c>
      <c r="U2" s="91" t="str">
        <f t="shared" si="0"/>
        <v>aMW_2026</v>
      </c>
      <c r="V2" s="91" t="str">
        <f t="shared" si="0"/>
        <v>aMW_2027</v>
      </c>
      <c r="W2" s="91" t="str">
        <f t="shared" si="0"/>
        <v>aMW_2028</v>
      </c>
      <c r="X2" s="91" t="str">
        <f t="shared" si="0"/>
        <v>aMW_2029</v>
      </c>
      <c r="Y2" s="91" t="str">
        <f t="shared" si="0"/>
        <v>aMW_2030</v>
      </c>
      <c r="Z2" s="91" t="str">
        <f t="shared" si="0"/>
        <v>aMW_2031</v>
      </c>
      <c r="AA2" s="91" t="str">
        <f t="shared" si="0"/>
        <v>aMW_2032</v>
      </c>
      <c r="AB2" s="91" t="str">
        <f t="shared" si="0"/>
        <v>aMW_2033</v>
      </c>
      <c r="AC2" s="91" t="str">
        <f t="shared" si="0"/>
        <v>aMW_2034</v>
      </c>
      <c r="AD2" s="91" t="str">
        <f t="shared" si="0"/>
        <v>aMW_2035</v>
      </c>
      <c r="AE2" s="97" t="s">
        <v>202</v>
      </c>
      <c r="AF2" s="98" t="s">
        <v>206</v>
      </c>
      <c r="AG2" s="98" t="s">
        <v>207</v>
      </c>
      <c r="AH2" s="98" t="s">
        <v>208</v>
      </c>
      <c r="AI2" s="98" t="s">
        <v>209</v>
      </c>
      <c r="AJ2" s="98" t="s">
        <v>210</v>
      </c>
      <c r="AK2" s="98" t="s">
        <v>211</v>
      </c>
      <c r="AL2" s="98" t="s">
        <v>212</v>
      </c>
      <c r="AM2" s="98" t="s">
        <v>213</v>
      </c>
      <c r="AN2" s="98" t="s">
        <v>214</v>
      </c>
      <c r="AO2" s="98" t="s">
        <v>215</v>
      </c>
      <c r="AP2" s="98" t="s">
        <v>216</v>
      </c>
      <c r="AQ2" s="98" t="s">
        <v>217</v>
      </c>
      <c r="AR2" s="98"/>
      <c r="AS2" s="98" t="s">
        <v>206</v>
      </c>
      <c r="AT2" s="98" t="s">
        <v>207</v>
      </c>
      <c r="AU2" s="98" t="s">
        <v>208</v>
      </c>
      <c r="AV2" s="98" t="s">
        <v>209</v>
      </c>
      <c r="AW2" s="98" t="s">
        <v>210</v>
      </c>
      <c r="AX2" s="98" t="s">
        <v>211</v>
      </c>
      <c r="AY2" s="98" t="s">
        <v>212</v>
      </c>
      <c r="AZ2" s="98" t="s">
        <v>213</v>
      </c>
      <c r="BA2" s="98" t="s">
        <v>214</v>
      </c>
      <c r="BB2" s="98" t="s">
        <v>215</v>
      </c>
      <c r="BC2" s="98" t="s">
        <v>216</v>
      </c>
      <c r="BD2" s="98" t="s">
        <v>217</v>
      </c>
    </row>
    <row r="3" spans="1:56" ht="15">
      <c r="A3" s="84" t="str">
        <f t="shared" ref="A3:A23" si="1">VLOOKUP(C3,ACHIEV,2,FALSE)</f>
        <v>Retro1Slow</v>
      </c>
      <c r="B3" s="84" t="s">
        <v>361</v>
      </c>
      <c r="C3" s="84" t="str">
        <f>[1]MLIST!$D$57</f>
        <v>Secondary Glazing Systems-Retro</v>
      </c>
      <c r="D3" s="84" t="s">
        <v>218</v>
      </c>
      <c r="E3" s="84" t="s">
        <v>755</v>
      </c>
      <c r="F3" s="440">
        <f t="shared" ref="F3" si="2">VLOOKUP(CONCATENATE(J3),MeasOut,14,FALSE)</f>
        <v>9.7687723784011123E-4</v>
      </c>
      <c r="G3" s="441">
        <f t="shared" ref="G3" si="3">VLOOKUP(CONCATENATE(J3),MeasOut,3,FALSE)</f>
        <v>7.6883722283034297</v>
      </c>
      <c r="H3" s="99">
        <f t="shared" ref="H3" si="4">VLOOKUP(CONCATENATE(J3),MeasOut,11,FALSE)</f>
        <v>329.60399444935678</v>
      </c>
      <c r="I3" s="19" t="str">
        <f>'SC-Retro'!C148</f>
        <v>SGSWindow-(AC with Gas Furnace)</v>
      </c>
      <c r="J3" s="19" t="str">
        <f>'SC-Retro'!D148</f>
        <v>SGSWindow-Small Office (AC with Gas Furnace)-Portland</v>
      </c>
      <c r="K3" s="40">
        <f>VLOOKUP($J3,'SC-Retro'!$D$148:$Y$170,COLUMN()-9,FALSE)</f>
        <v>2.5607945077665201E-2</v>
      </c>
      <c r="L3" s="40">
        <f>VLOOKUP($J3,'SC-Retro'!$D$148:$Y$170,COLUMN()-9,FALSE)</f>
        <v>5.0968367907836362E-2</v>
      </c>
      <c r="M3" s="40">
        <f>VLOOKUP($J3,'SC-Retro'!$D$148:$Y$170,COLUMN()-9,FALSE)</f>
        <v>9.0107611194713944E-2</v>
      </c>
      <c r="N3" s="40">
        <f>VLOOKUP($J3,'SC-Retro'!$D$148:$Y$170,COLUMN()-9,FALSE)</f>
        <v>0.1459427997833351</v>
      </c>
      <c r="O3" s="40">
        <f>VLOOKUP($J3,'SC-Retro'!$D$148:$Y$170,COLUMN()-9,FALSE)</f>
        <v>0.22057005463589432</v>
      </c>
      <c r="P3" s="40">
        <f>VLOOKUP($J3,'SC-Retro'!$D$148:$Y$170,COLUMN()-9,FALSE)</f>
        <v>0.31454874978356284</v>
      </c>
      <c r="Q3" s="40">
        <f>VLOOKUP($J3,'SC-Retro'!$D$148:$Y$170,COLUMN()-9,FALSE)</f>
        <v>0.42603931562642883</v>
      </c>
      <c r="R3" s="40">
        <f>VLOOKUP($J3,'SC-Retro'!$D$148:$Y$170,COLUMN()-9,FALSE)</f>
        <v>0.54993623038485395</v>
      </c>
      <c r="S3" s="40">
        <f>VLOOKUP($J3,'SC-Retro'!$D$148:$Y$170,COLUMN()-9,FALSE)</f>
        <v>0.67726662016135764</v>
      </c>
      <c r="T3" s="40">
        <f>VLOOKUP($J3,'SC-Retro'!$D$148:$Y$170,COLUMN()-9,FALSE)</f>
        <v>0.79524442685094443</v>
      </c>
      <c r="U3" s="40">
        <f>VLOOKUP($J3,'SC-Retro'!$D$148:$Y$170,COLUMN()-9,FALSE)</f>
        <v>0.88840194957359475</v>
      </c>
      <c r="V3" s="40">
        <f>VLOOKUP($J3,'SC-Retro'!$D$148:$Y$170,COLUMN()-9,FALSE)</f>
        <v>0.94105919413595385</v>
      </c>
      <c r="W3" s="40">
        <f>VLOOKUP($J3,'SC-Retro'!$D$148:$Y$170,COLUMN()-9,FALSE)</f>
        <v>0.94095846461118116</v>
      </c>
      <c r="X3" s="40">
        <f>VLOOKUP($J3,'SC-Retro'!$D$148:$Y$170,COLUMN()-9,FALSE)</f>
        <v>0.88323276290840602</v>
      </c>
      <c r="Y3" s="40">
        <f>VLOOKUP($J3,'SC-Retro'!$D$148:$Y$170,COLUMN()-9,FALSE)</f>
        <v>0.773253111631376</v>
      </c>
      <c r="Z3" s="40">
        <f>VLOOKUP($J3,'SC-Retro'!$D$148:$Y$170,COLUMN()-9,FALSE)</f>
        <v>0.62676546280040968</v>
      </c>
      <c r="AA3" s="40">
        <f>VLOOKUP($J3,'SC-Retro'!$D$148:$Y$170,COLUMN()-9,FALSE)</f>
        <v>0.46648525596709878</v>
      </c>
      <c r="AB3" s="40">
        <f>VLOOKUP($J3,'SC-Retro'!$D$148:$Y$170,COLUMN()-9,FALSE)</f>
        <v>0.31590694959577037</v>
      </c>
      <c r="AC3" s="40">
        <f>VLOOKUP($J3,'SC-Retro'!$D$148:$Y$170,COLUMN()-9,FALSE)</f>
        <v>0.19272576446943931</v>
      </c>
      <c r="AD3" s="40">
        <f>VLOOKUP($J3,'SC-Retro'!$D$148:$Y$170,COLUMN()-9,FALSE)</f>
        <v>9.2059860335999749E-2</v>
      </c>
      <c r="AE3" s="40">
        <f>VLOOKUP($J3,'SC-Retro'!$D$148:$Y$170,COLUMN()-9,FALSE)</f>
        <v>9.2059860335999737</v>
      </c>
      <c r="AF3" s="100">
        <f t="shared" ref="AF3:BD13" si="5">VLOOKUP($J3,MeasOut,COLUMN()-17,FALSE)</f>
        <v>0.19427238370136879</v>
      </c>
      <c r="AG3" s="100">
        <f t="shared" si="5"/>
        <v>0.21759611662254222</v>
      </c>
      <c r="AH3" s="100">
        <f t="shared" si="5"/>
        <v>0.32132134599515833</v>
      </c>
      <c r="AI3" s="100">
        <f t="shared" si="5"/>
        <v>0.36451534943452096</v>
      </c>
      <c r="AJ3" s="100">
        <f t="shared" si="5"/>
        <v>0.54013499087564465</v>
      </c>
      <c r="AK3" s="100">
        <f t="shared" si="5"/>
        <v>0.74631975733829903</v>
      </c>
      <c r="AL3" s="100">
        <f t="shared" si="5"/>
        <v>0.86701273951945923</v>
      </c>
      <c r="AM3" s="100">
        <f t="shared" si="5"/>
        <v>0.99523761570043612</v>
      </c>
      <c r="AN3" s="100">
        <f t="shared" si="5"/>
        <v>0.77708874728520716</v>
      </c>
      <c r="AO3" s="100">
        <f t="shared" si="5"/>
        <v>0.56914653563625039</v>
      </c>
      <c r="AP3" s="100">
        <f t="shared" si="5"/>
        <v>0.29744534790146065</v>
      </c>
      <c r="AQ3" s="100">
        <f t="shared" si="5"/>
        <v>0.19591247046921131</v>
      </c>
      <c r="AR3" s="100">
        <f t="shared" si="5"/>
        <v>0</v>
      </c>
      <c r="AS3" s="100">
        <f t="shared" si="5"/>
        <v>5.8365974791787463E-2</v>
      </c>
      <c r="AT3" s="100">
        <f t="shared" si="5"/>
        <v>5.9353196053708548E-2</v>
      </c>
      <c r="AU3" s="100">
        <f t="shared" si="5"/>
        <v>6.8271344129341507E-2</v>
      </c>
      <c r="AV3" s="100">
        <f t="shared" si="5"/>
        <v>9.5177355996135665E-2</v>
      </c>
      <c r="AW3" s="100">
        <f t="shared" si="5"/>
        <v>0.13783121435373571</v>
      </c>
      <c r="AX3" s="100">
        <f t="shared" si="5"/>
        <v>0.16836800285362766</v>
      </c>
      <c r="AY3" s="100">
        <f t="shared" si="5"/>
        <v>0.26230630732393018</v>
      </c>
      <c r="AZ3" s="100">
        <f t="shared" si="5"/>
        <v>0.23549951276385994</v>
      </c>
      <c r="BA3" s="100">
        <f t="shared" si="5"/>
        <v>0.24540074522249389</v>
      </c>
      <c r="BB3" s="100">
        <f t="shared" si="5"/>
        <v>0.12746883149028665</v>
      </c>
      <c r="BC3" s="100">
        <f t="shared" si="5"/>
        <v>8.6241150894599231E-2</v>
      </c>
      <c r="BD3" s="100">
        <f t="shared" si="5"/>
        <v>5.8085191950362054E-2</v>
      </c>
    </row>
    <row r="4" spans="1:56" ht="15">
      <c r="A4" s="84" t="str">
        <f t="shared" si="1"/>
        <v>Retro1Slow</v>
      </c>
      <c r="B4" s="84" t="s">
        <v>361</v>
      </c>
      <c r="C4" s="84" t="str">
        <f>[1]MLIST!$D$57</f>
        <v>Secondary Glazing Systems-Retro</v>
      </c>
      <c r="D4" s="84" t="s">
        <v>218</v>
      </c>
      <c r="E4" s="84" t="s">
        <v>755</v>
      </c>
      <c r="F4" s="440">
        <f t="shared" ref="F4:F23" si="6">VLOOKUP(CONCATENATE(J4),MeasOut,14,FALSE)</f>
        <v>1.1415598038884904E-3</v>
      </c>
      <c r="G4" s="441">
        <f t="shared" ref="G4:G23" si="7">VLOOKUP(CONCATENATE(J4),MeasOut,3,FALSE)</f>
        <v>8.984482750943469</v>
      </c>
      <c r="H4" s="99">
        <f t="shared" ref="H4:H23" si="8">VLOOKUP(CONCATENATE(J4),MeasOut,11,FALSE)</f>
        <v>268.78906565608219</v>
      </c>
      <c r="I4" s="19" t="str">
        <f>'SC-Retro'!C149</f>
        <v>SGSWindow-(AC with Gas Furnace)</v>
      </c>
      <c r="J4" s="19" t="str">
        <f>'SC-Retro'!D149</f>
        <v>SGSWindow-Small Office (AC with Gas Furnace)-Spokane</v>
      </c>
      <c r="K4" s="40">
        <f>VLOOKUP($J4,'SC-Retro'!$D$148:$Y$170,COLUMN()-9,FALSE)</f>
        <v>6.7709899835918571E-3</v>
      </c>
      <c r="L4" s="40">
        <f>VLOOKUP($J4,'SC-Retro'!$D$148:$Y$170,COLUMN()-9,FALSE)</f>
        <v>1.3476532675204008E-2</v>
      </c>
      <c r="M4" s="40">
        <f>VLOOKUP($J4,'SC-Retro'!$D$148:$Y$170,COLUMN()-9,FALSE)</f>
        <v>2.3825329638688251E-2</v>
      </c>
      <c r="N4" s="40">
        <f>VLOOKUP($J4,'SC-Retro'!$D$148:$Y$170,COLUMN()-9,FALSE)</f>
        <v>3.8588697082616932E-2</v>
      </c>
      <c r="O4" s="40">
        <f>VLOOKUP($J4,'SC-Retro'!$D$148:$Y$170,COLUMN()-9,FALSE)</f>
        <v>5.8320869796090524E-2</v>
      </c>
      <c r="P4" s="40">
        <f>VLOOKUP($J4,'SC-Retro'!$D$148:$Y$170,COLUMN()-9,FALSE)</f>
        <v>8.3169751718712701E-2</v>
      </c>
      <c r="Q4" s="40">
        <f>VLOOKUP($J4,'SC-Retro'!$D$148:$Y$170,COLUMN()-9,FALSE)</f>
        <v>0.11264894273921539</v>
      </c>
      <c r="R4" s="40">
        <f>VLOOKUP($J4,'SC-Retro'!$D$148:$Y$170,COLUMN()-9,FALSE)</f>
        <v>0.14540849319447269</v>
      </c>
      <c r="S4" s="40">
        <f>VLOOKUP($J4,'SC-Retro'!$D$148:$Y$170,COLUMN()-9,FALSE)</f>
        <v>0.17907588787095957</v>
      </c>
      <c r="T4" s="40">
        <f>VLOOKUP($J4,'SC-Retro'!$D$148:$Y$170,COLUMN()-9,FALSE)</f>
        <v>0.21027036852759182</v>
      </c>
      <c r="U4" s="40">
        <f>VLOOKUP($J4,'SC-Retro'!$D$148:$Y$170,COLUMN()-9,FALSE)</f>
        <v>0.23490212446655007</v>
      </c>
      <c r="V4" s="40">
        <f>VLOOKUP($J4,'SC-Retro'!$D$148:$Y$170,COLUMN()-9,FALSE)</f>
        <v>0.24882521257119655</v>
      </c>
      <c r="W4" s="40">
        <f>VLOOKUP($J4,'SC-Retro'!$D$148:$Y$170,COLUMN()-9,FALSE)</f>
        <v>0.24879857870419866</v>
      </c>
      <c r="X4" s="40">
        <f>VLOOKUP($J4,'SC-Retro'!$D$148:$Y$170,COLUMN()-9,FALSE)</f>
        <v>0.23353534118787775</v>
      </c>
      <c r="Y4" s="40">
        <f>VLOOKUP($J4,'SC-Retro'!$D$148:$Y$170,COLUMN()-9,FALSE)</f>
        <v>0.20445565068802657</v>
      </c>
      <c r="Z4" s="40">
        <f>VLOOKUP($J4,'SC-Retro'!$D$148:$Y$170,COLUMN()-9,FALSE)</f>
        <v>0.16572289021286116</v>
      </c>
      <c r="AA4" s="40">
        <f>VLOOKUP($J4,'SC-Retro'!$D$148:$Y$170,COLUMN()-9,FALSE)</f>
        <v>0.12334324312501577</v>
      </c>
      <c r="AB4" s="40">
        <f>VLOOKUP($J4,'SC-Retro'!$D$148:$Y$170,COLUMN()-9,FALSE)</f>
        <v>8.3528872971756707E-2</v>
      </c>
      <c r="AC4" s="40">
        <f>VLOOKUP($J4,'SC-Retro'!$D$148:$Y$170,COLUMN()-9,FALSE)</f>
        <v>5.09585683991804E-2</v>
      </c>
      <c r="AD4" s="40">
        <f>VLOOKUP($J4,'SC-Retro'!$D$148:$Y$170,COLUMN()-9,FALSE)</f>
        <v>2.4341523317682474E-2</v>
      </c>
      <c r="AE4" s="40">
        <f>VLOOKUP($J4,'SC-Retro'!$D$148:$Y$170,COLUMN()-9,FALSE)</f>
        <v>2.4341523317682472</v>
      </c>
      <c r="AF4" s="100">
        <f t="shared" si="5"/>
        <v>0.22702294172543974</v>
      </c>
      <c r="AG4" s="100">
        <f t="shared" si="5"/>
        <v>0.25427860389882756</v>
      </c>
      <c r="AH4" s="100">
        <f t="shared" si="5"/>
        <v>0.37548989628464996</v>
      </c>
      <c r="AI4" s="100">
        <f t="shared" si="5"/>
        <v>0.42596557141085051</v>
      </c>
      <c r="AJ4" s="100">
        <f t="shared" si="5"/>
        <v>0.63119128010456604</v>
      </c>
      <c r="AK4" s="100">
        <f t="shared" si="5"/>
        <v>0.87213480140956967</v>
      </c>
      <c r="AL4" s="100">
        <f t="shared" si="5"/>
        <v>1.0131742808164927</v>
      </c>
      <c r="AM4" s="100">
        <f t="shared" si="5"/>
        <v>1.163015385549798</v>
      </c>
      <c r="AN4" s="100">
        <f t="shared" si="5"/>
        <v>0.9080908466208395</v>
      </c>
      <c r="AO4" s="100">
        <f t="shared" si="5"/>
        <v>0.66509360893827341</v>
      </c>
      <c r="AP4" s="100">
        <f t="shared" si="5"/>
        <v>0.34758886773602027</v>
      </c>
      <c r="AQ4" s="100">
        <f t="shared" si="5"/>
        <v>0.22893951533012113</v>
      </c>
      <c r="AR4" s="100">
        <f t="shared" si="5"/>
        <v>0</v>
      </c>
      <c r="AS4" s="100">
        <f t="shared" si="5"/>
        <v>6.8205346747959264E-2</v>
      </c>
      <c r="AT4" s="100">
        <f t="shared" si="5"/>
        <v>6.9358994377875322E-2</v>
      </c>
      <c r="AU4" s="100">
        <f t="shared" si="5"/>
        <v>7.9780569345450081E-2</v>
      </c>
      <c r="AV4" s="100">
        <f t="shared" si="5"/>
        <v>0.11122241325409701</v>
      </c>
      <c r="AW4" s="100">
        <f t="shared" si="5"/>
        <v>0.16106688530817809</v>
      </c>
      <c r="AX4" s="100">
        <f t="shared" si="5"/>
        <v>0.19675158440956769</v>
      </c>
      <c r="AY4" s="100">
        <f t="shared" si="5"/>
        <v>0.30652606606893823</v>
      </c>
      <c r="AZ4" s="100">
        <f t="shared" si="5"/>
        <v>0.27520016558165361</v>
      </c>
      <c r="BA4" s="100">
        <f t="shared" si="5"/>
        <v>0.28677055390262957</v>
      </c>
      <c r="BB4" s="100">
        <f t="shared" si="5"/>
        <v>0.14895760556329321</v>
      </c>
      <c r="BC4" s="100">
        <f t="shared" si="5"/>
        <v>0.1007797371960774</v>
      </c>
      <c r="BD4" s="100">
        <f t="shared" si="5"/>
        <v>6.7877229362297245E-2</v>
      </c>
    </row>
    <row r="5" spans="1:56" ht="15">
      <c r="A5" s="84" t="str">
        <f t="shared" si="1"/>
        <v>Retro1Slow</v>
      </c>
      <c r="B5" s="84" t="s">
        <v>361</v>
      </c>
      <c r="C5" s="84" t="str">
        <f>[1]MLIST!$D$57</f>
        <v>Secondary Glazing Systems-Retro</v>
      </c>
      <c r="D5" s="84" t="s">
        <v>218</v>
      </c>
      <c r="E5" s="84" t="s">
        <v>755</v>
      </c>
      <c r="F5" s="440">
        <f t="shared" si="6"/>
        <v>1.0318462142459056E-3</v>
      </c>
      <c r="G5" s="441">
        <f t="shared" si="7"/>
        <v>8.1209976752336903</v>
      </c>
      <c r="H5" s="99">
        <f t="shared" si="8"/>
        <v>300.72144798318516</v>
      </c>
      <c r="I5" s="19" t="str">
        <f>'SC-Retro'!C150</f>
        <v>SGSWindow-(AC with Gas Furnace)</v>
      </c>
      <c r="J5" s="19" t="str">
        <f>'SC-Retro'!D150</f>
        <v>SGSWindow-Small Office (AC with Gas Furnace)-Missoula</v>
      </c>
      <c r="K5" s="40">
        <f>VLOOKUP($J5,'SC-Retro'!$D$148:$Y$170,COLUMN()-9,FALSE)</f>
        <v>1.1807477733526499E-3</v>
      </c>
      <c r="L5" s="40">
        <f>VLOOKUP($J5,'SC-Retro'!$D$148:$Y$170,COLUMN()-9,FALSE)</f>
        <v>2.350082630061757E-3</v>
      </c>
      <c r="M5" s="40">
        <f>VLOOKUP($J5,'SC-Retro'!$D$148:$Y$170,COLUMN()-9,FALSE)</f>
        <v>4.1547402947642257E-3</v>
      </c>
      <c r="N5" s="40">
        <f>VLOOKUP($J5,'SC-Retro'!$D$148:$Y$170,COLUMN()-9,FALSE)</f>
        <v>6.7292254555528707E-3</v>
      </c>
      <c r="O5" s="40">
        <f>VLOOKUP($J5,'SC-Retro'!$D$148:$Y$170,COLUMN()-9,FALSE)</f>
        <v>1.017018741994857E-2</v>
      </c>
      <c r="P5" s="40">
        <f>VLOOKUP($J5,'SC-Retro'!$D$148:$Y$170,COLUMN()-9,FALSE)</f>
        <v>1.4503418169298276E-2</v>
      </c>
      <c r="Q5" s="40">
        <f>VLOOKUP($J5,'SC-Retro'!$D$148:$Y$170,COLUMN()-9,FALSE)</f>
        <v>1.9644097633017017E-2</v>
      </c>
      <c r="R5" s="40">
        <f>VLOOKUP($J5,'SC-Retro'!$D$148:$Y$170,COLUMN()-9,FALSE)</f>
        <v>2.5356817094988451E-2</v>
      </c>
      <c r="S5" s="40">
        <f>VLOOKUP($J5,'SC-Retro'!$D$148:$Y$170,COLUMN()-9,FALSE)</f>
        <v>3.1227849454389289E-2</v>
      </c>
      <c r="T5" s="40">
        <f>VLOOKUP($J5,'SC-Retro'!$D$148:$Y$170,COLUMN()-9,FALSE)</f>
        <v>3.6667646834900529E-2</v>
      </c>
      <c r="U5" s="40">
        <f>VLOOKUP($J5,'SC-Retro'!$D$148:$Y$170,COLUMN()-9,FALSE)</f>
        <v>4.0963014432426122E-2</v>
      </c>
      <c r="V5" s="40">
        <f>VLOOKUP($J5,'SC-Retro'!$D$148:$Y$170,COLUMN()-9,FALSE)</f>
        <v>4.3390968884816736E-2</v>
      </c>
      <c r="W5" s="40">
        <f>VLOOKUP($J5,'SC-Retro'!$D$148:$Y$170,COLUMN()-9,FALSE)</f>
        <v>4.338632438242792E-2</v>
      </c>
      <c r="X5" s="40">
        <f>VLOOKUP($J5,'SC-Retro'!$D$148:$Y$170,COLUMN()-9,FALSE)</f>
        <v>4.0724670214393209E-2</v>
      </c>
      <c r="Y5" s="40">
        <f>VLOOKUP($J5,'SC-Retro'!$D$148:$Y$170,COLUMN()-9,FALSE)</f>
        <v>3.5653656981366799E-2</v>
      </c>
      <c r="Z5" s="40">
        <f>VLOOKUP($J5,'SC-Retro'!$D$148:$Y$170,COLUMN()-9,FALSE)</f>
        <v>2.8899309271847317E-2</v>
      </c>
      <c r="AA5" s="40">
        <f>VLOOKUP($J5,'SC-Retro'!$D$148:$Y$170,COLUMN()-9,FALSE)</f>
        <v>2.1509005334652644E-2</v>
      </c>
      <c r="AB5" s="40">
        <f>VLOOKUP($J5,'SC-Retro'!$D$148:$Y$170,COLUMN()-9,FALSE)</f>
        <v>1.456604292888629E-2</v>
      </c>
      <c r="AC5" s="40">
        <f>VLOOKUP($J5,'SC-Retro'!$D$148:$Y$170,COLUMN()-9,FALSE)</f>
        <v>8.8863247939192144E-3</v>
      </c>
      <c r="AD5" s="40">
        <f>VLOOKUP($J5,'SC-Retro'!$D$148:$Y$170,COLUMN()-9,FALSE)</f>
        <v>4.2447558668693552E-3</v>
      </c>
      <c r="AE5" s="40">
        <f>VLOOKUP($J5,'SC-Retro'!$D$148:$Y$170,COLUMN()-9,FALSE)</f>
        <v>0.42447558668693558</v>
      </c>
      <c r="AF5" s="100">
        <f t="shared" si="5"/>
        <v>0.20520410947234621</v>
      </c>
      <c r="AG5" s="100">
        <f t="shared" si="5"/>
        <v>0.22984027109487185</v>
      </c>
      <c r="AH5" s="100">
        <f t="shared" si="5"/>
        <v>0.33940212912993423</v>
      </c>
      <c r="AI5" s="100">
        <f t="shared" si="5"/>
        <v>0.38502666330945395</v>
      </c>
      <c r="AJ5" s="100">
        <f t="shared" si="5"/>
        <v>0.57052843891527116</v>
      </c>
      <c r="AK5" s="100">
        <f t="shared" si="5"/>
        <v>0.78831524207598491</v>
      </c>
      <c r="AL5" s="100">
        <f t="shared" si="5"/>
        <v>0.91579963000688891</v>
      </c>
      <c r="AM5" s="100">
        <f t="shared" si="5"/>
        <v>1.0512397323395286</v>
      </c>
      <c r="AN5" s="100">
        <f t="shared" si="5"/>
        <v>0.82081560605527537</v>
      </c>
      <c r="AO5" s="100">
        <f t="shared" si="5"/>
        <v>0.60117246609809749</v>
      </c>
      <c r="AP5" s="100">
        <f t="shared" si="5"/>
        <v>0.31418262632035321</v>
      </c>
      <c r="AQ5" s="100">
        <f t="shared" si="5"/>
        <v>0.20693648408082296</v>
      </c>
      <c r="AR5" s="100">
        <f t="shared" si="5"/>
        <v>0</v>
      </c>
      <c r="AS5" s="100">
        <f t="shared" si="5"/>
        <v>6.16502338234797E-2</v>
      </c>
      <c r="AT5" s="100">
        <f t="shared" si="5"/>
        <v>6.2693006121039438E-2</v>
      </c>
      <c r="AU5" s="100">
        <f t="shared" si="5"/>
        <v>7.2112979249159784E-2</v>
      </c>
      <c r="AV5" s="100">
        <f t="shared" si="5"/>
        <v>0.10053299499913369</v>
      </c>
      <c r="AW5" s="100">
        <f t="shared" si="5"/>
        <v>0.14558699008103598</v>
      </c>
      <c r="AX5" s="100">
        <f t="shared" si="5"/>
        <v>0.17784208661548781</v>
      </c>
      <c r="AY5" s="100">
        <f t="shared" si="5"/>
        <v>0.27706630853990705</v>
      </c>
      <c r="AZ5" s="100">
        <f t="shared" si="5"/>
        <v>0.24875109306407722</v>
      </c>
      <c r="BA5" s="100">
        <f t="shared" si="5"/>
        <v>0.25920946882826135</v>
      </c>
      <c r="BB5" s="100">
        <f t="shared" si="5"/>
        <v>0.1346415149342739</v>
      </c>
      <c r="BC5" s="100">
        <f t="shared" si="5"/>
        <v>9.1093948774520442E-2</v>
      </c>
      <c r="BD5" s="100">
        <f t="shared" si="5"/>
        <v>6.1353651304482129E-2</v>
      </c>
    </row>
    <row r="6" spans="1:56" ht="15">
      <c r="A6" s="84" t="str">
        <f t="shared" si="1"/>
        <v>Retro1Slow</v>
      </c>
      <c r="B6" s="84" t="s">
        <v>361</v>
      </c>
      <c r="C6" s="84" t="str">
        <f>[1]MLIST!$D$57</f>
        <v>Secondary Glazing Systems-Retro</v>
      </c>
      <c r="D6" s="84" t="s">
        <v>218</v>
      </c>
      <c r="E6" s="84" t="s">
        <v>755</v>
      </c>
      <c r="F6" s="440">
        <f t="shared" si="6"/>
        <v>7.5359695257988402E-3</v>
      </c>
      <c r="G6" s="441">
        <f t="shared" si="7"/>
        <v>9.8765949955951093</v>
      </c>
      <c r="H6" s="99">
        <f t="shared" si="8"/>
        <v>227.99031677741331</v>
      </c>
      <c r="I6" s="19" t="str">
        <f>'SC-Retro'!C151</f>
        <v>SGSWindow-(Air-source Heat Pump)</v>
      </c>
      <c r="J6" s="19" t="str">
        <f>'SC-Retro'!D151</f>
        <v>SGSWindow-Small Office (Air-source Heat Pump)-Portland</v>
      </c>
      <c r="K6" s="40">
        <f>VLOOKUP($J6,'SC-Retro'!$D$148:$Y$170,COLUMN()-9,FALSE)</f>
        <v>1.6101665629186274E-2</v>
      </c>
      <c r="L6" s="40">
        <f>VLOOKUP($J6,'SC-Retro'!$D$148:$Y$170,COLUMN()-9,FALSE)</f>
        <v>3.2047695167587209E-2</v>
      </c>
      <c r="M6" s="40">
        <f>VLOOKUP($J6,'SC-Retro'!$D$148:$Y$170,COLUMN()-9,FALSE)</f>
        <v>5.6657518660778464E-2</v>
      </c>
      <c r="N6" s="40">
        <f>VLOOKUP($J6,'SC-Retro'!$D$148:$Y$170,COLUMN()-9,FALSE)</f>
        <v>9.1765354696425869E-2</v>
      </c>
      <c r="O6" s="40">
        <f>VLOOKUP($J6,'SC-Retro'!$D$148:$Y$170,COLUMN()-9,FALSE)</f>
        <v>0.13868919418513259</v>
      </c>
      <c r="P6" s="40">
        <f>VLOOKUP($J6,'SC-Retro'!$D$148:$Y$170,COLUMN()-9,FALSE)</f>
        <v>0.19778075818785248</v>
      </c>
      <c r="Q6" s="40">
        <f>VLOOKUP($J6,'SC-Retro'!$D$148:$Y$170,COLUMN()-9,FALSE)</f>
        <v>0.2678833691769838</v>
      </c>
      <c r="R6" s="40">
        <f>VLOOKUP($J6,'SC-Retro'!$D$148:$Y$170,COLUMN()-9,FALSE)</f>
        <v>0.34578679672173884</v>
      </c>
      <c r="S6" s="40">
        <f>VLOOKUP($J6,'SC-Retro'!$D$148:$Y$170,COLUMN()-9,FALSE)</f>
        <v>0.42584911153837735</v>
      </c>
      <c r="T6" s="40">
        <f>VLOOKUP($J6,'SC-Retro'!$D$148:$Y$170,COLUMN()-9,FALSE)</f>
        <v>0.50003074498140343</v>
      </c>
      <c r="U6" s="40">
        <f>VLOOKUP($J6,'SC-Retro'!$D$148:$Y$170,COLUMN()-9,FALSE)</f>
        <v>0.55860597533175682</v>
      </c>
      <c r="V6" s="40">
        <f>VLOOKUP($J6,'SC-Retro'!$D$148:$Y$170,COLUMN()-9,FALSE)</f>
        <v>0.59171559589388811</v>
      </c>
      <c r="W6" s="40">
        <f>VLOOKUP($J6,'SC-Retro'!$D$148:$Y$170,COLUMN()-9,FALSE)</f>
        <v>0.59165225956908907</v>
      </c>
      <c r="X6" s="40">
        <f>VLOOKUP($J6,'SC-Retro'!$D$148:$Y$170,COLUMN()-9,FALSE)</f>
        <v>0.55535571393806482</v>
      </c>
      <c r="Y6" s="40">
        <f>VLOOKUP($J6,'SC-Retro'!$D$148:$Y$170,COLUMN()-9,FALSE)</f>
        <v>0.48620313002293636</v>
      </c>
      <c r="Z6" s="40">
        <f>VLOOKUP($J6,'SC-Retro'!$D$148:$Y$170,COLUMN()-9,FALSE)</f>
        <v>0.39409518722907688</v>
      </c>
      <c r="AA6" s="40">
        <f>VLOOKUP($J6,'SC-Retro'!$D$148:$Y$170,COLUMN()-9,FALSE)</f>
        <v>0.29331481263909465</v>
      </c>
      <c r="AB6" s="40">
        <f>VLOOKUP($J6,'SC-Retro'!$D$148:$Y$170,COLUMN()-9,FALSE)</f>
        <v>0.19863476186395621</v>
      </c>
      <c r="AC6" s="40">
        <f>VLOOKUP($J6,'SC-Retro'!$D$148:$Y$170,COLUMN()-9,FALSE)</f>
        <v>0.12118136805607188</v>
      </c>
      <c r="AD6" s="40">
        <f>VLOOKUP($J6,'SC-Retro'!$D$148:$Y$170,COLUMN()-9,FALSE)</f>
        <v>5.7885046398850122E-2</v>
      </c>
      <c r="AE6" s="40">
        <f>VLOOKUP($J6,'SC-Retro'!$D$148:$Y$170,COLUMN()-9,FALSE)</f>
        <v>5.788504639885014</v>
      </c>
      <c r="AF6" s="100">
        <f t="shared" si="5"/>
        <v>1.4400964483365017</v>
      </c>
      <c r="AG6" s="100">
        <f t="shared" si="5"/>
        <v>1.0317835917120159</v>
      </c>
      <c r="AH6" s="100">
        <f t="shared" si="5"/>
        <v>0.74740394618384132</v>
      </c>
      <c r="AI6" s="100">
        <f t="shared" si="5"/>
        <v>0.72996541357262268</v>
      </c>
      <c r="AJ6" s="100">
        <f t="shared" si="5"/>
        <v>0.25599481854568512</v>
      </c>
      <c r="AK6" s="100">
        <f t="shared" si="5"/>
        <v>0.13083413101404298</v>
      </c>
      <c r="AL6" s="100">
        <f t="shared" si="5"/>
        <v>5.6935913374599377E-2</v>
      </c>
      <c r="AM6" s="100">
        <f t="shared" si="5"/>
        <v>5.9107141102318211E-2</v>
      </c>
      <c r="AN6" s="100">
        <f t="shared" si="5"/>
        <v>0.1260826910875594</v>
      </c>
      <c r="AO6" s="100">
        <f t="shared" si="5"/>
        <v>0.51241129667370133</v>
      </c>
      <c r="AP6" s="100">
        <f t="shared" si="5"/>
        <v>0.82408171703415667</v>
      </c>
      <c r="AQ6" s="100">
        <f t="shared" si="5"/>
        <v>1.8983079451838405</v>
      </c>
      <c r="AR6" s="100">
        <f t="shared" si="5"/>
        <v>0</v>
      </c>
      <c r="AS6" s="100">
        <f t="shared" si="5"/>
        <v>0.41826428756255668</v>
      </c>
      <c r="AT6" s="100">
        <f t="shared" si="5"/>
        <v>0.27948216525314051</v>
      </c>
      <c r="AU6" s="100">
        <f t="shared" si="5"/>
        <v>0.16151966599190265</v>
      </c>
      <c r="AV6" s="100">
        <f t="shared" si="5"/>
        <v>0.15406149944985476</v>
      </c>
      <c r="AW6" s="100">
        <f t="shared" si="5"/>
        <v>5.9001749722408917E-2</v>
      </c>
      <c r="AX6" s="100">
        <f t="shared" si="5"/>
        <v>2.6749130696747999E-2</v>
      </c>
      <c r="AY6" s="100">
        <f t="shared" si="5"/>
        <v>1.3427867583554645E-2</v>
      </c>
      <c r="AZ6" s="100">
        <f t="shared" si="5"/>
        <v>1.0476708603957897E-2</v>
      </c>
      <c r="BA6" s="100">
        <f t="shared" si="5"/>
        <v>3.4030267260976153E-2</v>
      </c>
      <c r="BB6" s="100">
        <f t="shared" si="5"/>
        <v>9.6725557263595219E-2</v>
      </c>
      <c r="BC6" s="100">
        <f t="shared" si="5"/>
        <v>0.25318583788053373</v>
      </c>
      <c r="BD6" s="100">
        <f t="shared" si="5"/>
        <v>0.55666520450499457</v>
      </c>
    </row>
    <row r="7" spans="1:56" ht="15">
      <c r="A7" s="84" t="str">
        <f t="shared" si="1"/>
        <v>Retro1Slow</v>
      </c>
      <c r="B7" s="84" t="s">
        <v>361</v>
      </c>
      <c r="C7" s="84" t="str">
        <f>[1]MLIST!$D$57</f>
        <v>Secondary Glazing Systems-Retro</v>
      </c>
      <c r="D7" s="84" t="s">
        <v>218</v>
      </c>
      <c r="E7" s="84" t="s">
        <v>755</v>
      </c>
      <c r="F7" s="440">
        <f t="shared" si="6"/>
        <v>1.0217596715242113E-2</v>
      </c>
      <c r="G7" s="441">
        <f t="shared" si="7"/>
        <v>13.391118984663345</v>
      </c>
      <c r="H7" s="99">
        <f t="shared" si="8"/>
        <v>156.78415467680966</v>
      </c>
      <c r="I7" s="19" t="str">
        <f>'SC-Retro'!C152</f>
        <v>SGSWindow-(Air-source Heat Pump)</v>
      </c>
      <c r="J7" s="19" t="str">
        <f>'SC-Retro'!D152</f>
        <v>SGSWindow-Small Office (Air-source Heat Pump)-Spokane</v>
      </c>
      <c r="K7" s="40">
        <f>VLOOKUP($J7,'SC-Retro'!$D$148:$Y$170,COLUMN()-9,FALSE)</f>
        <v>4.9396842715316242E-3</v>
      </c>
      <c r="L7" s="40">
        <f>VLOOKUP($J7,'SC-Retro'!$D$148:$Y$170,COLUMN()-9,FALSE)</f>
        <v>9.8316223553432929E-3</v>
      </c>
      <c r="M7" s="40">
        <f>VLOOKUP($J7,'SC-Retro'!$D$148:$Y$170,COLUMN()-9,FALSE)</f>
        <v>1.7381447375565743E-2</v>
      </c>
      <c r="N7" s="40">
        <f>VLOOKUP($J7,'SC-Retro'!$D$148:$Y$170,COLUMN()-9,FALSE)</f>
        <v>2.8151862652259257E-2</v>
      </c>
      <c r="O7" s="40">
        <f>VLOOKUP($J7,'SC-Retro'!$D$148:$Y$170,COLUMN()-9,FALSE)</f>
        <v>4.2547202688515674E-2</v>
      </c>
      <c r="P7" s="40">
        <f>VLOOKUP($J7,'SC-Retro'!$D$148:$Y$170,COLUMN()-9,FALSE)</f>
        <v>6.0675368805401482E-2</v>
      </c>
      <c r="Q7" s="40">
        <f>VLOOKUP($J7,'SC-Retro'!$D$148:$Y$170,COLUMN()-9,FALSE)</f>
        <v>8.2181514372641942E-2</v>
      </c>
      <c r="R7" s="40">
        <f>VLOOKUP($J7,'SC-Retro'!$D$148:$Y$170,COLUMN()-9,FALSE)</f>
        <v>0.10608080185031124</v>
      </c>
      <c r="S7" s="40">
        <f>VLOOKUP($J7,'SC-Retro'!$D$148:$Y$170,COLUMN()-9,FALSE)</f>
        <v>0.13064239481528384</v>
      </c>
      <c r="T7" s="40">
        <f>VLOOKUP($J7,'SC-Retro'!$D$148:$Y$170,COLUMN()-9,FALSE)</f>
        <v>0.15339990676428575</v>
      </c>
      <c r="U7" s="40">
        <f>VLOOKUP($J7,'SC-Retro'!$D$148:$Y$170,COLUMN()-9,FALSE)</f>
        <v>0.17136967155299879</v>
      </c>
      <c r="V7" s="40">
        <f>VLOOKUP($J7,'SC-Retro'!$D$148:$Y$170,COLUMN()-9,FALSE)</f>
        <v>0.18152707238926283</v>
      </c>
      <c r="W7" s="40">
        <f>VLOOKUP($J7,'SC-Retro'!$D$148:$Y$170,COLUMN()-9,FALSE)</f>
        <v>0.1815076420113981</v>
      </c>
      <c r="X7" s="40">
        <f>VLOOKUP($J7,'SC-Retro'!$D$148:$Y$170,COLUMN()-9,FALSE)</f>
        <v>0.17037255327626066</v>
      </c>
      <c r="Y7" s="40">
        <f>VLOOKUP($J7,'SC-Retro'!$D$148:$Y$170,COLUMN()-9,FALSE)</f>
        <v>0.14915785791690903</v>
      </c>
      <c r="Z7" s="40">
        <f>VLOOKUP($J7,'SC-Retro'!$D$148:$Y$170,COLUMN()-9,FALSE)</f>
        <v>0.12090089576280451</v>
      </c>
      <c r="AA7" s="40">
        <f>VLOOKUP($J7,'SC-Retro'!$D$148:$Y$170,COLUMN()-9,FALSE)</f>
        <v>8.998339674712294E-2</v>
      </c>
      <c r="AB7" s="40">
        <f>VLOOKUP($J7,'SC-Retro'!$D$148:$Y$170,COLUMN()-9,FALSE)</f>
        <v>6.0937360864100912E-2</v>
      </c>
      <c r="AC7" s="40">
        <f>VLOOKUP($J7,'SC-Retro'!$D$148:$Y$170,COLUMN()-9,FALSE)</f>
        <v>3.7176135163571537E-2</v>
      </c>
      <c r="AD7" s="40">
        <f>VLOOKUP($J7,'SC-Retro'!$D$148:$Y$170,COLUMN()-9,FALSE)</f>
        <v>1.7758029500686411E-2</v>
      </c>
      <c r="AE7" s="40">
        <f>VLOOKUP($J7,'SC-Retro'!$D$148:$Y$170,COLUMN()-9,FALSE)</f>
        <v>1.775802950068641</v>
      </c>
      <c r="AF7" s="100">
        <f t="shared" si="5"/>
        <v>1.9525456797272682</v>
      </c>
      <c r="AG7" s="100">
        <f t="shared" si="5"/>
        <v>1.3989372703042979</v>
      </c>
      <c r="AH7" s="100">
        <f t="shared" si="5"/>
        <v>1.0133629228917955</v>
      </c>
      <c r="AI7" s="100">
        <f t="shared" si="5"/>
        <v>0.98971899852120915</v>
      </c>
      <c r="AJ7" s="100">
        <f t="shared" si="5"/>
        <v>0.34708895891058217</v>
      </c>
      <c r="AK7" s="100">
        <f t="shared" si="5"/>
        <v>0.17739063072298386</v>
      </c>
      <c r="AL7" s="100">
        <f t="shared" si="5"/>
        <v>7.7196198774961033E-2</v>
      </c>
      <c r="AM7" s="100">
        <f t="shared" si="5"/>
        <v>8.014004418500878E-2</v>
      </c>
      <c r="AN7" s="100">
        <f t="shared" si="5"/>
        <v>0.1709484208892913</v>
      </c>
      <c r="AO7" s="100">
        <f t="shared" si="5"/>
        <v>0.69474962230439341</v>
      </c>
      <c r="AP7" s="100">
        <f t="shared" si="5"/>
        <v>1.1173259945165073</v>
      </c>
      <c r="AQ7" s="100">
        <f t="shared" si="5"/>
        <v>2.5738088455409924</v>
      </c>
      <c r="AR7" s="100">
        <f t="shared" si="5"/>
        <v>0</v>
      </c>
      <c r="AS7" s="100">
        <f t="shared" si="5"/>
        <v>0.56710099424788196</v>
      </c>
      <c r="AT7" s="100">
        <f t="shared" si="5"/>
        <v>0.37893412969402024</v>
      </c>
      <c r="AU7" s="100">
        <f t="shared" si="5"/>
        <v>0.21899541963858002</v>
      </c>
      <c r="AV7" s="100">
        <f t="shared" si="5"/>
        <v>0.20888331160777168</v>
      </c>
      <c r="AW7" s="100">
        <f t="shared" si="5"/>
        <v>7.999714994777897E-2</v>
      </c>
      <c r="AX7" s="100">
        <f t="shared" si="5"/>
        <v>3.626764001725475E-2</v>
      </c>
      <c r="AY7" s="100">
        <f t="shared" si="5"/>
        <v>1.820608950775849E-2</v>
      </c>
      <c r="AZ7" s="100">
        <f t="shared" si="5"/>
        <v>1.4204779232702863E-2</v>
      </c>
      <c r="BA7" s="100">
        <f t="shared" si="5"/>
        <v>4.6139723070032314E-2</v>
      </c>
      <c r="BB7" s="100">
        <f t="shared" si="5"/>
        <v>0.13114473629346449</v>
      </c>
      <c r="BC7" s="100">
        <f t="shared" si="5"/>
        <v>0.3432804202057515</v>
      </c>
      <c r="BD7" s="100">
        <f t="shared" si="5"/>
        <v>0.75475100391105776</v>
      </c>
    </row>
    <row r="8" spans="1:56" ht="15">
      <c r="A8" s="84" t="str">
        <f t="shared" si="1"/>
        <v>Retro1Slow</v>
      </c>
      <c r="B8" s="84" t="s">
        <v>361</v>
      </c>
      <c r="C8" s="84" t="str">
        <f>[1]MLIST!$D$57</f>
        <v>Secondary Glazing Systems-Retro</v>
      </c>
      <c r="D8" s="84" t="s">
        <v>218</v>
      </c>
      <c r="E8" s="84" t="s">
        <v>755</v>
      </c>
      <c r="F8" s="440">
        <f t="shared" si="6"/>
        <v>9.3633030331800975E-3</v>
      </c>
      <c r="G8" s="441">
        <f t="shared" si="7"/>
        <v>12.271486974988012</v>
      </c>
      <c r="H8" s="99">
        <f t="shared" si="8"/>
        <v>175.04144944073664</v>
      </c>
      <c r="I8" s="19" t="str">
        <f>'SC-Retro'!C153</f>
        <v>SGSWindow-(Air-source Heat Pump)</v>
      </c>
      <c r="J8" s="19" t="str">
        <f>'SC-Retro'!D153</f>
        <v>SGSWindow-Small Office (Air-source Heat Pump)-Missoula</v>
      </c>
      <c r="K8" s="40">
        <f>VLOOKUP($J8,'SC-Retro'!$D$148:$Y$170,COLUMN()-9,FALSE)</f>
        <v>8.7330947073233002E-4</v>
      </c>
      <c r="L8" s="40">
        <f>VLOOKUP($J8,'SC-Retro'!$D$148:$Y$170,COLUMN()-9,FALSE)</f>
        <v>1.7381776736355586E-3</v>
      </c>
      <c r="M8" s="40">
        <f>VLOOKUP($J8,'SC-Retro'!$D$148:$Y$170,COLUMN()-9,FALSE)</f>
        <v>3.0729459159159101E-3</v>
      </c>
      <c r="N8" s="40">
        <f>VLOOKUP($J8,'SC-Retro'!$D$148:$Y$170,COLUMN()-9,FALSE)</f>
        <v>4.9770971020685782E-3</v>
      </c>
      <c r="O8" s="40">
        <f>VLOOKUP($J8,'SC-Retro'!$D$148:$Y$170,COLUMN()-9,FALSE)</f>
        <v>7.5221153860361486E-3</v>
      </c>
      <c r="P8" s="40">
        <f>VLOOKUP($J8,'SC-Retro'!$D$148:$Y$170,COLUMN()-9,FALSE)</f>
        <v>1.0727077137969438E-2</v>
      </c>
      <c r="Q8" s="40">
        <f>VLOOKUP($J8,'SC-Retro'!$D$148:$Y$170,COLUMN()-9,FALSE)</f>
        <v>1.4529247392262979E-2</v>
      </c>
      <c r="R8" s="40">
        <f>VLOOKUP($J8,'SC-Retro'!$D$148:$Y$170,COLUMN()-9,FALSE)</f>
        <v>1.8754512196795043E-2</v>
      </c>
      <c r="S8" s="40">
        <f>VLOOKUP($J8,'SC-Retro'!$D$148:$Y$170,COLUMN()-9,FALSE)</f>
        <v>2.3096869030449971E-2</v>
      </c>
      <c r="T8" s="40">
        <f>VLOOKUP($J8,'SC-Retro'!$D$148:$Y$170,COLUMN()-9,FALSE)</f>
        <v>2.7120274095001846E-2</v>
      </c>
      <c r="U8" s="40">
        <f>VLOOKUP($J8,'SC-Retro'!$D$148:$Y$170,COLUMN()-9,FALSE)</f>
        <v>3.0297231348577383E-2</v>
      </c>
      <c r="V8" s="40">
        <f>VLOOKUP($J8,'SC-Retro'!$D$148:$Y$170,COLUMN()-9,FALSE)</f>
        <v>3.2093004896181762E-2</v>
      </c>
      <c r="W8" s="40">
        <f>VLOOKUP($J8,'SC-Retro'!$D$148:$Y$170,COLUMN()-9,FALSE)</f>
        <v>3.2089569710433766E-2</v>
      </c>
      <c r="X8" s="40">
        <f>VLOOKUP($J8,'SC-Retro'!$D$148:$Y$170,COLUMN()-9,FALSE)</f>
        <v>3.0120946228588203E-2</v>
      </c>
      <c r="Y8" s="40">
        <f>VLOOKUP($J8,'SC-Retro'!$D$148:$Y$170,COLUMN()-9,FALSE)</f>
        <v>2.6370302795201628E-2</v>
      </c>
      <c r="Z8" s="40">
        <f>VLOOKUP($J8,'SC-Retro'!$D$148:$Y$170,COLUMN()-9,FALSE)</f>
        <v>2.1374624669471334E-2</v>
      </c>
      <c r="AA8" s="40">
        <f>VLOOKUP($J8,'SC-Retro'!$D$148:$Y$170,COLUMN()-9,FALSE)</f>
        <v>1.5908578011922459E-2</v>
      </c>
      <c r="AB8" s="40">
        <f>VLOOKUP($J8,'SC-Retro'!$D$148:$Y$170,COLUMN()-9,FALSE)</f>
        <v>1.0773395917377561E-2</v>
      </c>
      <c r="AC8" s="40">
        <f>VLOOKUP($J8,'SC-Retro'!$D$148:$Y$170,COLUMN()-9,FALSE)</f>
        <v>6.5725396885549445E-3</v>
      </c>
      <c r="AD8" s="40">
        <f>VLOOKUP($J8,'SC-Retro'!$D$148:$Y$170,COLUMN()-9,FALSE)</f>
        <v>3.1395235994880659E-3</v>
      </c>
      <c r="AE8" s="40">
        <f>VLOOKUP($J8,'SC-Retro'!$D$148:$Y$170,COLUMN()-9,FALSE)</f>
        <v>0.3139523599488066</v>
      </c>
      <c r="AF8" s="100">
        <f t="shared" si="5"/>
        <v>1.789293255050908</v>
      </c>
      <c r="AG8" s="100">
        <f t="shared" si="5"/>
        <v>1.2819720675341351</v>
      </c>
      <c r="AH8" s="100">
        <f t="shared" si="5"/>
        <v>0.92863560718447902</v>
      </c>
      <c r="AI8" s="100">
        <f t="shared" si="5"/>
        <v>0.90696855230403539</v>
      </c>
      <c r="AJ8" s="100">
        <f t="shared" si="5"/>
        <v>0.3180688367649836</v>
      </c>
      <c r="AK8" s="100">
        <f t="shared" si="5"/>
        <v>0.16255899278433086</v>
      </c>
      <c r="AL8" s="100">
        <f t="shared" si="5"/>
        <v>7.0741821416900469E-2</v>
      </c>
      <c r="AM8" s="100">
        <f t="shared" si="5"/>
        <v>7.3439531791003848E-2</v>
      </c>
      <c r="AN8" s="100">
        <f t="shared" si="5"/>
        <v>0.15665541638008568</v>
      </c>
      <c r="AO8" s="100">
        <f t="shared" si="5"/>
        <v>0.63666157777781407</v>
      </c>
      <c r="AP8" s="100">
        <f t="shared" si="5"/>
        <v>1.0239063221100599</v>
      </c>
      <c r="AQ8" s="100">
        <f t="shared" si="5"/>
        <v>2.3586125819909785</v>
      </c>
      <c r="AR8" s="100">
        <f t="shared" si="5"/>
        <v>0</v>
      </c>
      <c r="AS8" s="100">
        <f t="shared" si="5"/>
        <v>0.51968565676892831</v>
      </c>
      <c r="AT8" s="100">
        <f t="shared" si="5"/>
        <v>0.34725143150802129</v>
      </c>
      <c r="AU8" s="100">
        <f t="shared" si="5"/>
        <v>0.20068520358565317</v>
      </c>
      <c r="AV8" s="100">
        <f t="shared" si="5"/>
        <v>0.19141856932365792</v>
      </c>
      <c r="AW8" s="100">
        <f t="shared" si="5"/>
        <v>7.3308584946832372E-2</v>
      </c>
      <c r="AX8" s="100">
        <f t="shared" si="5"/>
        <v>3.3235301142123676E-2</v>
      </c>
      <c r="AY8" s="100">
        <f t="shared" si="5"/>
        <v>1.6683877614394965E-2</v>
      </c>
      <c r="AZ8" s="100">
        <f t="shared" si="5"/>
        <v>1.3017117056187195E-2</v>
      </c>
      <c r="BA8" s="100">
        <f t="shared" si="5"/>
        <v>4.2281978924384102E-2</v>
      </c>
      <c r="BB8" s="100">
        <f t="shared" si="5"/>
        <v>0.12017971949219791</v>
      </c>
      <c r="BC8" s="100">
        <f t="shared" si="5"/>
        <v>0.31457873013807708</v>
      </c>
      <c r="BD8" s="100">
        <f t="shared" si="5"/>
        <v>0.6916462413978407</v>
      </c>
    </row>
    <row r="9" spans="1:56" ht="15">
      <c r="A9" s="84" t="str">
        <f t="shared" si="1"/>
        <v>Retro1Slow</v>
      </c>
      <c r="B9" s="84" t="s">
        <v>361</v>
      </c>
      <c r="C9" s="84" t="str">
        <f>[1]MLIST!$D$57</f>
        <v>Secondary Glazing Systems-Retro</v>
      </c>
      <c r="D9" s="84" t="s">
        <v>218</v>
      </c>
      <c r="E9" s="84" t="s">
        <v>755</v>
      </c>
      <c r="F9" s="440">
        <f t="shared" si="6"/>
        <v>2.2898469279296212E-2</v>
      </c>
      <c r="G9" s="441">
        <f t="shared" si="7"/>
        <v>30.010592043458619</v>
      </c>
      <c r="H9" s="99">
        <f t="shared" si="8"/>
        <v>45.968530125465826</v>
      </c>
      <c r="I9" s="19" t="str">
        <f>'SC-Retro'!C154</f>
        <v>SGSWindow-(Apackaged VAV with Electric reheat)</v>
      </c>
      <c r="J9" s="19" t="str">
        <f>'SC-Retro'!D154</f>
        <v>SGSWindow-Mid-rise Office (Apackaged VAV with Electric reheat)-Portland</v>
      </c>
      <c r="K9" s="40">
        <f>VLOOKUP($J9,'SC-Retro'!$D$148:$Y$170,COLUMN()-9,FALSE)</f>
        <v>1.0169983589701162E-2</v>
      </c>
      <c r="L9" s="40">
        <f>VLOOKUP($J9,'SC-Retro'!$D$148:$Y$170,COLUMN()-9,FALSE)</f>
        <v>2.0241665766014178E-2</v>
      </c>
      <c r="M9" s="40">
        <f>VLOOKUP($J9,'SC-Retro'!$D$148:$Y$170,COLUMN()-9,FALSE)</f>
        <v>3.578549252500058E-2</v>
      </c>
      <c r="N9" s="40">
        <f>VLOOKUP($J9,'SC-Retro'!$D$148:$Y$170,COLUMN()-9,FALSE)</f>
        <v>5.7959975871944701E-2</v>
      </c>
      <c r="O9" s="40">
        <f>VLOOKUP($J9,'SC-Retro'!$D$148:$Y$170,COLUMN()-9,FALSE)</f>
        <v>8.7597572910409288E-2</v>
      </c>
      <c r="P9" s="40">
        <f>VLOOKUP($J9,'SC-Retro'!$D$148:$Y$170,COLUMN()-9,FALSE)</f>
        <v>0.12492043441040973</v>
      </c>
      <c r="Q9" s="40">
        <f>VLOOKUP($J9,'SC-Retro'!$D$148:$Y$170,COLUMN()-9,FALSE)</f>
        <v>0.1691979905200319</v>
      </c>
      <c r="R9" s="40">
        <f>VLOOKUP($J9,'SC-Retro'!$D$148:$Y$170,COLUMN()-9,FALSE)</f>
        <v>0.21840262549118244</v>
      </c>
      <c r="S9" s="40">
        <f>VLOOKUP($J9,'SC-Retro'!$D$148:$Y$170,COLUMN()-9,FALSE)</f>
        <v>0.26897083666821764</v>
      </c>
      <c r="T9" s="40">
        <f>VLOOKUP($J9,'SC-Retro'!$D$148:$Y$170,COLUMN()-9,FALSE)</f>
        <v>0.31582474682551909</v>
      </c>
      <c r="U9" s="40">
        <f>VLOOKUP($J9,'SC-Retro'!$D$148:$Y$170,COLUMN()-9,FALSE)</f>
        <v>0.3528214864886669</v>
      </c>
      <c r="V9" s="40">
        <f>VLOOKUP($J9,'SC-Retro'!$D$148:$Y$170,COLUMN()-9,FALSE)</f>
        <v>0.37373387564968347</v>
      </c>
      <c r="W9" s="40">
        <f>VLOOKUP($J9,'SC-Retro'!$D$148:$Y$170,COLUMN()-9,FALSE)</f>
        <v>0.37369387175203256</v>
      </c>
      <c r="X9" s="40">
        <f>VLOOKUP($J9,'SC-Retro'!$D$148:$Y$170,COLUMN()-9,FALSE)</f>
        <v>0.3507685867578359</v>
      </c>
      <c r="Y9" s="40">
        <f>VLOOKUP($J9,'SC-Retro'!$D$148:$Y$170,COLUMN()-9,FALSE)</f>
        <v>0.30709107787158108</v>
      </c>
      <c r="Z9" s="40">
        <f>VLOOKUP($J9,'SC-Retro'!$D$148:$Y$170,COLUMN()-9,FALSE)</f>
        <v>0.24891471970670068</v>
      </c>
      <c r="AA9" s="40">
        <f>VLOOKUP($J9,'SC-Retro'!$D$148:$Y$170,COLUMN()-9,FALSE)</f>
        <v>0.18526076120651719</v>
      </c>
      <c r="AB9" s="40">
        <f>VLOOKUP($J9,'SC-Retro'!$D$148:$Y$170,COLUMN()-9,FALSE)</f>
        <v>0.12545983223244478</v>
      </c>
      <c r="AC9" s="40">
        <f>VLOOKUP($J9,'SC-Retro'!$D$148:$Y$170,COLUMN()-9,FALSE)</f>
        <v>7.6539443365032128E-2</v>
      </c>
      <c r="AD9" s="40">
        <f>VLOOKUP($J9,'SC-Retro'!$D$148:$Y$170,COLUMN()-9,FALSE)</f>
        <v>3.6560812124822796E-2</v>
      </c>
      <c r="AE9" s="40">
        <f>VLOOKUP($J9,'SC-Retro'!$D$148:$Y$170,COLUMN()-9,FALSE)</f>
        <v>3.6560812124822801</v>
      </c>
      <c r="AF9" s="100">
        <f t="shared" si="5"/>
        <v>4.3758144414684841</v>
      </c>
      <c r="AG9" s="100">
        <f t="shared" si="5"/>
        <v>3.1351327519062697</v>
      </c>
      <c r="AH9" s="100">
        <f t="shared" si="5"/>
        <v>2.2710291280140575</v>
      </c>
      <c r="AI9" s="100">
        <f t="shared" si="5"/>
        <v>2.2180411611828532</v>
      </c>
      <c r="AJ9" s="100">
        <f t="shared" si="5"/>
        <v>0.77785472301336001</v>
      </c>
      <c r="AK9" s="100">
        <f t="shared" si="5"/>
        <v>0.39754690082705746</v>
      </c>
      <c r="AL9" s="100">
        <f t="shared" si="5"/>
        <v>0.17300299036954139</v>
      </c>
      <c r="AM9" s="100">
        <f t="shared" si="5"/>
        <v>0.17960038852134133</v>
      </c>
      <c r="AN9" s="100">
        <f t="shared" si="5"/>
        <v>0.38310938209552142</v>
      </c>
      <c r="AO9" s="100">
        <f t="shared" si="5"/>
        <v>1.5569906824965962</v>
      </c>
      <c r="AP9" s="100">
        <f t="shared" si="5"/>
        <v>2.5040188679818209</v>
      </c>
      <c r="AQ9" s="100">
        <f t="shared" si="5"/>
        <v>5.7681159692359936</v>
      </c>
      <c r="AR9" s="100">
        <f t="shared" si="5"/>
        <v>0</v>
      </c>
      <c r="AS9" s="100">
        <f t="shared" si="5"/>
        <v>1.270919674846039</v>
      </c>
      <c r="AT9" s="100">
        <f t="shared" si="5"/>
        <v>0.84922235330852558</v>
      </c>
      <c r="AU9" s="100">
        <f t="shared" si="5"/>
        <v>0.49078663296819897</v>
      </c>
      <c r="AV9" s="100">
        <f t="shared" si="5"/>
        <v>0.46812457245185746</v>
      </c>
      <c r="AW9" s="100">
        <f t="shared" si="5"/>
        <v>0.17928015085757504</v>
      </c>
      <c r="AX9" s="100">
        <f t="shared" si="5"/>
        <v>8.1278745277626976E-2</v>
      </c>
      <c r="AY9" s="100">
        <f t="shared" si="5"/>
        <v>4.0801334492643102E-2</v>
      </c>
      <c r="AZ9" s="100">
        <f t="shared" si="5"/>
        <v>3.1834071156284019E-2</v>
      </c>
      <c r="BA9" s="100">
        <f t="shared" si="5"/>
        <v>0.10340289020198762</v>
      </c>
      <c r="BB9" s="100">
        <f t="shared" si="5"/>
        <v>0.29390607193152862</v>
      </c>
      <c r="BC9" s="100">
        <f t="shared" si="5"/>
        <v>0.76931947652027022</v>
      </c>
      <c r="BD9" s="100">
        <f t="shared" si="5"/>
        <v>1.6914586823331874</v>
      </c>
    </row>
    <row r="10" spans="1:56" ht="15">
      <c r="A10" s="84" t="str">
        <f t="shared" si="1"/>
        <v>Retro1Slow</v>
      </c>
      <c r="B10" s="84" t="s">
        <v>361</v>
      </c>
      <c r="C10" s="84" t="str">
        <f>[1]MLIST!$D$57</f>
        <v>Secondary Glazing Systems-Retro</v>
      </c>
      <c r="D10" s="84" t="s">
        <v>218</v>
      </c>
      <c r="E10" s="84" t="s">
        <v>755</v>
      </c>
      <c r="F10" s="440">
        <f t="shared" si="6"/>
        <v>3.8589243332838072E-2</v>
      </c>
      <c r="G10" s="441">
        <f t="shared" si="7"/>
        <v>50.574823356190421</v>
      </c>
      <c r="H10" s="99">
        <f t="shared" si="8"/>
        <v>9.6625033770391422</v>
      </c>
      <c r="I10" s="19" t="str">
        <f>'SC-Retro'!C155</f>
        <v>SGSWindow-(Apackaged VAV with Electric reheat)</v>
      </c>
      <c r="J10" s="19" t="str">
        <f>'SC-Retro'!D155</f>
        <v>SGSWindow-Mid-rise Office (Apackaged VAV with Electric reheat)-Spokane</v>
      </c>
      <c r="K10" s="40">
        <f>VLOOKUP($J10,'SC-Retro'!$D$148:$Y$170,COLUMN()-9,FALSE)</f>
        <v>3.8779198369425843E-3</v>
      </c>
      <c r="L10" s="40">
        <f>VLOOKUP($J10,'SC-Retro'!$D$148:$Y$170,COLUMN()-9,FALSE)</f>
        <v>7.7183563291368679E-3</v>
      </c>
      <c r="M10" s="40">
        <f>VLOOKUP($J10,'SC-Retro'!$D$148:$Y$170,COLUMN()-9,FALSE)</f>
        <v>1.3645378098544023E-2</v>
      </c>
      <c r="N10" s="40">
        <f>VLOOKUP($J10,'SC-Retro'!$D$148:$Y$170,COLUMN()-9,FALSE)</f>
        <v>2.2100737744566265E-2</v>
      </c>
      <c r="O10" s="40">
        <f>VLOOKUP($J10,'SC-Retro'!$D$148:$Y$170,COLUMN()-9,FALSE)</f>
        <v>3.3401859763205623E-2</v>
      </c>
      <c r="P10" s="40">
        <f>VLOOKUP($J10,'SC-Retro'!$D$148:$Y$170,COLUMN()-9,FALSE)</f>
        <v>4.7633452538722115E-2</v>
      </c>
      <c r="Q10" s="40">
        <f>VLOOKUP($J10,'SC-Retro'!$D$148:$Y$170,COLUMN()-9,FALSE)</f>
        <v>6.4516942237045988E-2</v>
      </c>
      <c r="R10" s="40">
        <f>VLOOKUP($J10,'SC-Retro'!$D$148:$Y$170,COLUMN()-9,FALSE)</f>
        <v>8.3279178020530698E-2</v>
      </c>
      <c r="S10" s="40">
        <f>VLOOKUP($J10,'SC-Retro'!$D$148:$Y$170,COLUMN()-9,FALSE)</f>
        <v>0.1025613595021912</v>
      </c>
      <c r="T10" s="40">
        <f>VLOOKUP($J10,'SC-Retro'!$D$148:$Y$170,COLUMN()-9,FALSE)</f>
        <v>0.12042723962232459</v>
      </c>
      <c r="U10" s="40">
        <f>VLOOKUP($J10,'SC-Retro'!$D$148:$Y$170,COLUMN()-9,FALSE)</f>
        <v>0.13453447877138369</v>
      </c>
      <c r="V10" s="40">
        <f>VLOOKUP($J10,'SC-Retro'!$D$148:$Y$170,COLUMN()-9,FALSE)</f>
        <v>0.14250858886213091</v>
      </c>
      <c r="W10" s="40">
        <f>VLOOKUP($J10,'SC-Retro'!$D$148:$Y$170,COLUMN()-9,FALSE)</f>
        <v>0.14249333496256592</v>
      </c>
      <c r="X10" s="40">
        <f>VLOOKUP($J10,'SC-Retro'!$D$148:$Y$170,COLUMN()-9,FALSE)</f>
        <v>0.13375168688984077</v>
      </c>
      <c r="Y10" s="40">
        <f>VLOOKUP($J10,'SC-Retro'!$D$148:$Y$170,COLUMN()-9,FALSE)</f>
        <v>0.11709700139853202</v>
      </c>
      <c r="Z10" s="40">
        <f>VLOOKUP($J10,'SC-Retro'!$D$148:$Y$170,COLUMN()-9,FALSE)</f>
        <v>9.4913754849626275E-2</v>
      </c>
      <c r="AA10" s="40">
        <f>VLOOKUP($J10,'SC-Retro'!$D$148:$Y$170,COLUMN()-9,FALSE)</f>
        <v>7.0641842688651466E-2</v>
      </c>
      <c r="AB10" s="40">
        <f>VLOOKUP($J10,'SC-Retro'!$D$148:$Y$170,COLUMN()-9,FALSE)</f>
        <v>4.7839130502272779E-2</v>
      </c>
      <c r="AC10" s="40">
        <f>VLOOKUP($J10,'SC-Retro'!$D$148:$Y$170,COLUMN()-9,FALSE)</f>
        <v>2.9185280695474883E-2</v>
      </c>
      <c r="AD10" s="40">
        <f>VLOOKUP($J10,'SC-Retro'!$D$148:$Y$170,COLUMN()-9,FALSE)</f>
        <v>1.3941015473924422E-2</v>
      </c>
      <c r="AE10" s="40">
        <f>VLOOKUP($J10,'SC-Retro'!$D$148:$Y$170,COLUMN()-9,FALSE)</f>
        <v>1.3941015473924419</v>
      </c>
      <c r="AF10" s="100">
        <f t="shared" si="5"/>
        <v>7.3742644629023077</v>
      </c>
      <c r="AG10" s="100">
        <f t="shared" si="5"/>
        <v>5.283427427764714</v>
      </c>
      <c r="AH10" s="100">
        <f t="shared" si="5"/>
        <v>3.8272119663533721</v>
      </c>
      <c r="AI10" s="100">
        <f t="shared" si="5"/>
        <v>3.7379149255415443</v>
      </c>
      <c r="AJ10" s="100">
        <f t="shared" si="5"/>
        <v>1.310866015445836</v>
      </c>
      <c r="AK10" s="100">
        <f t="shared" si="5"/>
        <v>0.66995893503246762</v>
      </c>
      <c r="AL10" s="100">
        <f t="shared" si="5"/>
        <v>0.29155025216969721</v>
      </c>
      <c r="AM10" s="100">
        <f t="shared" si="5"/>
        <v>0.30266840157689845</v>
      </c>
      <c r="AN10" s="100">
        <f t="shared" si="5"/>
        <v>0.64562836006441127</v>
      </c>
      <c r="AO10" s="100">
        <f t="shared" si="5"/>
        <v>2.6238912121583287</v>
      </c>
      <c r="AP10" s="100">
        <f t="shared" si="5"/>
        <v>4.21985383511793</v>
      </c>
      <c r="AQ10" s="100">
        <f t="shared" si="5"/>
        <v>9.7206161684410262</v>
      </c>
      <c r="AR10" s="100">
        <f t="shared" si="5"/>
        <v>0</v>
      </c>
      <c r="AS10" s="100">
        <f t="shared" si="5"/>
        <v>2.1417950689598504</v>
      </c>
      <c r="AT10" s="100">
        <f t="shared" si="5"/>
        <v>1.4311370614252386</v>
      </c>
      <c r="AU10" s="100">
        <f t="shared" si="5"/>
        <v>0.82708955664726491</v>
      </c>
      <c r="AV10" s="100">
        <f t="shared" si="5"/>
        <v>0.7888987170316536</v>
      </c>
      <c r="AW10" s="100">
        <f t="shared" si="5"/>
        <v>0.3021287266763325</v>
      </c>
      <c r="AX10" s="100">
        <f t="shared" si="5"/>
        <v>0.13697357849775502</v>
      </c>
      <c r="AY10" s="100">
        <f t="shared" si="5"/>
        <v>6.8759732619538508E-2</v>
      </c>
      <c r="AZ10" s="100">
        <f t="shared" si="5"/>
        <v>5.3647809516919935E-2</v>
      </c>
      <c r="BA10" s="100">
        <f t="shared" si="5"/>
        <v>0.17425790530596894</v>
      </c>
      <c r="BB10" s="100">
        <f t="shared" si="5"/>
        <v>0.49530004772061148</v>
      </c>
      <c r="BC10" s="100">
        <f t="shared" si="5"/>
        <v>1.2964821411435745</v>
      </c>
      <c r="BD10" s="100">
        <f t="shared" si="5"/>
        <v>2.8505010480771831</v>
      </c>
    </row>
    <row r="11" spans="1:56" ht="15">
      <c r="A11" s="84" t="str">
        <f t="shared" si="1"/>
        <v>Retro1Slow</v>
      </c>
      <c r="B11" s="84" t="s">
        <v>361</v>
      </c>
      <c r="C11" s="84" t="str">
        <f>[1]MLIST!$D$57</f>
        <v>Secondary Glazing Systems-Retro</v>
      </c>
      <c r="D11" s="84" t="s">
        <v>218</v>
      </c>
      <c r="E11" s="84" t="s">
        <v>755</v>
      </c>
      <c r="F11" s="440">
        <f t="shared" si="6"/>
        <v>3.3435337434671621E-2</v>
      </c>
      <c r="G11" s="441">
        <f t="shared" si="7"/>
        <v>43.820146200538971</v>
      </c>
      <c r="H11" s="99">
        <f t="shared" si="8"/>
        <v>18.248935052284185</v>
      </c>
      <c r="I11" s="19" t="str">
        <f>'SC-Retro'!C156</f>
        <v>SGSWindow-(Apackaged VAV with Electric reheat)</v>
      </c>
      <c r="J11" s="19" t="str">
        <f>'SC-Retro'!D156</f>
        <v>SGSWindow-Mid-rise Office (Apackaged VAV with Electric reheat)-Missoula</v>
      </c>
      <c r="K11" s="40">
        <f>VLOOKUP($J11,'SC-Retro'!$D$148:$Y$170,COLUMN()-9,FALSE)</f>
        <v>6.4822672463522401E-4</v>
      </c>
      <c r="L11" s="40">
        <f>VLOOKUP($J11,'SC-Retro'!$D$148:$Y$170,COLUMN()-9,FALSE)</f>
        <v>1.2901877947917E-3</v>
      </c>
      <c r="M11" s="40">
        <f>VLOOKUP($J11,'SC-Retro'!$D$148:$Y$170,COLUMN()-9,FALSE)</f>
        <v>2.280939040298005E-3</v>
      </c>
      <c r="N11" s="40">
        <f>VLOOKUP($J11,'SC-Retro'!$D$148:$Y$170,COLUMN()-9,FALSE)</f>
        <v>3.6943231017063359E-3</v>
      </c>
      <c r="O11" s="40">
        <f>VLOOKUP($J11,'SC-Retro'!$D$148:$Y$170,COLUMN()-9,FALSE)</f>
        <v>5.5834001375589604E-3</v>
      </c>
      <c r="P11" s="40">
        <f>VLOOKUP($J11,'SC-Retro'!$D$148:$Y$170,COLUMN()-9,FALSE)</f>
        <v>7.9623298625449129E-3</v>
      </c>
      <c r="Q11" s="40">
        <f>VLOOKUP($J11,'SC-Retro'!$D$148:$Y$170,COLUMN()-9,FALSE)</f>
        <v>1.0784546331100309E-2</v>
      </c>
      <c r="R11" s="40">
        <f>VLOOKUP($J11,'SC-Retro'!$D$148:$Y$170,COLUMN()-9,FALSE)</f>
        <v>1.3920810916278262E-2</v>
      </c>
      <c r="S11" s="40">
        <f>VLOOKUP($J11,'SC-Retro'!$D$148:$Y$170,COLUMN()-9,FALSE)</f>
        <v>1.7143988772253066E-2</v>
      </c>
      <c r="T11" s="40">
        <f>VLOOKUP($J11,'SC-Retro'!$D$148:$Y$170,COLUMN()-9,FALSE)</f>
        <v>2.0130420013732872E-2</v>
      </c>
      <c r="U11" s="40">
        <f>VLOOKUP($J11,'SC-Retro'!$D$148:$Y$170,COLUMN()-9,FALSE)</f>
        <v>2.2488562990316482E-2</v>
      </c>
      <c r="V11" s="40">
        <f>VLOOKUP($J11,'SC-Retro'!$D$148:$Y$170,COLUMN()-9,FALSE)</f>
        <v>2.3821502164758285E-2</v>
      </c>
      <c r="W11" s="40">
        <f>VLOOKUP($J11,'SC-Retro'!$D$148:$Y$170,COLUMN()-9,FALSE)</f>
        <v>2.3818952347905764E-2</v>
      </c>
      <c r="X11" s="40">
        <f>VLOOKUP($J11,'SC-Retro'!$D$148:$Y$170,COLUMN()-9,FALSE)</f>
        <v>2.2357712782272027E-2</v>
      </c>
      <c r="Y11" s="40">
        <f>VLOOKUP($J11,'SC-Retro'!$D$148:$Y$170,COLUMN()-9,FALSE)</f>
        <v>1.9573742849986739E-2</v>
      </c>
      <c r="Z11" s="40">
        <f>VLOOKUP($J11,'SC-Retro'!$D$148:$Y$170,COLUMN()-9,FALSE)</f>
        <v>1.5865627711766125E-2</v>
      </c>
      <c r="AA11" s="40">
        <f>VLOOKUP($J11,'SC-Retro'!$D$148:$Y$170,COLUMN()-9,FALSE)</f>
        <v>1.1808374652830468E-2</v>
      </c>
      <c r="AB11" s="40">
        <f>VLOOKUP($J11,'SC-Retro'!$D$148:$Y$170,COLUMN()-9,FALSE)</f>
        <v>7.996710653857814E-3</v>
      </c>
      <c r="AC11" s="40">
        <f>VLOOKUP($J11,'SC-Retro'!$D$148:$Y$170,COLUMN()-9,FALSE)</f>
        <v>4.8785636909150542E-3</v>
      </c>
      <c r="AD11" s="40">
        <f>VLOOKUP($J11,'SC-Retro'!$D$148:$Y$170,COLUMN()-9,FALSE)</f>
        <v>2.3303572994628672E-3</v>
      </c>
      <c r="AE11" s="40">
        <f>VLOOKUP($J11,'SC-Retro'!$D$148:$Y$170,COLUMN()-9,FALSE)</f>
        <v>0.23303572994628668</v>
      </c>
      <c r="AF11" s="100">
        <f t="shared" si="5"/>
        <v>6.389371735616062</v>
      </c>
      <c r="AG11" s="100">
        <f t="shared" si="5"/>
        <v>4.5777829157014525</v>
      </c>
      <c r="AH11" s="100">
        <f t="shared" si="5"/>
        <v>3.3160568199103597</v>
      </c>
      <c r="AI11" s="100">
        <f t="shared" si="5"/>
        <v>3.2386861219231204</v>
      </c>
      <c r="AJ11" s="100">
        <f t="shared" si="5"/>
        <v>1.1357892452060043</v>
      </c>
      <c r="AK11" s="100">
        <f t="shared" si="5"/>
        <v>0.58048049470620056</v>
      </c>
      <c r="AL11" s="100">
        <f t="shared" si="5"/>
        <v>0.25261135535565571</v>
      </c>
      <c r="AM11" s="100">
        <f t="shared" si="5"/>
        <v>0.26224458588760896</v>
      </c>
      <c r="AN11" s="100">
        <f t="shared" si="5"/>
        <v>0.55939946502598703</v>
      </c>
      <c r="AO11" s="100">
        <f t="shared" si="5"/>
        <v>2.2734492955379499</v>
      </c>
      <c r="AP11" s="100">
        <f t="shared" si="5"/>
        <v>3.6562581879416292</v>
      </c>
      <c r="AQ11" s="100">
        <f t="shared" si="5"/>
        <v>8.4223491728374142</v>
      </c>
      <c r="AR11" s="100">
        <f t="shared" si="5"/>
        <v>0</v>
      </c>
      <c r="AS11" s="100">
        <f t="shared" si="5"/>
        <v>1.8557409957206756</v>
      </c>
      <c r="AT11" s="100">
        <f t="shared" si="5"/>
        <v>1.2399971191790149</v>
      </c>
      <c r="AU11" s="100">
        <f t="shared" si="5"/>
        <v>0.71662504954228179</v>
      </c>
      <c r="AV11" s="100">
        <f t="shared" si="5"/>
        <v>0.68353490578258869</v>
      </c>
      <c r="AW11" s="100">
        <f t="shared" si="5"/>
        <v>0.26177698893967682</v>
      </c>
      <c r="AX11" s="100">
        <f t="shared" si="5"/>
        <v>0.11867964803574442</v>
      </c>
      <c r="AY11" s="100">
        <f t="shared" si="5"/>
        <v>5.9576313591401663E-2</v>
      </c>
      <c r="AZ11" s="100">
        <f t="shared" si="5"/>
        <v>4.6482710178014884E-2</v>
      </c>
      <c r="BA11" s="100">
        <f t="shared" si="5"/>
        <v>0.15098435111336039</v>
      </c>
      <c r="BB11" s="100">
        <f t="shared" si="5"/>
        <v>0.42914871598052773</v>
      </c>
      <c r="BC11" s="100">
        <f t="shared" si="5"/>
        <v>1.1233264537807897</v>
      </c>
      <c r="BD11" s="100">
        <f t="shared" si="5"/>
        <v>2.4697935530454536</v>
      </c>
    </row>
    <row r="12" spans="1:56" ht="15">
      <c r="A12" s="84" t="str">
        <f t="shared" si="1"/>
        <v>Retro1Slow</v>
      </c>
      <c r="B12" s="84" t="s">
        <v>361</v>
      </c>
      <c r="C12" s="84" t="str">
        <f>[1]MLIST!$D$57</f>
        <v>Secondary Glazing Systems-Retro</v>
      </c>
      <c r="D12" s="84" t="s">
        <v>218</v>
      </c>
      <c r="E12" s="84" t="s">
        <v>755</v>
      </c>
      <c r="F12" s="440">
        <f t="shared" si="6"/>
        <v>1.0146089834325981E-3</v>
      </c>
      <c r="G12" s="441">
        <f t="shared" si="7"/>
        <v>6.9396479279573011</v>
      </c>
      <c r="H12" s="99">
        <f t="shared" si="8"/>
        <v>314.57849624614124</v>
      </c>
      <c r="I12" s="19" t="str">
        <f>'SC-Retro'!C157</f>
        <v>SGSWindow-(Apackaged VAV with Gas)</v>
      </c>
      <c r="J12" s="19" t="str">
        <f>'SC-Retro'!D157</f>
        <v>SGSWindow-Mid-rise Office (Apackaged VAV with Gas)-Portland</v>
      </c>
      <c r="K12" s="40">
        <f>VLOOKUP($J12,'SC-Retro'!$D$148:$Y$170,COLUMN()-9,FALSE)</f>
        <v>1.2297644175614589E-2</v>
      </c>
      <c r="L12" s="40">
        <f>VLOOKUP($J12,'SC-Retro'!$D$148:$Y$170,COLUMN()-9,FALSE)</f>
        <v>2.4476421315393296E-2</v>
      </c>
      <c r="M12" s="40">
        <f>VLOOKUP($J12,'SC-Retro'!$D$148:$Y$170,COLUMN()-9,FALSE)</f>
        <v>4.3272169501554152E-2</v>
      </c>
      <c r="N12" s="40">
        <f>VLOOKUP($J12,'SC-Retro'!$D$148:$Y$170,COLUMN()-9,FALSE)</f>
        <v>7.0085772844528979E-2</v>
      </c>
      <c r="O12" s="40">
        <f>VLOOKUP($J12,'SC-Retro'!$D$148:$Y$170,COLUMN()-9,FALSE)</f>
        <v>0.10592384666092894</v>
      </c>
      <c r="P12" s="40">
        <f>VLOOKUP($J12,'SC-Retro'!$D$148:$Y$170,COLUMN()-9,FALSE)</f>
        <v>0.15105501784664735</v>
      </c>
      <c r="Q12" s="40">
        <f>VLOOKUP($J12,'SC-Retro'!$D$148:$Y$170,COLUMN()-9,FALSE)</f>
        <v>0.20459587415179936</v>
      </c>
      <c r="R12" s="40">
        <f>VLOOKUP($J12,'SC-Retro'!$D$148:$Y$170,COLUMN()-9,FALSE)</f>
        <v>0.26409460267275581</v>
      </c>
      <c r="S12" s="40">
        <f>VLOOKUP($J12,'SC-Retro'!$D$148:$Y$170,COLUMN()-9,FALSE)</f>
        <v>0.32524218095225915</v>
      </c>
      <c r="T12" s="40">
        <f>VLOOKUP($J12,'SC-Retro'!$D$148:$Y$170,COLUMN()-9,FALSE)</f>
        <v>0.3818983899095873</v>
      </c>
      <c r="U12" s="40">
        <f>VLOOKUP($J12,'SC-Retro'!$D$148:$Y$170,COLUMN()-9,FALSE)</f>
        <v>0.42663521136286631</v>
      </c>
      <c r="V12" s="40">
        <f>VLOOKUP($J12,'SC-Retro'!$D$148:$Y$170,COLUMN()-9,FALSE)</f>
        <v>0.45192267800387359</v>
      </c>
      <c r="W12" s="40">
        <f>VLOOKUP($J12,'SC-Retro'!$D$148:$Y$170,COLUMN()-9,FALSE)</f>
        <v>0.45187430489740704</v>
      </c>
      <c r="X12" s="40">
        <f>VLOOKUP($J12,'SC-Retro'!$D$148:$Y$170,COLUMN()-9,FALSE)</f>
        <v>0.42415282481865002</v>
      </c>
      <c r="Y12" s="40">
        <f>VLOOKUP($J12,'SC-Retro'!$D$148:$Y$170,COLUMN()-9,FALSE)</f>
        <v>0.3713375515172907</v>
      </c>
      <c r="Z12" s="40">
        <f>VLOOKUP($J12,'SC-Retro'!$D$148:$Y$170,COLUMN()-9,FALSE)</f>
        <v>0.30099012707608447</v>
      </c>
      <c r="AA12" s="40">
        <f>VLOOKUP($J12,'SC-Retro'!$D$148:$Y$170,COLUMN()-9,FALSE)</f>
        <v>0.22401913443876037</v>
      </c>
      <c r="AB12" s="40">
        <f>VLOOKUP($J12,'SC-Retro'!$D$148:$Y$170,COLUMN()-9,FALSE)</f>
        <v>0.15170726299787907</v>
      </c>
      <c r="AC12" s="40">
        <f>VLOOKUP($J12,'SC-Retro'!$D$148:$Y$170,COLUMN()-9,FALSE)</f>
        <v>9.255224766104353E-2</v>
      </c>
      <c r="AD12" s="40">
        <f>VLOOKUP($J12,'SC-Retro'!$D$148:$Y$170,COLUMN()-9,FALSE)</f>
        <v>4.4209693586710876E-2</v>
      </c>
      <c r="AE12" s="40">
        <f>VLOOKUP($J12,'SC-Retro'!$D$148:$Y$170,COLUMN()-9,FALSE)</f>
        <v>4.4209693586710879</v>
      </c>
      <c r="AF12" s="100">
        <f t="shared" si="5"/>
        <v>0.37964753222428926</v>
      </c>
      <c r="AG12" s="100">
        <f t="shared" si="5"/>
        <v>0.3502275631526432</v>
      </c>
      <c r="AH12" s="100">
        <f t="shared" si="5"/>
        <v>0.40374535905974479</v>
      </c>
      <c r="AI12" s="100">
        <f t="shared" si="5"/>
        <v>0.37848837840808375</v>
      </c>
      <c r="AJ12" s="100">
        <f t="shared" si="5"/>
        <v>0.39942522339121944</v>
      </c>
      <c r="AK12" s="100">
        <f t="shared" si="5"/>
        <v>0.41386393940371369</v>
      </c>
      <c r="AL12" s="100">
        <f t="shared" si="5"/>
        <v>0.40833081232972257</v>
      </c>
      <c r="AM12" s="100">
        <f t="shared" si="5"/>
        <v>0.44796229572852547</v>
      </c>
      <c r="AN12" s="100">
        <f t="shared" si="5"/>
        <v>0.39153418348297431</v>
      </c>
      <c r="AO12" s="100">
        <f t="shared" si="5"/>
        <v>0.41867261228727898</v>
      </c>
      <c r="AP12" s="100">
        <f t="shared" si="5"/>
        <v>0.35570745370937606</v>
      </c>
      <c r="AQ12" s="100">
        <f t="shared" si="5"/>
        <v>0.37021287179323631</v>
      </c>
      <c r="AR12" s="100">
        <f t="shared" si="5"/>
        <v>0</v>
      </c>
      <c r="AS12" s="100">
        <f t="shared" si="5"/>
        <v>0.20079258878162623</v>
      </c>
      <c r="AT12" s="100">
        <f t="shared" si="5"/>
        <v>0.17300925106725248</v>
      </c>
      <c r="AU12" s="100">
        <f t="shared" si="5"/>
        <v>0.16937763921525664</v>
      </c>
      <c r="AV12" s="100">
        <f t="shared" si="5"/>
        <v>0.17703604604424925</v>
      </c>
      <c r="AW12" s="100">
        <f t="shared" si="5"/>
        <v>0.18131921221011352</v>
      </c>
      <c r="AX12" s="100">
        <f t="shared" si="5"/>
        <v>0.17383383255127102</v>
      </c>
      <c r="AY12" s="100">
        <f t="shared" si="5"/>
        <v>0.20512033054613293</v>
      </c>
      <c r="AZ12" s="100">
        <f t="shared" si="5"/>
        <v>0.18522745636544577</v>
      </c>
      <c r="BA12" s="100">
        <f t="shared" si="5"/>
        <v>0.20204541269171264</v>
      </c>
      <c r="BB12" s="100">
        <f t="shared" si="5"/>
        <v>0.17157987269940431</v>
      </c>
      <c r="BC12" s="100">
        <f t="shared" si="5"/>
        <v>0.18443021232173712</v>
      </c>
      <c r="BD12" s="100">
        <f t="shared" si="5"/>
        <v>0.1980578484922918</v>
      </c>
    </row>
    <row r="13" spans="1:56" ht="15">
      <c r="A13" s="84" t="str">
        <f t="shared" si="1"/>
        <v>Retro1Slow</v>
      </c>
      <c r="B13" s="84" t="s">
        <v>361</v>
      </c>
      <c r="C13" s="84" t="str">
        <f>[1]MLIST!$D$57</f>
        <v>Secondary Glazing Systems-Retro</v>
      </c>
      <c r="D13" s="84" t="s">
        <v>218</v>
      </c>
      <c r="E13" s="84" t="s">
        <v>755</v>
      </c>
      <c r="F13" s="440">
        <f t="shared" si="6"/>
        <v>1.3239166589346391E-3</v>
      </c>
      <c r="G13" s="441">
        <f t="shared" si="7"/>
        <v>9.0552278256801593</v>
      </c>
      <c r="H13" s="99">
        <f t="shared" si="8"/>
        <v>198.18557111957824</v>
      </c>
      <c r="I13" s="19" t="str">
        <f>'SC-Retro'!C158</f>
        <v>SGSWindow-(Apackaged VAV with Gas)</v>
      </c>
      <c r="J13" s="19" t="str">
        <f>'SC-Retro'!D158</f>
        <v>SGSWindow-Mid-rise Office (Apackaged VAV with Gas)-Spokane</v>
      </c>
      <c r="K13" s="40">
        <f>VLOOKUP($J13,'SC-Retro'!$D$148:$Y$170,COLUMN()-9,FALSE)</f>
        <v>3.6308025371951085E-3</v>
      </c>
      <c r="L13" s="40">
        <f>VLOOKUP($J13,'SC-Retro'!$D$148:$Y$170,COLUMN()-9,FALSE)</f>
        <v>7.2265103254172732E-3</v>
      </c>
      <c r="M13" s="40">
        <f>VLOOKUP($J13,'SC-Retro'!$D$148:$Y$170,COLUMN()-9,FALSE)</f>
        <v>1.2775837434597728E-2</v>
      </c>
      <c r="N13" s="40">
        <f>VLOOKUP($J13,'SC-Retro'!$D$148:$Y$170,COLUMN()-9,FALSE)</f>
        <v>2.0692386137646433E-2</v>
      </c>
      <c r="O13" s="40">
        <f>VLOOKUP($J13,'SC-Retro'!$D$148:$Y$170,COLUMN()-9,FALSE)</f>
        <v>3.127335331173265E-2</v>
      </c>
      <c r="P13" s="40">
        <f>VLOOKUP($J13,'SC-Retro'!$D$148:$Y$170,COLUMN()-9,FALSE)</f>
        <v>4.4598049367959545E-2</v>
      </c>
      <c r="Q13" s="40">
        <f>VLOOKUP($J13,'SC-Retro'!$D$148:$Y$170,COLUMN()-9,FALSE)</f>
        <v>6.0405652364134955E-2</v>
      </c>
      <c r="R13" s="40">
        <f>VLOOKUP($J13,'SC-Retro'!$D$148:$Y$170,COLUMN()-9,FALSE)</f>
        <v>7.7972279873340419E-2</v>
      </c>
      <c r="S13" s="40">
        <f>VLOOKUP($J13,'SC-Retro'!$D$148:$Y$170,COLUMN()-9,FALSE)</f>
        <v>9.6025719962361547E-2</v>
      </c>
      <c r="T13" s="40">
        <f>VLOOKUP($J13,'SC-Retro'!$D$148:$Y$170,COLUMN()-9,FALSE)</f>
        <v>0.11275311134664207</v>
      </c>
      <c r="U13" s="40">
        <f>VLOOKUP($J13,'SC-Retro'!$D$148:$Y$170,COLUMN()-9,FALSE)</f>
        <v>0.1259613781105072</v>
      </c>
      <c r="V13" s="40">
        <f>VLOOKUP($J13,'SC-Retro'!$D$148:$Y$170,COLUMN()-9,FALSE)</f>
        <v>0.13342734449628596</v>
      </c>
      <c r="W13" s="40">
        <f>VLOOKUP($J13,'SC-Retro'!$D$148:$Y$170,COLUMN()-9,FALSE)</f>
        <v>0.1334130626391121</v>
      </c>
      <c r="X13" s="40">
        <f>VLOOKUP($J13,'SC-Retro'!$D$148:$Y$170,COLUMN()-9,FALSE)</f>
        <v>0.12522846900740342</v>
      </c>
      <c r="Y13" s="40">
        <f>VLOOKUP($J13,'SC-Retro'!$D$148:$Y$170,COLUMN()-9,FALSE)</f>
        <v>0.10963508985552656</v>
      </c>
      <c r="Z13" s="40">
        <f>VLOOKUP($J13,'SC-Retro'!$D$148:$Y$170,COLUMN()-9,FALSE)</f>
        <v>8.8865452720249136E-2</v>
      </c>
      <c r="AA13" s="40">
        <f>VLOOKUP($J13,'SC-Retro'!$D$148:$Y$170,COLUMN()-9,FALSE)</f>
        <v>6.614024849681048E-2</v>
      </c>
      <c r="AB13" s="40">
        <f>VLOOKUP($J13,'SC-Retro'!$D$148:$Y$170,COLUMN()-9,FALSE)</f>
        <v>4.4790620669921684E-2</v>
      </c>
      <c r="AC13" s="40">
        <f>VLOOKUP($J13,'SC-Retro'!$D$148:$Y$170,COLUMN()-9,FALSE)</f>
        <v>2.7325472328852192E-2</v>
      </c>
      <c r="AD13" s="40">
        <f>VLOOKUP($J13,'SC-Retro'!$D$148:$Y$170,COLUMN()-9,FALSE)</f>
        <v>1.3052635557755207E-2</v>
      </c>
      <c r="AE13" s="40">
        <f>VLOOKUP($J13,'SC-Retro'!$D$148:$Y$170,COLUMN()-9,FALSE)</f>
        <v>1.3052635557755203</v>
      </c>
      <c r="AF13" s="100">
        <f t="shared" si="5"/>
        <v>0.49538462663193211</v>
      </c>
      <c r="AG13" s="100">
        <f t="shared" si="5"/>
        <v>0.45699586032363376</v>
      </c>
      <c r="AH13" s="100">
        <f t="shared" si="5"/>
        <v>0.52682877399562544</v>
      </c>
      <c r="AI13" s="100">
        <f t="shared" si="5"/>
        <v>0.4938721000600203</v>
      </c>
      <c r="AJ13" s="100">
        <f t="shared" si="5"/>
        <v>0.52119162739648106</v>
      </c>
      <c r="AK13" s="100">
        <f t="shared" ref="AK13:AZ23" si="9">VLOOKUP($J13,MeasOut,COLUMN()-17,FALSE)</f>
        <v>0.5400320447145851</v>
      </c>
      <c r="AL13" s="100">
        <f t="shared" si="9"/>
        <v>0.53281212134619937</v>
      </c>
      <c r="AM13" s="100">
        <f t="shared" si="9"/>
        <v>0.58452542365942728</v>
      </c>
      <c r="AN13" s="100">
        <f t="shared" si="9"/>
        <v>0.51089497187555366</v>
      </c>
      <c r="AO13" s="100">
        <f t="shared" si="9"/>
        <v>0.5463066610858901</v>
      </c>
      <c r="AP13" s="100">
        <f t="shared" si="9"/>
        <v>0.46414631780593663</v>
      </c>
      <c r="AQ13" s="100">
        <f t="shared" si="9"/>
        <v>0.483073771593172</v>
      </c>
      <c r="AR13" s="100">
        <f t="shared" si="9"/>
        <v>0</v>
      </c>
      <c r="AS13" s="100">
        <f t="shared" si="9"/>
        <v>0.26200502619171528</v>
      </c>
      <c r="AT13" s="100">
        <f t="shared" si="9"/>
        <v>0.22575182496692053</v>
      </c>
      <c r="AU13" s="100">
        <f t="shared" si="9"/>
        <v>0.2210131014703321</v>
      </c>
      <c r="AV13" s="100">
        <f t="shared" si="9"/>
        <v>0.23100620477156622</v>
      </c>
      <c r="AW13" s="100">
        <f t="shared" si="9"/>
        <v>0.23659511156479057</v>
      </c>
      <c r="AX13" s="100">
        <f t="shared" si="9"/>
        <v>0.22682778347031149</v>
      </c>
      <c r="AY13" s="100">
        <f t="shared" si="9"/>
        <v>0.26765209763613862</v>
      </c>
      <c r="AZ13" s="100">
        <f t="shared" si="9"/>
        <v>0.24169479984758416</v>
      </c>
      <c r="BA13" s="100">
        <f t="shared" ref="BA13:BD23" si="10">VLOOKUP($J13,MeasOut,COLUMN()-17,FALSE)</f>
        <v>0.26363977856662879</v>
      </c>
      <c r="BB13" s="100">
        <f t="shared" si="10"/>
        <v>0.22388669478966466</v>
      </c>
      <c r="BC13" s="100">
        <f t="shared" si="10"/>
        <v>0.24065451271437602</v>
      </c>
      <c r="BD13" s="100">
        <f t="shared" si="10"/>
        <v>0.25843658920167351</v>
      </c>
    </row>
    <row r="14" spans="1:56" ht="15">
      <c r="A14" s="84" t="str">
        <f t="shared" si="1"/>
        <v>Retro1Slow</v>
      </c>
      <c r="B14" s="84" t="s">
        <v>361</v>
      </c>
      <c r="C14" s="84" t="str">
        <f>[1]MLIST!$D$57</f>
        <v>Secondary Glazing Systems-Retro</v>
      </c>
      <c r="D14" s="84" t="s">
        <v>218</v>
      </c>
      <c r="E14" s="84" t="s">
        <v>755</v>
      </c>
      <c r="F14" s="440">
        <f t="shared" si="6"/>
        <v>1.0823930963290735E-3</v>
      </c>
      <c r="G14" s="441">
        <f t="shared" si="7"/>
        <v>7.4032727196667265</v>
      </c>
      <c r="H14" s="99">
        <f t="shared" si="8"/>
        <v>262.82850904076571</v>
      </c>
      <c r="I14" s="19" t="str">
        <f>'SC-Retro'!C159</f>
        <v>SGSWindow-(Apackaged VAV with Gas)</v>
      </c>
      <c r="J14" s="19" t="str">
        <f>'SC-Retro'!D159</f>
        <v>SGSWindow-Mid-rise Office (Apackaged VAV with Gas)-Missoula</v>
      </c>
      <c r="K14" s="40">
        <f>VLOOKUP($J14,'SC-Retro'!$D$148:$Y$170,COLUMN()-9,FALSE)</f>
        <v>5.7268479671753402E-4</v>
      </c>
      <c r="L14" s="40">
        <f>VLOOKUP($J14,'SC-Retro'!$D$148:$Y$170,COLUMN()-9,FALSE)</f>
        <v>1.1398341149904182E-3</v>
      </c>
      <c r="M14" s="40">
        <f>VLOOKUP($J14,'SC-Retro'!$D$148:$Y$170,COLUMN()-9,FALSE)</f>
        <v>2.0151269007818518E-3</v>
      </c>
      <c r="N14" s="40">
        <f>VLOOKUP($J14,'SC-Retro'!$D$148:$Y$170,COLUMN()-9,FALSE)</f>
        <v>3.2638004483695701E-3</v>
      </c>
      <c r="O14" s="40">
        <f>VLOOKUP($J14,'SC-Retro'!$D$148:$Y$170,COLUMN()-9,FALSE)</f>
        <v>4.9327314830624218E-3</v>
      </c>
      <c r="P14" s="40">
        <f>VLOOKUP($J14,'SC-Retro'!$D$148:$Y$170,COLUMN()-9,FALSE)</f>
        <v>7.0344295991429124E-3</v>
      </c>
      <c r="Q14" s="40">
        <f>VLOOKUP($J14,'SC-Retro'!$D$148:$Y$170,COLUMN()-9,FALSE)</f>
        <v>9.5277554728902935E-3</v>
      </c>
      <c r="R14" s="40">
        <f>VLOOKUP($J14,'SC-Retro'!$D$148:$Y$170,COLUMN()-9,FALSE)</f>
        <v>1.229853146554279E-2</v>
      </c>
      <c r="S14" s="40">
        <f>VLOOKUP($J14,'SC-Retro'!$D$148:$Y$170,COLUMN()-9,FALSE)</f>
        <v>1.5146092180155574E-2</v>
      </c>
      <c r="T14" s="40">
        <f>VLOOKUP($J14,'SC-Retro'!$D$148:$Y$170,COLUMN()-9,FALSE)</f>
        <v>1.7784495848872241E-2</v>
      </c>
      <c r="U14" s="40">
        <f>VLOOKUP($J14,'SC-Retro'!$D$148:$Y$170,COLUMN()-9,FALSE)</f>
        <v>1.9867829626780905E-2</v>
      </c>
      <c r="V14" s="40">
        <f>VLOOKUP($J14,'SC-Retro'!$D$148:$Y$170,COLUMN()-9,FALSE)</f>
        <v>2.1045433034881062E-2</v>
      </c>
      <c r="W14" s="40">
        <f>VLOOKUP($J14,'SC-Retro'!$D$148:$Y$170,COLUMN()-9,FALSE)</f>
        <v>2.1043180364186755E-2</v>
      </c>
      <c r="X14" s="40">
        <f>VLOOKUP($J14,'SC-Retro'!$D$148:$Y$170,COLUMN()-9,FALSE)</f>
        <v>1.9752228214579712E-2</v>
      </c>
      <c r="Y14" s="40">
        <f>VLOOKUP($J14,'SC-Retro'!$D$148:$Y$170,COLUMN()-9,FALSE)</f>
        <v>1.7292691768229545E-2</v>
      </c>
      <c r="Z14" s="40">
        <f>VLOOKUP($J14,'SC-Retro'!$D$148:$Y$170,COLUMN()-9,FALSE)</f>
        <v>1.4016706555907293E-2</v>
      </c>
      <c r="AA14" s="40">
        <f>VLOOKUP($J14,'SC-Retro'!$D$148:$Y$170,COLUMN()-9,FALSE)</f>
        <v>1.0432270655650827E-2</v>
      </c>
      <c r="AB14" s="40">
        <f>VLOOKUP($J14,'SC-Retro'!$D$148:$Y$170,COLUMN()-9,FALSE)</f>
        <v>7.0648037811007732E-3</v>
      </c>
      <c r="AC14" s="40">
        <f>VLOOKUP($J14,'SC-Retro'!$D$148:$Y$170,COLUMN()-9,FALSE)</f>
        <v>4.3100340504742783E-3</v>
      </c>
      <c r="AD14" s="40">
        <f>VLOOKUP($J14,'SC-Retro'!$D$148:$Y$170,COLUMN()-9,FALSE)</f>
        <v>2.0587861401010718E-3</v>
      </c>
      <c r="AE14" s="40">
        <f>VLOOKUP($J14,'SC-Retro'!$D$148:$Y$170,COLUMN()-9,FALSE)</f>
        <v>0.20587861401010718</v>
      </c>
      <c r="AF14" s="100">
        <f t="shared" ref="AF14:AU23" si="11">VLOOKUP($J14,MeasOut,COLUMN()-17,FALSE)</f>
        <v>0.40501106793643793</v>
      </c>
      <c r="AG14" s="100">
        <f t="shared" si="11"/>
        <v>0.37362560620946705</v>
      </c>
      <c r="AH14" s="100">
        <f t="shared" si="11"/>
        <v>0.43071882514058379</v>
      </c>
      <c r="AI14" s="100">
        <f t="shared" si="11"/>
        <v>0.403774473239632</v>
      </c>
      <c r="AJ14" s="100">
        <f t="shared" si="11"/>
        <v>0.42611006935468804</v>
      </c>
      <c r="AK14" s="100">
        <f t="shared" si="11"/>
        <v>0.44151340875634243</v>
      </c>
      <c r="AL14" s="100">
        <f t="shared" si="11"/>
        <v>0.43561062389656563</v>
      </c>
      <c r="AM14" s="100">
        <f t="shared" si="11"/>
        <v>0.47788981196665059</v>
      </c>
      <c r="AN14" s="100">
        <f t="shared" si="11"/>
        <v>0.41769184395060638</v>
      </c>
      <c r="AO14" s="100">
        <f t="shared" si="11"/>
        <v>0.44664334000736178</v>
      </c>
      <c r="AP14" s="100">
        <f t="shared" si="11"/>
        <v>0.37947159792065771</v>
      </c>
      <c r="AQ14" s="100">
        <f t="shared" si="11"/>
        <v>0.39494609563328342</v>
      </c>
      <c r="AR14" s="100">
        <f t="shared" si="11"/>
        <v>0</v>
      </c>
      <c r="AS14" s="100">
        <f t="shared" si="11"/>
        <v>0.21420716299592352</v>
      </c>
      <c r="AT14" s="100">
        <f t="shared" si="11"/>
        <v>0.18456767288094655</v>
      </c>
      <c r="AU14" s="100">
        <f t="shared" si="11"/>
        <v>0.18069343988938713</v>
      </c>
      <c r="AV14" s="100">
        <f t="shared" si="9"/>
        <v>0.18886349043687639</v>
      </c>
      <c r="AW14" s="100">
        <f t="shared" si="9"/>
        <v>0.19343280685735312</v>
      </c>
      <c r="AX14" s="100">
        <f t="shared" si="9"/>
        <v>0.18544734309896777</v>
      </c>
      <c r="AY14" s="100">
        <f t="shared" si="9"/>
        <v>0.21882403302673006</v>
      </c>
      <c r="AZ14" s="100">
        <f t="shared" si="9"/>
        <v>0.19760215343477883</v>
      </c>
      <c r="BA14" s="100">
        <f t="shared" si="10"/>
        <v>0.21554368570894522</v>
      </c>
      <c r="BB14" s="100">
        <f t="shared" si="10"/>
        <v>0.18304280043977544</v>
      </c>
      <c r="BC14" s="100">
        <f t="shared" si="10"/>
        <v>0.19675164701990333</v>
      </c>
      <c r="BD14" s="100">
        <f t="shared" si="10"/>
        <v>0.2112897198648622</v>
      </c>
    </row>
    <row r="15" spans="1:56" ht="15">
      <c r="A15" s="84" t="str">
        <f t="shared" si="1"/>
        <v>Retro1Slow</v>
      </c>
      <c r="B15" s="84" t="s">
        <v>361</v>
      </c>
      <c r="C15" s="84" t="str">
        <f>[1]MLIST!$D$57</f>
        <v>Secondary Glazing Systems-Retro</v>
      </c>
      <c r="D15" s="84" t="s">
        <v>218</v>
      </c>
      <c r="E15" s="84" t="s">
        <v>755</v>
      </c>
      <c r="F15" s="440">
        <f t="shared" si="6"/>
        <v>1.5273630313887504E-3</v>
      </c>
      <c r="G15" s="441">
        <f t="shared" si="7"/>
        <v>10.446745366038499</v>
      </c>
      <c r="H15" s="99">
        <f t="shared" si="8"/>
        <v>214.94915566251467</v>
      </c>
      <c r="I15" s="19" t="str">
        <f>'SC-Retro'!C160</f>
        <v>SGSWindow-(VAV with Central Chillers / Gas Boilers)</v>
      </c>
      <c r="J15" s="19" t="str">
        <f>'SC-Retro'!D160</f>
        <v>SGSWindow-High-rise Office (VAV with Central Chillers / Gas Boilers)-Portland</v>
      </c>
      <c r="K15" s="40">
        <f>VLOOKUP($J15,'SC-Retro'!$D$148:$Y$170,COLUMN()-9,FALSE)</f>
        <v>3.4597405806877108E-3</v>
      </c>
      <c r="L15" s="40">
        <f>VLOOKUP($J15,'SC-Retro'!$D$148:$Y$170,COLUMN()-9,FALSE)</f>
        <v>6.8860398695544285E-3</v>
      </c>
      <c r="M15" s="40">
        <f>VLOOKUP($J15,'SC-Retro'!$D$148:$Y$170,COLUMN()-9,FALSE)</f>
        <v>1.2173915483405349E-2</v>
      </c>
      <c r="N15" s="40">
        <f>VLOOKUP($J15,'SC-Retro'!$D$148:$Y$170,COLUMN()-9,FALSE)</f>
        <v>1.9717483200554511E-2</v>
      </c>
      <c r="O15" s="40">
        <f>VLOOKUP($J15,'SC-Retro'!$D$148:$Y$170,COLUMN()-9,FALSE)</f>
        <v>2.9799937737834528E-2</v>
      </c>
      <c r="P15" s="40">
        <f>VLOOKUP($J15,'SC-Retro'!$D$148:$Y$170,COLUMN()-9,FALSE)</f>
        <v>4.2496852868523838E-2</v>
      </c>
      <c r="Q15" s="40">
        <f>VLOOKUP($J15,'SC-Retro'!$D$148:$Y$170,COLUMN()-9,FALSE)</f>
        <v>5.7559695038816694E-2</v>
      </c>
      <c r="R15" s="40">
        <f>VLOOKUP($J15,'SC-Retro'!$D$148:$Y$170,COLUMN()-9,FALSE)</f>
        <v>7.4298686883406045E-2</v>
      </c>
      <c r="S15" s="40">
        <f>VLOOKUP($J15,'SC-Retro'!$D$148:$Y$170,COLUMN()-9,FALSE)</f>
        <v>9.1501555576246854E-2</v>
      </c>
      <c r="T15" s="40">
        <f>VLOOKUP($J15,'SC-Retro'!$D$148:$Y$170,COLUMN()-9,FALSE)</f>
        <v>0.10744085114200055</v>
      </c>
      <c r="U15" s="40">
        <f>VLOOKUP($J15,'SC-Retro'!$D$148:$Y$170,COLUMN()-9,FALSE)</f>
        <v>0.12002682244045494</v>
      </c>
      <c r="V15" s="40">
        <f>VLOOKUP($J15,'SC-Retro'!$D$148:$Y$170,COLUMN()-9,FALSE)</f>
        <v>0.12714103661605802</v>
      </c>
      <c r="W15" s="40">
        <f>VLOOKUP($J15,'SC-Retro'!$D$148:$Y$170,COLUMN()-9,FALSE)</f>
        <v>0.12712742763558452</v>
      </c>
      <c r="X15" s="40">
        <f>VLOOKUP($J15,'SC-Retro'!$D$148:$Y$170,COLUMN()-9,FALSE)</f>
        <v>0.11932844368259428</v>
      </c>
      <c r="Y15" s="40">
        <f>VLOOKUP($J15,'SC-Retro'!$D$148:$Y$170,COLUMN()-9,FALSE)</f>
        <v>0.10446973239517868</v>
      </c>
      <c r="Z15" s="40">
        <f>VLOOKUP($J15,'SC-Retro'!$D$148:$Y$170,COLUMN()-9,FALSE)</f>
        <v>8.4678637807426863E-2</v>
      </c>
      <c r="AA15" s="40">
        <f>VLOOKUP($J15,'SC-Retro'!$D$148:$Y$170,COLUMN()-9,FALSE)</f>
        <v>6.3024110894766658E-2</v>
      </c>
      <c r="AB15" s="40">
        <f>VLOOKUP($J15,'SC-Retro'!$D$148:$Y$170,COLUMN()-9,FALSE)</f>
        <v>4.268035134888707E-2</v>
      </c>
      <c r="AC15" s="40">
        <f>VLOOKUP($J15,'SC-Retro'!$D$148:$Y$170,COLUMN()-9,FALSE)</f>
        <v>2.6038057573801027E-2</v>
      </c>
      <c r="AD15" s="40">
        <f>VLOOKUP($J15,'SC-Retro'!$D$148:$Y$170,COLUMN()-9,FALSE)</f>
        <v>1.2437672514952957E-2</v>
      </c>
      <c r="AE15" s="40">
        <f>VLOOKUP($J15,'SC-Retro'!$D$148:$Y$170,COLUMN()-9,FALSE)</f>
        <v>1.2437672514952953</v>
      </c>
      <c r="AF15" s="100">
        <f t="shared" si="11"/>
        <v>0.57151041942836267</v>
      </c>
      <c r="AG15" s="100">
        <f t="shared" si="11"/>
        <v>0.52722244851703692</v>
      </c>
      <c r="AH15" s="100">
        <f t="shared" si="11"/>
        <v>0.60778659128006551</v>
      </c>
      <c r="AI15" s="100">
        <f t="shared" si="11"/>
        <v>0.56976546278449791</v>
      </c>
      <c r="AJ15" s="100">
        <f t="shared" si="11"/>
        <v>0.60128318393947022</v>
      </c>
      <c r="AK15" s="100">
        <f t="shared" si="11"/>
        <v>0.62301880960246692</v>
      </c>
      <c r="AL15" s="100">
        <f t="shared" si="11"/>
        <v>0.61468940006757522</v>
      </c>
      <c r="AM15" s="100">
        <f t="shared" si="11"/>
        <v>0.67434948943287865</v>
      </c>
      <c r="AN15" s="100">
        <f t="shared" si="11"/>
        <v>0.58940424059097829</v>
      </c>
      <c r="AO15" s="100">
        <f t="shared" si="11"/>
        <v>0.63025764674300855</v>
      </c>
      <c r="AP15" s="100">
        <f t="shared" si="11"/>
        <v>0.53547171733791188</v>
      </c>
      <c r="AQ15" s="100">
        <f t="shared" si="11"/>
        <v>0.55730775437079094</v>
      </c>
      <c r="AR15" s="100">
        <f t="shared" si="11"/>
        <v>0</v>
      </c>
      <c r="AS15" s="100">
        <f t="shared" si="11"/>
        <v>0.30226735825296669</v>
      </c>
      <c r="AT15" s="100">
        <f t="shared" si="11"/>
        <v>0.26044312487198723</v>
      </c>
      <c r="AU15" s="100">
        <f t="shared" si="11"/>
        <v>0.25497620137962279</v>
      </c>
      <c r="AV15" s="100">
        <f t="shared" si="9"/>
        <v>0.26650494561601318</v>
      </c>
      <c r="AW15" s="100">
        <f t="shared" si="9"/>
        <v>0.27295270013608813</v>
      </c>
      <c r="AX15" s="100">
        <f t="shared" si="9"/>
        <v>0.26168442599943897</v>
      </c>
      <c r="AY15" s="100">
        <f t="shared" si="9"/>
        <v>0.30878221559056068</v>
      </c>
      <c r="AZ15" s="100">
        <f t="shared" si="9"/>
        <v>0.27883605790047578</v>
      </c>
      <c r="BA15" s="100">
        <f t="shared" si="10"/>
        <v>0.30415332314816412</v>
      </c>
      <c r="BB15" s="100">
        <f t="shared" si="10"/>
        <v>0.25829138000025148</v>
      </c>
      <c r="BC15" s="100">
        <f t="shared" si="10"/>
        <v>0.27763590976534308</v>
      </c>
      <c r="BD15" s="100">
        <f t="shared" si="10"/>
        <v>0.29815055928254219</v>
      </c>
    </row>
    <row r="16" spans="1:56" ht="15">
      <c r="A16" s="84" t="str">
        <f t="shared" si="1"/>
        <v>Retro1Slow</v>
      </c>
      <c r="B16" s="84" t="s">
        <v>361</v>
      </c>
      <c r="C16" s="84" t="str">
        <f>[1]MLIST!$D$57</f>
        <v>Secondary Glazing Systems-Retro</v>
      </c>
      <c r="D16" s="84" t="s">
        <v>218</v>
      </c>
      <c r="E16" s="84" t="s">
        <v>755</v>
      </c>
      <c r="F16" s="440">
        <f t="shared" si="6"/>
        <v>1.7372731455954111E-3</v>
      </c>
      <c r="G16" s="441">
        <f t="shared" si="7"/>
        <v>11.882473132003328</v>
      </c>
      <c r="H16" s="99">
        <f t="shared" si="8"/>
        <v>171.57598231194331</v>
      </c>
      <c r="I16" s="19" t="str">
        <f>'SC-Retro'!C161</f>
        <v>SGSWindow-(VAV with Central Chillers / Gas Boilers)</v>
      </c>
      <c r="J16" s="19" t="str">
        <f>'SC-Retro'!D161</f>
        <v>SGSWindow-High-rise Office (VAV with Central Chillers / Gas Boilers)-Spokane</v>
      </c>
      <c r="K16" s="40">
        <f>VLOOKUP($J16,'SC-Retro'!$D$148:$Y$170,COLUMN()-9,FALSE)</f>
        <v>8.9040610934338802E-4</v>
      </c>
      <c r="L16" s="40">
        <f>VLOOKUP($J16,'SC-Retro'!$D$148:$Y$170,COLUMN()-9,FALSE)</f>
        <v>1.7722056975192761E-3</v>
      </c>
      <c r="M16" s="40">
        <f>VLOOKUP($J16,'SC-Retro'!$D$148:$Y$170,COLUMN()-9,FALSE)</f>
        <v>3.1331044823307286E-3</v>
      </c>
      <c r="N16" s="40">
        <f>VLOOKUP($J16,'SC-Retro'!$D$148:$Y$170,COLUMN()-9,FALSE)</f>
        <v>5.0745329290439274E-3</v>
      </c>
      <c r="O16" s="40">
        <f>VLOOKUP($J16,'SC-Retro'!$D$148:$Y$170,COLUMN()-9,FALSE)</f>
        <v>7.6693746253501281E-3</v>
      </c>
      <c r="P16" s="40">
        <f>VLOOKUP($J16,'SC-Retro'!$D$148:$Y$170,COLUMN()-9,FALSE)</f>
        <v>1.093707939642086E-2</v>
      </c>
      <c r="Q16" s="40">
        <f>VLOOKUP($J16,'SC-Retro'!$D$148:$Y$170,COLUMN()-9,FALSE)</f>
        <v>1.4813684124350487E-2</v>
      </c>
      <c r="R16" s="40">
        <f>VLOOKUP($J16,'SC-Retro'!$D$148:$Y$170,COLUMN()-9,FALSE)</f>
        <v>1.9121666256267687E-2</v>
      </c>
      <c r="S16" s="40">
        <f>VLOOKUP($J16,'SC-Retro'!$D$148:$Y$170,COLUMN()-9,FALSE)</f>
        <v>2.3549032709070578E-2</v>
      </c>
      <c r="T16" s="40">
        <f>VLOOKUP($J16,'SC-Retro'!$D$148:$Y$170,COLUMN()-9,FALSE)</f>
        <v>2.7651203325445507E-2</v>
      </c>
      <c r="U16" s="40">
        <f>VLOOKUP($J16,'SC-Retro'!$D$148:$Y$170,COLUMN()-9,FALSE)</f>
        <v>3.0890355358612322E-2</v>
      </c>
      <c r="V16" s="40">
        <f>VLOOKUP($J16,'SC-Retro'!$D$148:$Y$170,COLUMN()-9,FALSE)</f>
        <v>3.2721284475232724E-2</v>
      </c>
      <c r="W16" s="40">
        <f>VLOOKUP($J16,'SC-Retro'!$D$148:$Y$170,COLUMN()-9,FALSE)</f>
        <v>3.2717782039407575E-2</v>
      </c>
      <c r="X16" s="40">
        <f>VLOOKUP($J16,'SC-Retro'!$D$148:$Y$170,COLUMN()-9,FALSE)</f>
        <v>3.071061913327049E-2</v>
      </c>
      <c r="Y16" s="40">
        <f>VLOOKUP($J16,'SC-Retro'!$D$148:$Y$170,COLUMN()-9,FALSE)</f>
        <v>2.6886549958507519E-2</v>
      </c>
      <c r="Z16" s="40">
        <f>VLOOKUP($J16,'SC-Retro'!$D$148:$Y$170,COLUMN()-9,FALSE)</f>
        <v>2.1793072248099461E-2</v>
      </c>
      <c r="AA16" s="40">
        <f>VLOOKUP($J16,'SC-Retro'!$D$148:$Y$170,COLUMN()-9,FALSE)</f>
        <v>1.6220017677013442E-2</v>
      </c>
      <c r="AB16" s="40">
        <f>VLOOKUP($J16,'SC-Retro'!$D$148:$Y$170,COLUMN()-9,FALSE)</f>
        <v>1.0984304951100506E-2</v>
      </c>
      <c r="AC16" s="40">
        <f>VLOOKUP($J16,'SC-Retro'!$D$148:$Y$170,COLUMN()-9,FALSE)</f>
        <v>6.7012092376413984E-3</v>
      </c>
      <c r="AD16" s="40">
        <f>VLOOKUP($J16,'SC-Retro'!$D$148:$Y$170,COLUMN()-9,FALSE)</f>
        <v>3.200985546472706E-3</v>
      </c>
      <c r="AE16" s="40">
        <f>VLOOKUP($J16,'SC-Retro'!$D$148:$Y$170,COLUMN()-9,FALSE)</f>
        <v>0.32009855464727066</v>
      </c>
      <c r="AF16" s="100">
        <f t="shared" si="11"/>
        <v>0.65005482239418899</v>
      </c>
      <c r="AG16" s="100">
        <f t="shared" si="11"/>
        <v>0.59968022188601833</v>
      </c>
      <c r="AH16" s="100">
        <f t="shared" si="11"/>
        <v>0.69131653810146609</v>
      </c>
      <c r="AI16" s="100">
        <f t="shared" si="11"/>
        <v>0.64807005108879856</v>
      </c>
      <c r="AJ16" s="100">
        <f t="shared" si="11"/>
        <v>0.68391934784905339</v>
      </c>
      <c r="AK16" s="100">
        <f t="shared" si="11"/>
        <v>0.70864216619087539</v>
      </c>
      <c r="AL16" s="100">
        <f t="shared" si="11"/>
        <v>0.69916802074787843</v>
      </c>
      <c r="AM16" s="100">
        <f t="shared" si="11"/>
        <v>0.76702737637463103</v>
      </c>
      <c r="AN16" s="100">
        <f t="shared" si="11"/>
        <v>0.67040784544047394</v>
      </c>
      <c r="AO16" s="100">
        <f t="shared" si="11"/>
        <v>0.71687585858171921</v>
      </c>
      <c r="AP16" s="100">
        <f t="shared" si="11"/>
        <v>0.60906321263463736</v>
      </c>
      <c r="AQ16" s="100">
        <f t="shared" si="11"/>
        <v>0.63390024218415797</v>
      </c>
      <c r="AR16" s="100">
        <f t="shared" si="11"/>
        <v>0</v>
      </c>
      <c r="AS16" s="100">
        <f t="shared" si="11"/>
        <v>0.34380887417805422</v>
      </c>
      <c r="AT16" s="100">
        <f t="shared" si="11"/>
        <v>0.2962366100897813</v>
      </c>
      <c r="AU16" s="100">
        <f t="shared" si="11"/>
        <v>0.29001835079115612</v>
      </c>
      <c r="AV16" s="100">
        <f t="shared" si="9"/>
        <v>0.30313152516601838</v>
      </c>
      <c r="AW16" s="100">
        <f t="shared" si="9"/>
        <v>0.31046541406270894</v>
      </c>
      <c r="AX16" s="100">
        <f t="shared" si="9"/>
        <v>0.29764850698004353</v>
      </c>
      <c r="AY16" s="100">
        <f t="shared" si="9"/>
        <v>0.35121908803513335</v>
      </c>
      <c r="AZ16" s="100">
        <f t="shared" si="9"/>
        <v>0.31715733945303842</v>
      </c>
      <c r="BA16" s="100">
        <f t="shared" si="10"/>
        <v>0.34595403292461835</v>
      </c>
      <c r="BB16" s="100">
        <f t="shared" si="10"/>
        <v>0.29378914442181875</v>
      </c>
      <c r="BC16" s="100">
        <f t="shared" si="10"/>
        <v>0.31579225133511618</v>
      </c>
      <c r="BD16" s="100">
        <f t="shared" si="10"/>
        <v>0.33912629109194248</v>
      </c>
    </row>
    <row r="17" spans="1:56" ht="15">
      <c r="A17" s="84" t="str">
        <f t="shared" si="1"/>
        <v>Retro1Slow</v>
      </c>
      <c r="B17" s="84" t="s">
        <v>361</v>
      </c>
      <c r="C17" s="84" t="str">
        <f>[1]MLIST!$D$57</f>
        <v>Secondary Glazing Systems-Retro</v>
      </c>
      <c r="D17" s="84" t="s">
        <v>218</v>
      </c>
      <c r="E17" s="84" t="s">
        <v>755</v>
      </c>
      <c r="F17" s="440">
        <f t="shared" si="6"/>
        <v>1.6139573500773198E-3</v>
      </c>
      <c r="G17" s="441">
        <f t="shared" si="7"/>
        <v>11.039026820345102</v>
      </c>
      <c r="H17" s="99">
        <f t="shared" si="8"/>
        <v>187.13864834189428</v>
      </c>
      <c r="I17" s="19" t="str">
        <f>'SC-Retro'!C162</f>
        <v>SGSWindow-(VAV with Central Chillers / Gas Boilers)</v>
      </c>
      <c r="J17" s="19" t="str">
        <f>'SC-Retro'!D162</f>
        <v>SGSWindow-High-rise Office (VAV with Central Chillers / Gas Boilers)-Missoula</v>
      </c>
      <c r="K17" s="40">
        <f>VLOOKUP($J17,'SC-Retro'!$D$148:$Y$170,COLUMN()-9,FALSE)</f>
        <v>1.5958818506219184E-4</v>
      </c>
      <c r="L17" s="40">
        <f>VLOOKUP($J17,'SC-Retro'!$D$148:$Y$170,COLUMN()-9,FALSE)</f>
        <v>3.1763381658796023E-4</v>
      </c>
      <c r="M17" s="40">
        <f>VLOOKUP($J17,'SC-Retro'!$D$148:$Y$170,COLUMN()-9,FALSE)</f>
        <v>5.6154877274381993E-4</v>
      </c>
      <c r="N17" s="40">
        <f>VLOOKUP($J17,'SC-Retro'!$D$148:$Y$170,COLUMN()-9,FALSE)</f>
        <v>9.0951251534161824E-4</v>
      </c>
      <c r="O17" s="40">
        <f>VLOOKUP($J17,'SC-Retro'!$D$148:$Y$170,COLUMN()-9,FALSE)</f>
        <v>1.3745880269444978E-3</v>
      </c>
      <c r="P17" s="40">
        <f>VLOOKUP($J17,'SC-Retro'!$D$148:$Y$170,COLUMN()-9,FALSE)</f>
        <v>1.9602613149667502E-3</v>
      </c>
      <c r="Q17" s="40">
        <f>VLOOKUP($J17,'SC-Retro'!$D$148:$Y$170,COLUMN()-9,FALSE)</f>
        <v>2.6550682196386198E-3</v>
      </c>
      <c r="R17" s="40">
        <f>VLOOKUP($J17,'SC-Retro'!$D$148:$Y$170,COLUMN()-9,FALSE)</f>
        <v>3.4271912346300632E-3</v>
      </c>
      <c r="S17" s="40">
        <f>VLOOKUP($J17,'SC-Retro'!$D$148:$Y$170,COLUMN()-9,FALSE)</f>
        <v>4.2207115950519862E-3</v>
      </c>
      <c r="T17" s="40">
        <f>VLOOKUP($J17,'SC-Retro'!$D$148:$Y$170,COLUMN()-9,FALSE)</f>
        <v>4.9559468507551323E-3</v>
      </c>
      <c r="U17" s="40">
        <f>VLOOKUP($J17,'SC-Retro'!$D$148:$Y$170,COLUMN()-9,FALSE)</f>
        <v>5.5365026091773201E-3</v>
      </c>
      <c r="V17" s="40">
        <f>VLOOKUP($J17,'SC-Retro'!$D$148:$Y$170,COLUMN()-9,FALSE)</f>
        <v>5.8646614702103431E-3</v>
      </c>
      <c r="W17" s="40">
        <f>VLOOKUP($J17,'SC-Retro'!$D$148:$Y$170,COLUMN()-9,FALSE)</f>
        <v>5.864033725891467E-3</v>
      </c>
      <c r="X17" s="40">
        <f>VLOOKUP($J17,'SC-Retro'!$D$148:$Y$170,COLUMN()-9,FALSE)</f>
        <v>5.5042883445948522E-3</v>
      </c>
      <c r="Y17" s="40">
        <f>VLOOKUP($J17,'SC-Retro'!$D$148:$Y$170,COLUMN()-9,FALSE)</f>
        <v>4.8188974283052818E-3</v>
      </c>
      <c r="Z17" s="40">
        <f>VLOOKUP($J17,'SC-Retro'!$D$148:$Y$170,COLUMN()-9,FALSE)</f>
        <v>3.9059894249469308E-3</v>
      </c>
      <c r="AA17" s="40">
        <f>VLOOKUP($J17,'SC-Retro'!$D$148:$Y$170,COLUMN()-9,FALSE)</f>
        <v>2.9071264848576769E-3</v>
      </c>
      <c r="AB17" s="40">
        <f>VLOOKUP($J17,'SC-Retro'!$D$148:$Y$170,COLUMN()-9,FALSE)</f>
        <v>1.968725588157146E-3</v>
      </c>
      <c r="AC17" s="40">
        <f>VLOOKUP($J17,'SC-Retro'!$D$148:$Y$170,COLUMN()-9,FALSE)</f>
        <v>1.2010629854570713E-3</v>
      </c>
      <c r="AD17" s="40">
        <f>VLOOKUP($J17,'SC-Retro'!$D$148:$Y$170,COLUMN()-9,FALSE)</f>
        <v>5.737151490892128E-4</v>
      </c>
      <c r="AE17" s="40">
        <f>VLOOKUP($J17,'SC-Retro'!$D$148:$Y$170,COLUMN()-9,FALSE)</f>
        <v>5.737151490892127E-2</v>
      </c>
      <c r="AF17" s="100">
        <f t="shared" si="11"/>
        <v>0.60391237913064733</v>
      </c>
      <c r="AG17" s="100">
        <f t="shared" si="11"/>
        <v>0.55711348803312433</v>
      </c>
      <c r="AH17" s="100">
        <f t="shared" si="11"/>
        <v>0.64224523974695347</v>
      </c>
      <c r="AI17" s="100">
        <f t="shared" si="11"/>
        <v>0.60206849163104537</v>
      </c>
      <c r="AJ17" s="100">
        <f t="shared" si="11"/>
        <v>0.63537311971904042</v>
      </c>
      <c r="AK17" s="100">
        <f t="shared" si="11"/>
        <v>0.65834105339059579</v>
      </c>
      <c r="AL17" s="100">
        <f t="shared" si="11"/>
        <v>0.6495394054101421</v>
      </c>
      <c r="AM17" s="100">
        <f t="shared" si="11"/>
        <v>0.71258194196404234</v>
      </c>
      <c r="AN17" s="100">
        <f t="shared" si="11"/>
        <v>0.62282069600938794</v>
      </c>
      <c r="AO17" s="100">
        <f t="shared" si="11"/>
        <v>0.66599029863805148</v>
      </c>
      <c r="AP17" s="100">
        <f t="shared" si="11"/>
        <v>0.56583045169703405</v>
      </c>
      <c r="AQ17" s="100">
        <f t="shared" si="11"/>
        <v>0.58890448959209274</v>
      </c>
      <c r="AR17" s="100">
        <f t="shared" si="11"/>
        <v>0</v>
      </c>
      <c r="AS17" s="100">
        <f t="shared" si="11"/>
        <v>0.31940449946418881</v>
      </c>
      <c r="AT17" s="100">
        <f t="shared" si="11"/>
        <v>0.27520902825705579</v>
      </c>
      <c r="AU17" s="100">
        <f t="shared" si="11"/>
        <v>0.26943215584919783</v>
      </c>
      <c r="AV17" s="100">
        <f t="shared" si="9"/>
        <v>0.28161452579995244</v>
      </c>
      <c r="AW17" s="100">
        <f t="shared" si="9"/>
        <v>0.28842783775350106</v>
      </c>
      <c r="AX17" s="100">
        <f t="shared" si="9"/>
        <v>0.27652070533522133</v>
      </c>
      <c r="AY17" s="100">
        <f t="shared" si="9"/>
        <v>0.32628871865021597</v>
      </c>
      <c r="AZ17" s="100">
        <f t="shared" si="9"/>
        <v>0.29464475430302245</v>
      </c>
      <c r="BA17" s="100">
        <f t="shared" si="10"/>
        <v>0.32139738972147369</v>
      </c>
      <c r="BB17" s="100">
        <f t="shared" si="10"/>
        <v>0.27293528954539442</v>
      </c>
      <c r="BC17" s="100">
        <f t="shared" si="10"/>
        <v>0.29337656339878287</v>
      </c>
      <c r="BD17" s="100">
        <f t="shared" si="10"/>
        <v>0.31505429730493789</v>
      </c>
    </row>
    <row r="18" spans="1:56" ht="15">
      <c r="A18" s="84" t="str">
        <f t="shared" si="1"/>
        <v>Retro1Slow</v>
      </c>
      <c r="B18" s="84" t="s">
        <v>361</v>
      </c>
      <c r="C18" s="84" t="str">
        <f>[1]MLIST!$D$57</f>
        <v>Secondary Glazing Systems-Retro</v>
      </c>
      <c r="D18" s="84" t="s">
        <v>218</v>
      </c>
      <c r="E18" s="84" t="s">
        <v>755</v>
      </c>
      <c r="F18" s="440">
        <f t="shared" si="6"/>
        <v>9.4566747702901563E-3</v>
      </c>
      <c r="G18" s="441">
        <f t="shared" si="7"/>
        <v>12.393859395459479</v>
      </c>
      <c r="H18" s="99">
        <f t="shared" si="8"/>
        <v>172.88541856783209</v>
      </c>
      <c r="I18" s="19" t="str">
        <f>'SC-Retro'!C163</f>
        <v>SGSWindow-(Apackaged VAV with Electric reheat)</v>
      </c>
      <c r="J18" s="19" t="str">
        <f>'SC-Retro'!D163</f>
        <v>SGSWindow-Small Office (AC with Ele Furnace)-Portland</v>
      </c>
      <c r="K18" s="40">
        <f>VLOOKUP($J18,'SC-Retro'!$D$148:$Y$170,COLUMN()-9,FALSE)</f>
        <v>1.1636186730890681E-2</v>
      </c>
      <c r="L18" s="40">
        <f>VLOOKUP($J18,'SC-Retro'!$D$148:$Y$170,COLUMN()-9,FALSE)</f>
        <v>2.3159899966420643E-2</v>
      </c>
      <c r="M18" s="40">
        <f>VLOOKUP($J18,'SC-Retro'!$D$148:$Y$170,COLUMN()-9,FALSE)</f>
        <v>4.0944675043476188E-2</v>
      </c>
      <c r="N18" s="40">
        <f>VLOOKUP($J18,'SC-Retro'!$D$148:$Y$170,COLUMN()-9,FALSE)</f>
        <v>6.6316046256637548E-2</v>
      </c>
      <c r="O18" s="40">
        <f>VLOOKUP($J18,'SC-Retro'!$D$148:$Y$170,COLUMN()-9,FALSE)</f>
        <v>0.10022648577236151</v>
      </c>
      <c r="P18" s="40">
        <f>VLOOKUP($J18,'SC-Retro'!$D$148:$Y$170,COLUMN()-9,FALSE)</f>
        <v>0.14293017176306208</v>
      </c>
      <c r="Q18" s="40">
        <f>VLOOKUP($J18,'SC-Retro'!$D$148:$Y$170,COLUMN()-9,FALSE)</f>
        <v>0.19359120836500929</v>
      </c>
      <c r="R18" s="40">
        <f>VLOOKUP($J18,'SC-Retro'!$D$148:$Y$170,COLUMN()-9,FALSE)</f>
        <v>0.24988965914416597</v>
      </c>
      <c r="S18" s="40">
        <f>VLOOKUP($J18,'SC-Retro'!$D$148:$Y$170,COLUMN()-9,FALSE)</f>
        <v>0.3077482724558897</v>
      </c>
      <c r="T18" s="40">
        <f>VLOOKUP($J18,'SC-Retro'!$D$148:$Y$170,COLUMN()-9,FALSE)</f>
        <v>0.3613570952090398</v>
      </c>
      <c r="U18" s="40">
        <f>VLOOKUP($J18,'SC-Retro'!$D$148:$Y$170,COLUMN()-9,FALSE)</f>
        <v>0.40368764248647027</v>
      </c>
      <c r="V18" s="40">
        <f>VLOOKUP($J18,'SC-Retro'!$D$148:$Y$170,COLUMN()-9,FALSE)</f>
        <v>0.4276149638159823</v>
      </c>
      <c r="W18" s="40">
        <f>VLOOKUP($J18,'SC-Retro'!$D$148:$Y$170,COLUMN()-9,FALSE)</f>
        <v>0.42756919256975329</v>
      </c>
      <c r="X18" s="40">
        <f>VLOOKUP($J18,'SC-Retro'!$D$148:$Y$170,COLUMN()-9,FALSE)</f>
        <v>0.40133877688633934</v>
      </c>
      <c r="Y18" s="40">
        <f>VLOOKUP($J18,'SC-Retro'!$D$148:$Y$170,COLUMN()-9,FALSE)</f>
        <v>0.35136429611576303</v>
      </c>
      <c r="Z18" s="40">
        <f>VLOOKUP($J18,'SC-Retro'!$D$148:$Y$170,COLUMN()-9,FALSE)</f>
        <v>0.28480067180320717</v>
      </c>
      <c r="AA18" s="40">
        <f>VLOOKUP($J18,'SC-Retro'!$D$148:$Y$170,COLUMN()-9,FALSE)</f>
        <v>0.2119697433424598</v>
      </c>
      <c r="AB18" s="40">
        <f>VLOOKUP($J18,'SC-Retro'!$D$148:$Y$170,COLUMN()-9,FALSE)</f>
        <v>0.14354733438914458</v>
      </c>
      <c r="AC18" s="40">
        <f>VLOOKUP($J18,'SC-Retro'!$D$148:$Y$170,COLUMN()-9,FALSE)</f>
        <v>8.7574109379670736E-2</v>
      </c>
      <c r="AD18" s="40">
        <f>VLOOKUP($J18,'SC-Retro'!$D$148:$Y$170,COLUMN()-9,FALSE)</f>
        <v>4.1831772211340518E-2</v>
      </c>
      <c r="AE18" s="40">
        <f>VLOOKUP($J18,'SC-Retro'!$D$148:$Y$170,COLUMN()-9,FALSE)</f>
        <v>4.1831772211340521</v>
      </c>
      <c r="AF18" s="100">
        <f t="shared" si="11"/>
        <v>1.807136255414282</v>
      </c>
      <c r="AG18" s="100">
        <f t="shared" si="11"/>
        <v>1.2947560133754759</v>
      </c>
      <c r="AH18" s="100">
        <f t="shared" si="11"/>
        <v>0.93789604866306897</v>
      </c>
      <c r="AI18" s="100">
        <f t="shared" si="11"/>
        <v>0.91601292787670763</v>
      </c>
      <c r="AJ18" s="100">
        <f t="shared" si="11"/>
        <v>0.32124064907353339</v>
      </c>
      <c r="AK18" s="100">
        <f t="shared" si="11"/>
        <v>0.16418004632551689</v>
      </c>
      <c r="AL18" s="100">
        <f t="shared" si="11"/>
        <v>7.1447265503097268E-2</v>
      </c>
      <c r="AM18" s="100">
        <f t="shared" si="11"/>
        <v>7.4171877698380351E-2</v>
      </c>
      <c r="AN18" s="100">
        <f t="shared" si="11"/>
        <v>0.15821759890299184</v>
      </c>
      <c r="AO18" s="100">
        <f t="shared" si="11"/>
        <v>0.6430104268172705</v>
      </c>
      <c r="AP18" s="100">
        <f t="shared" si="11"/>
        <v>1.0341168121043067</v>
      </c>
      <c r="AQ18" s="100">
        <f t="shared" si="11"/>
        <v>2.3821328881446648</v>
      </c>
      <c r="AR18" s="100">
        <f t="shared" si="11"/>
        <v>0</v>
      </c>
      <c r="AS18" s="100">
        <f t="shared" si="11"/>
        <v>0.52486801093943258</v>
      </c>
      <c r="AT18" s="100">
        <f t="shared" si="11"/>
        <v>0.35071425539174711</v>
      </c>
      <c r="AU18" s="100">
        <f t="shared" si="11"/>
        <v>0.2026864552812008</v>
      </c>
      <c r="AV18" s="100">
        <f t="shared" si="9"/>
        <v>0.19332741327215947</v>
      </c>
      <c r="AW18" s="100">
        <f t="shared" si="9"/>
        <v>7.4039625039982196E-2</v>
      </c>
      <c r="AX18" s="100">
        <f t="shared" si="9"/>
        <v>3.3566726686081745E-2</v>
      </c>
      <c r="AY18" s="100">
        <f t="shared" si="9"/>
        <v>1.6850250808669188E-2</v>
      </c>
      <c r="AZ18" s="100">
        <f t="shared" si="9"/>
        <v>1.314692496984695E-2</v>
      </c>
      <c r="BA18" s="100">
        <f t="shared" si="10"/>
        <v>4.2703618788717292E-2</v>
      </c>
      <c r="BB18" s="100">
        <f t="shared" si="10"/>
        <v>0.1213781629404791</v>
      </c>
      <c r="BC18" s="100">
        <f t="shared" si="10"/>
        <v>0.31771573877560405</v>
      </c>
      <c r="BD18" s="100">
        <f t="shared" si="10"/>
        <v>0.6985434026662638</v>
      </c>
    </row>
    <row r="19" spans="1:56" ht="15">
      <c r="A19" s="84" t="str">
        <f t="shared" si="1"/>
        <v>Retro1Slow</v>
      </c>
      <c r="B19" s="84" t="s">
        <v>361</v>
      </c>
      <c r="C19" s="84" t="str">
        <f>[1]MLIST!$D$57</f>
        <v>Secondary Glazing Systems-Retro</v>
      </c>
      <c r="D19" s="84" t="s">
        <v>218</v>
      </c>
      <c r="E19" s="84" t="s">
        <v>755</v>
      </c>
      <c r="F19" s="440">
        <f t="shared" si="6"/>
        <v>1.4780228043715768E-2</v>
      </c>
      <c r="G19" s="441">
        <f t="shared" si="7"/>
        <v>19.370875350619656</v>
      </c>
      <c r="H19" s="99">
        <f t="shared" si="8"/>
        <v>95.012027746974269</v>
      </c>
      <c r="I19" s="19" t="str">
        <f>'SC-Retro'!C164</f>
        <v>SGSWindow-(Apackaged VAV with Electric reheat)</v>
      </c>
      <c r="J19" s="19" t="str">
        <f>'SC-Retro'!D164</f>
        <v>SGSWindow-Small Office (AC with Ele Furnace)-Spokane</v>
      </c>
      <c r="K19" s="40">
        <f>VLOOKUP($J19,'SC-Retro'!$D$148:$Y$170,COLUMN()-9,FALSE)</f>
        <v>4.1150216763715932E-3</v>
      </c>
      <c r="L19" s="40">
        <f>VLOOKUP($J19,'SC-Retro'!$D$148:$Y$170,COLUMN()-9,FALSE)</f>
        <v>8.1902682200360143E-3</v>
      </c>
      <c r="M19" s="40">
        <f>VLOOKUP($J19,'SC-Retro'!$D$148:$Y$170,COLUMN()-9,FALSE)</f>
        <v>1.4479676996640869E-2</v>
      </c>
      <c r="N19" s="40">
        <f>VLOOKUP($J19,'SC-Retro'!$D$148:$Y$170,COLUMN()-9,FALSE)</f>
        <v>2.3452010022568318E-2</v>
      </c>
      <c r="O19" s="40">
        <f>VLOOKUP($J19,'SC-Retro'!$D$148:$Y$170,COLUMN()-9,FALSE)</f>
        <v>3.5444099603947093E-2</v>
      </c>
      <c r="P19" s="40">
        <f>VLOOKUP($J19,'SC-Retro'!$D$148:$Y$170,COLUMN()-9,FALSE)</f>
        <v>5.0545833322794685E-2</v>
      </c>
      <c r="Q19" s="40">
        <f>VLOOKUP($J19,'SC-Retro'!$D$148:$Y$170,COLUMN()-9,FALSE)</f>
        <v>6.8461604922698385E-2</v>
      </c>
      <c r="R19" s="40">
        <f>VLOOKUP($J19,'SC-Retro'!$D$148:$Y$170,COLUMN()-9,FALSE)</f>
        <v>8.837099196333037E-2</v>
      </c>
      <c r="S19" s="40">
        <f>VLOOKUP($J19,'SC-Retro'!$D$148:$Y$170,COLUMN()-9,FALSE)</f>
        <v>0.10883211496254171</v>
      </c>
      <c r="T19" s="40">
        <f>VLOOKUP($J19,'SC-Retro'!$D$148:$Y$170,COLUMN()-9,FALSE)</f>
        <v>0.12779034180917204</v>
      </c>
      <c r="U19" s="40">
        <f>VLOOKUP($J19,'SC-Retro'!$D$148:$Y$170,COLUMN()-9,FALSE)</f>
        <v>0.14276011873419095</v>
      </c>
      <c r="V19" s="40">
        <f>VLOOKUP($J19,'SC-Retro'!$D$148:$Y$170,COLUMN()-9,FALSE)</f>
        <v>0.15122177788469804</v>
      </c>
      <c r="W19" s="40">
        <f>VLOOKUP($J19,'SC-Retro'!$D$148:$Y$170,COLUMN()-9,FALSE)</f>
        <v>0.15120559133881814</v>
      </c>
      <c r="X19" s="40">
        <f>VLOOKUP($J19,'SC-Retro'!$D$148:$Y$170,COLUMN()-9,FALSE)</f>
        <v>0.14192946578207202</v>
      </c>
      <c r="Y19" s="40">
        <f>VLOOKUP($J19,'SC-Retro'!$D$148:$Y$170,COLUMN()-9,FALSE)</f>
        <v>0.12425648782182605</v>
      </c>
      <c r="Z19" s="40">
        <f>VLOOKUP($J19,'SC-Retro'!$D$148:$Y$170,COLUMN()-9,FALSE)</f>
        <v>0.10071692428277863</v>
      </c>
      <c r="AA19" s="40">
        <f>VLOOKUP($J19,'SC-Retro'!$D$148:$Y$170,COLUMN()-9,FALSE)</f>
        <v>7.4960990981138953E-2</v>
      </c>
      <c r="AB19" s="40">
        <f>VLOOKUP($J19,'SC-Retro'!$D$148:$Y$170,COLUMN()-9,FALSE)</f>
        <v>5.0764086745751003E-2</v>
      </c>
      <c r="AC19" s="40">
        <f>VLOOKUP($J19,'SC-Retro'!$D$148:$Y$170,COLUMN()-9,FALSE)</f>
        <v>3.0969712563103373E-2</v>
      </c>
      <c r="AD19" s="40">
        <f>VLOOKUP($J19,'SC-Retro'!$D$148:$Y$170,COLUMN()-9,FALSE)</f>
        <v>1.4793390084891573E-2</v>
      </c>
      <c r="AE19" s="40">
        <f>VLOOKUP($J19,'SC-Retro'!$D$148:$Y$170,COLUMN()-9,FALSE)</f>
        <v>1.4793390084891576</v>
      </c>
      <c r="AF19" s="100">
        <f t="shared" si="11"/>
        <v>2.8244479809122316</v>
      </c>
      <c r="AG19" s="100">
        <f t="shared" si="11"/>
        <v>2.0236277130713538</v>
      </c>
      <c r="AH19" s="100">
        <f t="shared" si="11"/>
        <v>1.4658765176202384</v>
      </c>
      <c r="AI19" s="100">
        <f t="shared" si="11"/>
        <v>1.4316744832490518</v>
      </c>
      <c r="AJ19" s="100">
        <f t="shared" si="11"/>
        <v>0.50208029413624555</v>
      </c>
      <c r="AK19" s="100">
        <f t="shared" si="11"/>
        <v>0.25660378345067097</v>
      </c>
      <c r="AL19" s="100">
        <f t="shared" si="11"/>
        <v>0.11166788568782338</v>
      </c>
      <c r="AM19" s="100">
        <f t="shared" si="11"/>
        <v>0.11592629475392446</v>
      </c>
      <c r="AN19" s="100">
        <f t="shared" si="11"/>
        <v>0.24728482781941141</v>
      </c>
      <c r="AO19" s="100">
        <f t="shared" si="11"/>
        <v>1.0049875853512793</v>
      </c>
      <c r="AP19" s="100">
        <f t="shared" si="11"/>
        <v>1.6162639276504438</v>
      </c>
      <c r="AQ19" s="100">
        <f t="shared" si="11"/>
        <v>3.7231339950303828</v>
      </c>
      <c r="AR19" s="100">
        <f t="shared" si="11"/>
        <v>0</v>
      </c>
      <c r="AS19" s="100">
        <f t="shared" si="11"/>
        <v>0.82033791824039759</v>
      </c>
      <c r="AT19" s="100">
        <f t="shared" si="11"/>
        <v>0.54814581222115422</v>
      </c>
      <c r="AU19" s="100">
        <f t="shared" si="11"/>
        <v>0.31678704229527277</v>
      </c>
      <c r="AV19" s="100">
        <f t="shared" si="9"/>
        <v>0.30215940853134854</v>
      </c>
      <c r="AW19" s="100">
        <f t="shared" si="9"/>
        <v>0.11571959160530255</v>
      </c>
      <c r="AX19" s="100">
        <f t="shared" si="9"/>
        <v>5.2462825163452832E-2</v>
      </c>
      <c r="AY19" s="100">
        <f t="shared" si="9"/>
        <v>2.6335953767636561E-2</v>
      </c>
      <c r="AZ19" s="100">
        <f t="shared" si="9"/>
        <v>2.0547872677025236E-2</v>
      </c>
      <c r="BA19" s="100">
        <f t="shared" si="10"/>
        <v>6.6743251652481336E-2</v>
      </c>
      <c r="BB19" s="100">
        <f t="shared" si="10"/>
        <v>0.18970694999723742</v>
      </c>
      <c r="BC19" s="100">
        <f t="shared" si="10"/>
        <v>0.49657106607219964</v>
      </c>
      <c r="BD19" s="100">
        <f t="shared" si="10"/>
        <v>1.0917823696630906</v>
      </c>
    </row>
    <row r="20" spans="1:56" ht="15">
      <c r="A20" s="84" t="str">
        <f t="shared" si="1"/>
        <v>Retro1Slow</v>
      </c>
      <c r="B20" s="84" t="s">
        <v>361</v>
      </c>
      <c r="C20" s="84" t="str">
        <f>[1]MLIST!$D$57</f>
        <v>Secondary Glazing Systems-Retro</v>
      </c>
      <c r="D20" s="84" t="s">
        <v>218</v>
      </c>
      <c r="E20" s="84" t="s">
        <v>755</v>
      </c>
      <c r="F20" s="440">
        <f t="shared" si="6"/>
        <v>1.3289301505035007E-2</v>
      </c>
      <c r="G20" s="441">
        <f t="shared" si="7"/>
        <v>17.416876261275753</v>
      </c>
      <c r="H20" s="99">
        <f t="shared" si="8"/>
        <v>110.53160992292048</v>
      </c>
      <c r="I20" s="19" t="str">
        <f>'SC-Retro'!C165</f>
        <v>SGSWindow-(Apackaged VAV with Electric reheat)</v>
      </c>
      <c r="J20" s="19" t="str">
        <f>'SC-Retro'!D165</f>
        <v>SGSWindow-Small Office (AC with Ele Furnace)-Missoula</v>
      </c>
      <c r="K20" s="40">
        <f>VLOOKUP($J20,'SC-Retro'!$D$148:$Y$170,COLUMN()-9,FALSE)</f>
        <v>7.1380864615209431E-4</v>
      </c>
      <c r="L20" s="40">
        <f>VLOOKUP($J20,'SC-Retro'!$D$148:$Y$170,COLUMN()-9,FALSE)</f>
        <v>1.4207177335992477E-3</v>
      </c>
      <c r="M20" s="40">
        <f>VLOOKUP($J20,'SC-Retro'!$D$148:$Y$170,COLUMN()-9,FALSE)</f>
        <v>2.5117045416891519E-3</v>
      </c>
      <c r="N20" s="40">
        <f>VLOOKUP($J20,'SC-Retro'!$D$148:$Y$170,COLUMN()-9,FALSE)</f>
        <v>4.0680824647600627E-3</v>
      </c>
      <c r="O20" s="40">
        <f>VLOOKUP($J20,'SC-Retro'!$D$148:$Y$170,COLUMN()-9,FALSE)</f>
        <v>6.1482798250243748E-3</v>
      </c>
      <c r="P20" s="40">
        <f>VLOOKUP($J20,'SC-Retro'!$D$148:$Y$170,COLUMN()-9,FALSE)</f>
        <v>8.767888893500787E-3</v>
      </c>
      <c r="Q20" s="40">
        <f>VLOOKUP($J20,'SC-Retro'!$D$148:$Y$170,COLUMN()-9,FALSE)</f>
        <v>1.1875632588735353E-2</v>
      </c>
      <c r="R20" s="40">
        <f>VLOOKUP($J20,'SC-Retro'!$D$148:$Y$170,COLUMN()-9,FALSE)</f>
        <v>1.5329197047652733E-2</v>
      </c>
      <c r="S20" s="40">
        <f>VLOOKUP($J20,'SC-Retro'!$D$148:$Y$170,COLUMN()-9,FALSE)</f>
        <v>1.8878467903425414E-2</v>
      </c>
      <c r="T20" s="40">
        <f>VLOOKUP($J20,'SC-Retro'!$D$148:$Y$170,COLUMN()-9,FALSE)</f>
        <v>2.2167040188850108E-2</v>
      </c>
      <c r="U20" s="40">
        <f>VLOOKUP($J20,'SC-Retro'!$D$148:$Y$170,COLUMN()-9,FALSE)</f>
        <v>2.4763759487171903E-2</v>
      </c>
      <c r="V20" s="40">
        <f>VLOOKUP($J20,'SC-Retro'!$D$148:$Y$170,COLUMN()-9,FALSE)</f>
        <v>2.6231553811830167E-2</v>
      </c>
      <c r="W20" s="40">
        <f>VLOOKUP($J20,'SC-Retro'!$D$148:$Y$170,COLUMN()-9,FALSE)</f>
        <v>2.6228746026766291E-2</v>
      </c>
      <c r="X20" s="40">
        <f>VLOOKUP($J20,'SC-Retro'!$D$148:$Y$170,COLUMN()-9,FALSE)</f>
        <v>2.4619670997291312E-2</v>
      </c>
      <c r="Y20" s="40">
        <f>VLOOKUP($J20,'SC-Retro'!$D$148:$Y$170,COLUMN()-9,FALSE)</f>
        <v>2.1554043289006113E-2</v>
      </c>
      <c r="Z20" s="40">
        <f>VLOOKUP($J20,'SC-Retro'!$D$148:$Y$170,COLUMN()-9,FALSE)</f>
        <v>1.7470773429870301E-2</v>
      </c>
      <c r="AA20" s="40">
        <f>VLOOKUP($J20,'SC-Retro'!$D$148:$Y$170,COLUMN()-9,FALSE)</f>
        <v>1.3003042922886003E-2</v>
      </c>
      <c r="AB20" s="40">
        <f>VLOOKUP($J20,'SC-Retro'!$D$148:$Y$170,COLUMN()-9,FALSE)</f>
        <v>8.8057480331629329E-3</v>
      </c>
      <c r="AC20" s="40">
        <f>VLOOKUP($J20,'SC-Retro'!$D$148:$Y$170,COLUMN()-9,FALSE)</f>
        <v>5.3721341793466831E-3</v>
      </c>
      <c r="AD20" s="40">
        <f>VLOOKUP($J20,'SC-Retro'!$D$148:$Y$170,COLUMN()-9,FALSE)</f>
        <v>2.5661225089358957E-3</v>
      </c>
      <c r="AE20" s="40">
        <f>VLOOKUP($J20,'SC-Retro'!$D$148:$Y$170,COLUMN()-9,FALSE)</f>
        <v>0.25661225089358958</v>
      </c>
      <c r="AF20" s="100">
        <f t="shared" si="11"/>
        <v>2.539537325987947</v>
      </c>
      <c r="AG20" s="100">
        <f t="shared" si="11"/>
        <v>1.8194982332754899</v>
      </c>
      <c r="AH20" s="100">
        <f t="shared" si="11"/>
        <v>1.3180090966247835</v>
      </c>
      <c r="AI20" s="100">
        <f t="shared" si="11"/>
        <v>1.2872571254441005</v>
      </c>
      <c r="AJ20" s="100">
        <f t="shared" si="11"/>
        <v>0.45143392840614138</v>
      </c>
      <c r="AK20" s="100">
        <f t="shared" si="11"/>
        <v>0.2307193796687442</v>
      </c>
      <c r="AL20" s="100">
        <f t="shared" si="11"/>
        <v>0.10040360655776404</v>
      </c>
      <c r="AM20" s="100">
        <f t="shared" si="11"/>
        <v>0.10423245695464632</v>
      </c>
      <c r="AN20" s="100">
        <f t="shared" si="11"/>
        <v>0.22234045542416822</v>
      </c>
      <c r="AO20" s="100">
        <f t="shared" si="11"/>
        <v>0.90361143218143758</v>
      </c>
      <c r="AP20" s="100">
        <f t="shared" si="11"/>
        <v>1.4532264713866339</v>
      </c>
      <c r="AQ20" s="100">
        <f t="shared" si="11"/>
        <v>3.3475701496122161</v>
      </c>
      <c r="AR20" s="100">
        <f t="shared" si="11"/>
        <v>0</v>
      </c>
      <c r="AS20" s="100">
        <f t="shared" si="11"/>
        <v>0.73758793837721426</v>
      </c>
      <c r="AT20" s="100">
        <f t="shared" si="11"/>
        <v>0.4928526776301278</v>
      </c>
      <c r="AU20" s="100">
        <f t="shared" si="11"/>
        <v>0.28483177022022371</v>
      </c>
      <c r="AV20" s="100">
        <f t="shared" si="9"/>
        <v>0.27167967034604962</v>
      </c>
      <c r="AW20" s="100">
        <f t="shared" si="9"/>
        <v>0.10404660458105966</v>
      </c>
      <c r="AX20" s="100">
        <f t="shared" si="9"/>
        <v>4.7170740487965206E-2</v>
      </c>
      <c r="AY20" s="100">
        <f t="shared" si="9"/>
        <v>2.3679366042636367E-2</v>
      </c>
      <c r="AZ20" s="100">
        <f t="shared" si="9"/>
        <v>1.847514628897497E-2</v>
      </c>
      <c r="BA20" s="100">
        <f t="shared" si="10"/>
        <v>6.0010656940666846E-2</v>
      </c>
      <c r="BB20" s="100">
        <f t="shared" si="10"/>
        <v>0.17057063319031762</v>
      </c>
      <c r="BC20" s="100">
        <f t="shared" si="10"/>
        <v>0.44648043292646672</v>
      </c>
      <c r="BD20" s="100">
        <f t="shared" si="10"/>
        <v>0.98165096271997776</v>
      </c>
    </row>
    <row r="21" spans="1:56" ht="15">
      <c r="A21" s="84" t="str">
        <f t="shared" si="1"/>
        <v>Retro1Slow</v>
      </c>
      <c r="B21" s="84" t="s">
        <v>361</v>
      </c>
      <c r="C21" s="84" t="str">
        <f>[1]MLIST!$D$57</f>
        <v>Secondary Glazing Systems-Retro</v>
      </c>
      <c r="D21" s="84" t="s">
        <v>218</v>
      </c>
      <c r="E21" s="84" t="s">
        <v>755</v>
      </c>
      <c r="F21" s="440">
        <f t="shared" si="6"/>
        <v>2.1705181674965209E-2</v>
      </c>
      <c r="G21" s="441">
        <f t="shared" si="7"/>
        <v>28.446676698406591</v>
      </c>
      <c r="H21" s="99">
        <f t="shared" si="8"/>
        <v>50.877409061345496</v>
      </c>
      <c r="I21" s="19" t="str">
        <f>'SC-Retro'!C166</f>
        <v>SGSWindow-(Apackaged VAV with Electric reheat)</v>
      </c>
      <c r="J21" s="19" t="str">
        <f>'SC-Retro'!D166</f>
        <v>SGSWindow-High-rise Office (VAV with Central Chillers / Ele Boilers)-Portland</v>
      </c>
      <c r="K21" s="40">
        <f>VLOOKUP($J21,'SC-Retro'!$D$148:$Y$170,COLUMN()-9,FALSE)</f>
        <v>3.4204456264794922E-3</v>
      </c>
      <c r="L21" s="40">
        <f>VLOOKUP($J21,'SC-Retro'!$D$148:$Y$170,COLUMN()-9,FALSE)</f>
        <v>6.807829779797837E-3</v>
      </c>
      <c r="M21" s="40">
        <f>VLOOKUP($J21,'SC-Retro'!$D$148:$Y$170,COLUMN()-9,FALSE)</f>
        <v>1.2035646893521637E-2</v>
      </c>
      <c r="N21" s="40">
        <f>VLOOKUP($J21,'SC-Retro'!$D$148:$Y$170,COLUMN()-9,FALSE)</f>
        <v>1.9493536467729503E-2</v>
      </c>
      <c r="O21" s="40">
        <f>VLOOKUP($J21,'SC-Retro'!$D$148:$Y$170,COLUMN()-9,FALSE)</f>
        <v>2.9461476757449923E-2</v>
      </c>
      <c r="P21" s="40">
        <f>VLOOKUP($J21,'SC-Retro'!$D$148:$Y$170,COLUMN()-9,FALSE)</f>
        <v>4.2014183186067436E-2</v>
      </c>
      <c r="Q21" s="40">
        <f>VLOOKUP($J21,'SC-Retro'!$D$148:$Y$170,COLUMN()-9,FALSE)</f>
        <v>5.6905944987898208E-2</v>
      </c>
      <c r="R21" s="40">
        <f>VLOOKUP($J21,'SC-Retro'!$D$148:$Y$170,COLUMN()-9,FALSE)</f>
        <v>7.3454819133577862E-2</v>
      </c>
      <c r="S21" s="40">
        <f>VLOOKUP($J21,'SC-Retro'!$D$148:$Y$170,COLUMN()-9,FALSE)</f>
        <v>9.0462301518754853E-2</v>
      </c>
      <c r="T21" s="40">
        <f>VLOOKUP($J21,'SC-Retro'!$D$148:$Y$170,COLUMN()-9,FALSE)</f>
        <v>0.10622056215580213</v>
      </c>
      <c r="U21" s="40">
        <f>VLOOKUP($J21,'SC-Retro'!$D$148:$Y$170,COLUMN()-9,FALSE)</f>
        <v>0.11866358482724117</v>
      </c>
      <c r="V21" s="40">
        <f>VLOOKUP($J21,'SC-Retro'!$D$148:$Y$170,COLUMN()-9,FALSE)</f>
        <v>0.12569699736071585</v>
      </c>
      <c r="W21" s="40">
        <f>VLOOKUP($J21,'SC-Retro'!$D$148:$Y$170,COLUMN()-9,FALSE)</f>
        <v>0.12568354294797709</v>
      </c>
      <c r="X21" s="40">
        <f>VLOOKUP($J21,'SC-Retro'!$D$148:$Y$170,COLUMN()-9,FALSE)</f>
        <v>0.11797313809800231</v>
      </c>
      <c r="Y21" s="40">
        <f>VLOOKUP($J21,'SC-Retro'!$D$148:$Y$170,COLUMN()-9,FALSE)</f>
        <v>0.10328318870646158</v>
      </c>
      <c r="Z21" s="40">
        <f>VLOOKUP($J21,'SC-Retro'!$D$148:$Y$170,COLUMN()-9,FALSE)</f>
        <v>8.3716876913089586E-2</v>
      </c>
      <c r="AA21" s="40">
        <f>VLOOKUP($J21,'SC-Retro'!$D$148:$Y$170,COLUMN()-9,FALSE)</f>
        <v>6.230829723941702E-2</v>
      </c>
      <c r="AB21" s="40">
        <f>VLOOKUP($J21,'SC-Retro'!$D$148:$Y$170,COLUMN()-9,FALSE)</f>
        <v>4.2195597532023774E-2</v>
      </c>
      <c r="AC21" s="40">
        <f>VLOOKUP($J21,'SC-Retro'!$D$148:$Y$170,COLUMN()-9,FALSE)</f>
        <v>2.5742323180955276E-2</v>
      </c>
      <c r="AD21" s="40">
        <f>VLOOKUP($J21,'SC-Retro'!$D$148:$Y$170,COLUMN()-9,FALSE)</f>
        <v>1.2296408232116253E-2</v>
      </c>
      <c r="AE21" s="40">
        <f>VLOOKUP($J21,'SC-Retro'!$D$148:$Y$170,COLUMN()-9,FALSE)</f>
        <v>1.2296408232116252</v>
      </c>
      <c r="AF21" s="100">
        <f t="shared" si="11"/>
        <v>4.1477815075562567</v>
      </c>
      <c r="AG21" s="100">
        <f t="shared" si="11"/>
        <v>2.9717543616238919</v>
      </c>
      <c r="AH21" s="100">
        <f t="shared" si="11"/>
        <v>2.1526810028848344</v>
      </c>
      <c r="AI21" s="100">
        <f t="shared" si="11"/>
        <v>2.1024543509357363</v>
      </c>
      <c r="AJ21" s="100">
        <f t="shared" si="11"/>
        <v>0.73731907027514798</v>
      </c>
      <c r="AK21" s="100">
        <f t="shared" si="11"/>
        <v>0.37682989205625483</v>
      </c>
      <c r="AL21" s="100">
        <f t="shared" si="11"/>
        <v>0.16398743909394475</v>
      </c>
      <c r="AM21" s="100">
        <f t="shared" si="11"/>
        <v>0.17024103289186601</v>
      </c>
      <c r="AN21" s="100">
        <f t="shared" si="11"/>
        <v>0.36314474292329346</v>
      </c>
      <c r="AO21" s="100">
        <f t="shared" si="11"/>
        <v>1.4758526090812731</v>
      </c>
      <c r="AP21" s="100">
        <f t="shared" si="11"/>
        <v>2.3735291553408415</v>
      </c>
      <c r="AQ21" s="100">
        <f t="shared" si="11"/>
        <v>5.4675272616468646</v>
      </c>
      <c r="AR21" s="100">
        <f t="shared" si="11"/>
        <v>0</v>
      </c>
      <c r="AS21" s="100">
        <f t="shared" si="11"/>
        <v>1.2046893659290414</v>
      </c>
      <c r="AT21" s="100">
        <f t="shared" si="11"/>
        <v>0.80496758260033208</v>
      </c>
      <c r="AU21" s="100">
        <f t="shared" si="11"/>
        <v>0.46521070479810861</v>
      </c>
      <c r="AV21" s="100">
        <f t="shared" si="9"/>
        <v>0.4437296121260762</v>
      </c>
      <c r="AW21" s="100">
        <f t="shared" si="9"/>
        <v>0.16993748348922108</v>
      </c>
      <c r="AX21" s="100">
        <f t="shared" si="9"/>
        <v>7.7043138169903741E-2</v>
      </c>
      <c r="AY21" s="100">
        <f t="shared" si="9"/>
        <v>3.8675090764454016E-2</v>
      </c>
      <c r="AZ21" s="100">
        <f t="shared" si="9"/>
        <v>3.0175130462788354E-2</v>
      </c>
      <c r="BA21" s="100">
        <f t="shared" si="10"/>
        <v>9.8014347167733579E-2</v>
      </c>
      <c r="BB21" s="100">
        <f t="shared" si="10"/>
        <v>0.27859000568291653</v>
      </c>
      <c r="BC21" s="100">
        <f t="shared" si="10"/>
        <v>0.72922861350646662</v>
      </c>
      <c r="BD21" s="100">
        <f t="shared" si="10"/>
        <v>1.6033131973993457</v>
      </c>
    </row>
    <row r="22" spans="1:56" ht="15">
      <c r="A22" s="84" t="str">
        <f t="shared" si="1"/>
        <v>Retro1Slow</v>
      </c>
      <c r="B22" s="84" t="s">
        <v>361</v>
      </c>
      <c r="C22" s="84" t="str">
        <f>[1]MLIST!$D$57</f>
        <v>Secondary Glazing Systems-Retro</v>
      </c>
      <c r="D22" s="84" t="s">
        <v>218</v>
      </c>
      <c r="E22" s="84" t="s">
        <v>755</v>
      </c>
      <c r="F22" s="440">
        <f t="shared" si="6"/>
        <v>3.0484146362692817E-2</v>
      </c>
      <c r="G22" s="441">
        <f t="shared" si="7"/>
        <v>39.952333456237696</v>
      </c>
      <c r="H22" s="99">
        <f t="shared" si="8"/>
        <v>23.749713197532319</v>
      </c>
      <c r="I22" s="19" t="str">
        <f>'SC-Retro'!C167</f>
        <v>SGSWindow-(Apackaged VAV with Electric reheat)</v>
      </c>
      <c r="J22" s="19" t="str">
        <f>'SC-Retro'!D167</f>
        <v>SGSWindow-High-rise Office (VAV with Central Chillers / Ele Boilers)-Spokane</v>
      </c>
      <c r="K22" s="40">
        <f>VLOOKUP($J22,'SC-Retro'!$D$148:$Y$170,COLUMN()-9,FALSE)</f>
        <v>1.086956258700278E-3</v>
      </c>
      <c r="L22" s="40">
        <f>VLOOKUP($J22,'SC-Retro'!$D$148:$Y$170,COLUMN()-9,FALSE)</f>
        <v>2.1634061743392437E-3</v>
      </c>
      <c r="M22" s="40">
        <f>VLOOKUP($J22,'SC-Retro'!$D$148:$Y$170,COLUMN()-9,FALSE)</f>
        <v>3.8247126681808519E-3</v>
      </c>
      <c r="N22" s="40">
        <f>VLOOKUP($J22,'SC-Retro'!$D$148:$Y$170,COLUMN()-9,FALSE)</f>
        <v>6.1946961833768913E-3</v>
      </c>
      <c r="O22" s="40">
        <f>VLOOKUP($J22,'SC-Retro'!$D$148:$Y$170,COLUMN()-9,FALSE)</f>
        <v>9.362328786680094E-3</v>
      </c>
      <c r="P22" s="40">
        <f>VLOOKUP($J22,'SC-Retro'!$D$148:$Y$170,COLUMN()-9,FALSE)</f>
        <v>1.3351353699277936E-2</v>
      </c>
      <c r="Q22" s="40">
        <f>VLOOKUP($J22,'SC-Retro'!$D$148:$Y$170,COLUMN()-9,FALSE)</f>
        <v>1.8083688447786683E-2</v>
      </c>
      <c r="R22" s="40">
        <f>VLOOKUP($J22,'SC-Retro'!$D$148:$Y$170,COLUMN()-9,FALSE)</f>
        <v>2.3342623771253238E-2</v>
      </c>
      <c r="S22" s="40">
        <f>VLOOKUP($J22,'SC-Retro'!$D$148:$Y$170,COLUMN()-9,FALSE)</f>
        <v>2.8747296565987904E-2</v>
      </c>
      <c r="T22" s="40">
        <f>VLOOKUP($J22,'SC-Retro'!$D$148:$Y$170,COLUMN()-9,FALSE)</f>
        <v>3.3754989099693933E-2</v>
      </c>
      <c r="U22" s="40">
        <f>VLOOKUP($J22,'SC-Retro'!$D$148:$Y$170,COLUMN()-9,FALSE)</f>
        <v>3.7709158481942166E-2</v>
      </c>
      <c r="V22" s="40">
        <f>VLOOKUP($J22,'SC-Retro'!$D$148:$Y$170,COLUMN()-9,FALSE)</f>
        <v>3.9944250808537619E-2</v>
      </c>
      <c r="W22" s="40">
        <f>VLOOKUP($J22,'SC-Retro'!$D$148:$Y$170,COLUMN()-9,FALSE)</f>
        <v>3.9939975237535903E-2</v>
      </c>
      <c r="X22" s="40">
        <f>VLOOKUP($J22,'SC-Retro'!$D$148:$Y$170,COLUMN()-9,FALSE)</f>
        <v>3.7489746897721853E-2</v>
      </c>
      <c r="Y22" s="40">
        <f>VLOOKUP($J22,'SC-Retro'!$D$148:$Y$170,COLUMN()-9,FALSE)</f>
        <v>3.2821544512771222E-2</v>
      </c>
      <c r="Z22" s="40">
        <f>VLOOKUP($J22,'SC-Retro'!$D$148:$Y$170,COLUMN()-9,FALSE)</f>
        <v>2.6603721636464711E-2</v>
      </c>
      <c r="AA22" s="40">
        <f>VLOOKUP($J22,'SC-Retro'!$D$148:$Y$170,COLUMN()-9,FALSE)</f>
        <v>1.9800459077330596E-2</v>
      </c>
      <c r="AB22" s="40">
        <f>VLOOKUP($J22,'SC-Retro'!$D$148:$Y$170,COLUMN()-9,FALSE)</f>
        <v>1.3409003923923727E-2</v>
      </c>
      <c r="AC22" s="40">
        <f>VLOOKUP($J22,'SC-Retro'!$D$148:$Y$170,COLUMN()-9,FALSE)</f>
        <v>8.1804485001633915E-3</v>
      </c>
      <c r="AD22" s="40">
        <f>VLOOKUP($J22,'SC-Retro'!$D$148:$Y$170,COLUMN()-9,FALSE)</f>
        <v>3.9075779436345071E-3</v>
      </c>
      <c r="AE22" s="40">
        <f>VLOOKUP($J22,'SC-Retro'!$D$148:$Y$170,COLUMN()-9,FALSE)</f>
        <v>0.39075779436345082</v>
      </c>
      <c r="AF22" s="100">
        <f t="shared" si="11"/>
        <v>5.825409823805046</v>
      </c>
      <c r="AG22" s="100">
        <f t="shared" si="11"/>
        <v>4.1737220296203157</v>
      </c>
      <c r="AH22" s="100">
        <f t="shared" si="11"/>
        <v>3.023362980638808</v>
      </c>
      <c r="AI22" s="100">
        <f t="shared" si="11"/>
        <v>2.9528214559350401</v>
      </c>
      <c r="AJ22" s="100">
        <f t="shared" si="11"/>
        <v>1.0355380936616017</v>
      </c>
      <c r="AK22" s="100">
        <f t="shared" si="11"/>
        <v>0.52924401902289175</v>
      </c>
      <c r="AL22" s="100">
        <f t="shared" si="11"/>
        <v>0.23031445531501171</v>
      </c>
      <c r="AM22" s="100">
        <f t="shared" si="11"/>
        <v>0.23909740269980781</v>
      </c>
      <c r="AN22" s="100">
        <f t="shared" si="11"/>
        <v>0.51002371967632376</v>
      </c>
      <c r="AO22" s="100">
        <f t="shared" si="11"/>
        <v>2.0727818646589475</v>
      </c>
      <c r="AP22" s="100">
        <f t="shared" si="11"/>
        <v>3.3335362611123984</v>
      </c>
      <c r="AQ22" s="100">
        <f t="shared" si="11"/>
        <v>7.6789452298525056</v>
      </c>
      <c r="AR22" s="100">
        <f t="shared" si="11"/>
        <v>0</v>
      </c>
      <c r="AS22" s="100">
        <f t="shared" si="11"/>
        <v>1.6919428504446909</v>
      </c>
      <c r="AT22" s="100">
        <f t="shared" si="11"/>
        <v>1.1305479941462355</v>
      </c>
      <c r="AU22" s="100">
        <f t="shared" si="11"/>
        <v>0.65337168916277943</v>
      </c>
      <c r="AV22" s="100">
        <f t="shared" si="9"/>
        <v>0.62320226773839726</v>
      </c>
      <c r="AW22" s="100">
        <f t="shared" si="9"/>
        <v>0.23867107849035837</v>
      </c>
      <c r="AX22" s="100">
        <f t="shared" si="9"/>
        <v>0.10820431431455761</v>
      </c>
      <c r="AY22" s="100">
        <f t="shared" si="9"/>
        <v>5.4317772829972653E-2</v>
      </c>
      <c r="AZ22" s="100">
        <f t="shared" si="9"/>
        <v>4.2379884550884109E-2</v>
      </c>
      <c r="BA22" s="100">
        <f t="shared" si="10"/>
        <v>0.13765762247229688</v>
      </c>
      <c r="BB22" s="100">
        <f t="shared" si="10"/>
        <v>0.39126963485483313</v>
      </c>
      <c r="BC22" s="100">
        <f t="shared" si="10"/>
        <v>1.024175338354099</v>
      </c>
      <c r="BD22" s="100">
        <f t="shared" si="10"/>
        <v>2.2517956728798953</v>
      </c>
    </row>
    <row r="23" spans="1:56" ht="15">
      <c r="A23" s="84" t="str">
        <f t="shared" si="1"/>
        <v>Retro1Slow</v>
      </c>
      <c r="B23" s="84" t="s">
        <v>361</v>
      </c>
      <c r="C23" s="84" t="str">
        <f>[1]MLIST!$D$57</f>
        <v>Secondary Glazing Systems-Retro</v>
      </c>
      <c r="D23" s="84" t="s">
        <v>218</v>
      </c>
      <c r="E23" s="84" t="s">
        <v>755</v>
      </c>
      <c r="F23" s="440">
        <f t="shared" si="6"/>
        <v>2.9045637517826631E-2</v>
      </c>
      <c r="G23" s="441">
        <f t="shared" si="7"/>
        <v>38.067032671821558</v>
      </c>
      <c r="H23" s="99">
        <f t="shared" si="8"/>
        <v>27.071445687273279</v>
      </c>
      <c r="I23" s="19" t="str">
        <f>'SC-Retro'!C168</f>
        <v>SGSWindow-(Apackaged VAV with Electric reheat)</v>
      </c>
      <c r="J23" s="19" t="str">
        <f>'SC-Retro'!D168</f>
        <v>SGSWindow-High-rise Office (VAV with Central Chillers / Ele Boilers)-Missoula</v>
      </c>
      <c r="K23" s="40">
        <f>VLOOKUP($J23,'SC-Retro'!$D$148:$Y$170,COLUMN()-9,FALSE)</f>
        <v>1.9980557398426808E-4</v>
      </c>
      <c r="L23" s="40">
        <f>VLOOKUP($J23,'SC-Retro'!$D$148:$Y$170,COLUMN()-9,FALSE)</f>
        <v>3.9767985966779871E-4</v>
      </c>
      <c r="M23" s="40">
        <f>VLOOKUP($J23,'SC-Retro'!$D$148:$Y$170,COLUMN()-9,FALSE)</f>
        <v>7.0306316732980895E-4</v>
      </c>
      <c r="N23" s="40">
        <f>VLOOKUP($J23,'SC-Retro'!$D$148:$Y$170,COLUMN()-9,FALSE)</f>
        <v>1.1387163160160552E-3</v>
      </c>
      <c r="O23" s="40">
        <f>VLOOKUP($J23,'SC-Retro'!$D$148:$Y$170,COLUMN()-9,FALSE)</f>
        <v>1.7209942553611734E-3</v>
      </c>
      <c r="P23" s="40">
        <f>VLOOKUP($J23,'SC-Retro'!$D$148:$Y$170,COLUMN()-9,FALSE)</f>
        <v>2.454261492123948E-3</v>
      </c>
      <c r="Q23" s="40">
        <f>VLOOKUP($J23,'SC-Retro'!$D$148:$Y$170,COLUMN()-9,FALSE)</f>
        <v>3.3241648144914184E-3</v>
      </c>
      <c r="R23" s="40">
        <f>VLOOKUP($J23,'SC-Retro'!$D$148:$Y$170,COLUMN()-9,FALSE)</f>
        <v>4.2908684720128574E-3</v>
      </c>
      <c r="S23" s="40">
        <f>VLOOKUP($J23,'SC-Retro'!$D$148:$Y$170,COLUMN()-9,FALSE)</f>
        <v>5.2843617623871937E-3</v>
      </c>
      <c r="T23" s="40">
        <f>VLOOKUP($J23,'SC-Retro'!$D$148:$Y$170,COLUMN()-9,FALSE)</f>
        <v>6.2048816757002516E-3</v>
      </c>
      <c r="U23" s="40">
        <f>VLOOKUP($J23,'SC-Retro'!$D$148:$Y$170,COLUMN()-9,FALSE)</f>
        <v>6.9317417280043286E-3</v>
      </c>
      <c r="V23" s="40">
        <f>VLOOKUP($J23,'SC-Retro'!$D$148:$Y$170,COLUMN()-9,FALSE)</f>
        <v>7.3425990202354236E-3</v>
      </c>
      <c r="W23" s="40">
        <f>VLOOKUP($J23,'SC-Retro'!$D$148:$Y$170,COLUMN()-9,FALSE)</f>
        <v>7.3418130797605697E-3</v>
      </c>
      <c r="X23" s="40">
        <f>VLOOKUP($J23,'SC-Retro'!$D$148:$Y$170,COLUMN()-9,FALSE)</f>
        <v>6.8914092333220147E-3</v>
      </c>
      <c r="Y23" s="40">
        <f>VLOOKUP($J23,'SC-Retro'!$D$148:$Y$170,COLUMN()-9,FALSE)</f>
        <v>6.0332947972221674E-3</v>
      </c>
      <c r="Z23" s="40">
        <f>VLOOKUP($J23,'SC-Retro'!$D$148:$Y$170,COLUMN()-9,FALSE)</f>
        <v>4.8903273053945975E-3</v>
      </c>
      <c r="AA23" s="40">
        <f>VLOOKUP($J23,'SC-Retro'!$D$148:$Y$170,COLUMN()-9,FALSE)</f>
        <v>3.6397436046126689E-3</v>
      </c>
      <c r="AB23" s="40">
        <f>VLOOKUP($J23,'SC-Retro'!$D$148:$Y$170,COLUMN()-9,FALSE)</f>
        <v>2.4648588240160779E-3</v>
      </c>
      <c r="AC23" s="40">
        <f>VLOOKUP($J23,'SC-Retro'!$D$148:$Y$170,COLUMN()-9,FALSE)</f>
        <v>1.5037396352805723E-3</v>
      </c>
      <c r="AD23" s="40">
        <f>VLOOKUP($J23,'SC-Retro'!$D$148:$Y$170,COLUMN()-9,FALSE)</f>
        <v>7.1829555942733473E-4</v>
      </c>
      <c r="AE23" s="40">
        <f>VLOOKUP($J23,'SC-Retro'!$D$148:$Y$170,COLUMN()-9,FALSE)</f>
        <v>7.182955594273345E-2</v>
      </c>
      <c r="AF23" s="100">
        <f t="shared" si="11"/>
        <v>5.5505160000839577</v>
      </c>
      <c r="AG23" s="100">
        <f t="shared" si="11"/>
        <v>3.9767692928046499</v>
      </c>
      <c r="AH23" s="100">
        <f t="shared" si="11"/>
        <v>2.8806942525351897</v>
      </c>
      <c r="AI23" s="100">
        <f t="shared" si="11"/>
        <v>2.8134814943977999</v>
      </c>
      <c r="AJ23" s="100">
        <f t="shared" si="11"/>
        <v>0.98667234261826176</v>
      </c>
      <c r="AK23" s="100">
        <f t="shared" si="11"/>
        <v>0.50426965387587619</v>
      </c>
      <c r="AL23" s="100">
        <f t="shared" si="11"/>
        <v>0.21944620343321894</v>
      </c>
      <c r="AM23" s="100">
        <f t="shared" si="11"/>
        <v>0.22781469448564137</v>
      </c>
      <c r="AN23" s="100">
        <f t="shared" si="11"/>
        <v>0.48595633648255221</v>
      </c>
      <c r="AO23" s="100">
        <f t="shared" si="11"/>
        <v>1.9749698737862356</v>
      </c>
      <c r="AP23" s="100">
        <f t="shared" si="11"/>
        <v>3.1762308427733448</v>
      </c>
      <c r="AQ23" s="100">
        <f t="shared" si="11"/>
        <v>7.3165853821808486</v>
      </c>
      <c r="AR23" s="100">
        <f t="shared" si="11"/>
        <v>0</v>
      </c>
      <c r="AS23" s="100">
        <f t="shared" si="11"/>
        <v>1.612102177643322</v>
      </c>
      <c r="AT23" s="100">
        <f t="shared" si="11"/>
        <v>1.0771988444021117</v>
      </c>
      <c r="AU23" s="100">
        <f t="shared" si="11"/>
        <v>0.62253989408269594</v>
      </c>
      <c r="AV23" s="100">
        <f t="shared" si="9"/>
        <v>0.59379413002588821</v>
      </c>
      <c r="AW23" s="100">
        <f t="shared" si="9"/>
        <v>0.22740848798389407</v>
      </c>
      <c r="AX23" s="100">
        <f t="shared" si="9"/>
        <v>0.10309828768214832</v>
      </c>
      <c r="AY23" s="100">
        <f t="shared" si="9"/>
        <v>5.1754584879104747E-2</v>
      </c>
      <c r="AZ23" s="100">
        <f t="shared" si="9"/>
        <v>4.0380030658125489E-2</v>
      </c>
      <c r="BA23" s="100">
        <f t="shared" si="10"/>
        <v>0.13116173096417863</v>
      </c>
      <c r="BB23" s="100">
        <f t="shared" si="10"/>
        <v>0.3728061088052711</v>
      </c>
      <c r="BC23" s="100">
        <f t="shared" si="10"/>
        <v>0.97584578156128576</v>
      </c>
      <c r="BD23" s="100">
        <f t="shared" si="10"/>
        <v>2.1455362436759544</v>
      </c>
    </row>
    <row r="24" spans="1:56">
      <c r="I24" s="19"/>
      <c r="J24" s="19"/>
    </row>
    <row r="25" spans="1:56">
      <c r="I25" s="19"/>
      <c r="J25" s="19"/>
    </row>
    <row r="26" spans="1:56">
      <c r="I26" s="19"/>
      <c r="J26" s="19"/>
    </row>
    <row r="27" spans="1:56">
      <c r="I27" s="19"/>
      <c r="J27" s="19"/>
    </row>
    <row r="28" spans="1:56">
      <c r="I28" s="19"/>
      <c r="J28" s="19"/>
    </row>
    <row r="29" spans="1:56">
      <c r="I29" s="19"/>
      <c r="J29" s="19"/>
    </row>
    <row r="30" spans="1:56">
      <c r="I30" s="19"/>
      <c r="J30" s="19"/>
    </row>
    <row r="31" spans="1:56">
      <c r="I31" s="19"/>
      <c r="J31" s="19"/>
    </row>
    <row r="32" spans="1:56">
      <c r="I32" s="19"/>
      <c r="J32" s="19"/>
    </row>
    <row r="33" spans="9:10">
      <c r="I33" s="19"/>
      <c r="J33" s="19"/>
    </row>
    <row r="34" spans="9:10">
      <c r="I34" s="19"/>
      <c r="J34" s="19"/>
    </row>
    <row r="35" spans="9:10">
      <c r="I35" s="19"/>
      <c r="J35" s="19"/>
    </row>
    <row r="36" spans="9:10">
      <c r="I36" s="19"/>
      <c r="J36" s="19"/>
    </row>
    <row r="37" spans="9:10">
      <c r="I37" s="19"/>
      <c r="J37" s="19"/>
    </row>
    <row r="38" spans="9:10">
      <c r="I38" s="19"/>
      <c r="J38" s="19"/>
    </row>
    <row r="39" spans="9:10">
      <c r="I39" s="19"/>
      <c r="J39" s="19"/>
    </row>
    <row r="40" spans="9:10">
      <c r="I40" s="19"/>
      <c r="J40" s="19"/>
    </row>
    <row r="41" spans="9:10">
      <c r="I41" s="19"/>
      <c r="J41" s="19"/>
    </row>
    <row r="42" spans="9:10">
      <c r="I42" s="19"/>
      <c r="J42" s="19"/>
    </row>
    <row r="43" spans="9:10">
      <c r="I43" s="19"/>
      <c r="J43" s="19"/>
    </row>
  </sheetData>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dimension ref="A1:V27"/>
  <sheetViews>
    <sheetView topLeftCell="E1" workbookViewId="0">
      <selection activeCell="Q27" sqref="Q27"/>
    </sheetView>
  </sheetViews>
  <sheetFormatPr defaultRowHeight="15"/>
  <cols>
    <col min="1" max="1" width="13.140625" style="231" customWidth="1"/>
    <col min="2" max="2" width="11.5703125" style="231" customWidth="1"/>
    <col min="3" max="3" width="12.140625" style="231" customWidth="1"/>
    <col min="4" max="4" width="18" style="231" bestFit="1" customWidth="1"/>
    <col min="5" max="5" width="12.28515625" style="231" bestFit="1" customWidth="1"/>
    <col min="6" max="6" width="15" style="231" bestFit="1" customWidth="1"/>
    <col min="7" max="7" width="15" style="231" customWidth="1"/>
    <col min="8" max="8" width="14.85546875" style="231" bestFit="1" customWidth="1"/>
    <col min="9" max="10" width="14.85546875" style="231" customWidth="1"/>
    <col min="11" max="11" width="20.5703125" style="231" customWidth="1"/>
    <col min="12" max="16" width="14.85546875" style="231" customWidth="1"/>
    <col min="17" max="21" width="11.42578125" style="231" customWidth="1"/>
    <col min="22" max="22" width="10.7109375" style="231" customWidth="1"/>
    <col min="23" max="16384" width="9.140625" style="231"/>
  </cols>
  <sheetData>
    <row r="1" spans="1:22" ht="18">
      <c r="A1" s="464" t="s">
        <v>399</v>
      </c>
      <c r="B1" s="465"/>
      <c r="C1" s="465"/>
      <c r="D1" s="465"/>
      <c r="E1" s="465"/>
      <c r="F1" s="465"/>
      <c r="G1" s="465"/>
      <c r="H1" s="466"/>
      <c r="I1" s="234"/>
      <c r="J1" s="234"/>
      <c r="K1" s="234"/>
      <c r="L1" s="234" t="s">
        <v>400</v>
      </c>
      <c r="M1" s="234"/>
      <c r="N1" s="234"/>
      <c r="O1" s="234"/>
      <c r="P1" s="234"/>
    </row>
    <row r="2" spans="1:22">
      <c r="A2" s="235" t="s">
        <v>401</v>
      </c>
      <c r="B2" s="236">
        <v>10792</v>
      </c>
      <c r="C2" s="237" t="s">
        <v>402</v>
      </c>
      <c r="D2" s="467"/>
      <c r="E2" s="467"/>
      <c r="F2" s="467"/>
      <c r="G2" s="467"/>
      <c r="H2" s="468"/>
      <c r="I2" s="238"/>
      <c r="J2" s="238"/>
      <c r="K2" s="238"/>
      <c r="L2" s="238"/>
      <c r="M2" s="238"/>
      <c r="N2" s="238"/>
      <c r="O2" s="238"/>
      <c r="P2" s="238"/>
    </row>
    <row r="3" spans="1:22">
      <c r="A3" s="239" t="s">
        <v>403</v>
      </c>
      <c r="B3" s="240">
        <v>4017</v>
      </c>
      <c r="C3" s="241" t="s">
        <v>402</v>
      </c>
      <c r="D3" s="467"/>
      <c r="E3" s="467"/>
      <c r="F3" s="467"/>
      <c r="G3" s="467"/>
      <c r="H3" s="468"/>
      <c r="I3" s="238"/>
      <c r="J3" s="238"/>
      <c r="K3" s="242" t="str">
        <f>A1</f>
        <v>Small Office (AC with Gas Furnace)</v>
      </c>
      <c r="M3" s="238"/>
      <c r="N3" s="238"/>
      <c r="O3" s="238"/>
      <c r="P3" s="238"/>
    </row>
    <row r="4" spans="1:22">
      <c r="A4" s="239" t="s">
        <v>404</v>
      </c>
      <c r="B4" s="240">
        <v>1215</v>
      </c>
      <c r="C4" s="241" t="s">
        <v>402</v>
      </c>
      <c r="D4" s="467"/>
      <c r="E4" s="467"/>
      <c r="F4" s="467"/>
      <c r="G4" s="467"/>
      <c r="H4" s="468"/>
      <c r="I4" s="238"/>
      <c r="J4" s="238"/>
      <c r="K4" s="238"/>
      <c r="L4" s="243" t="s">
        <v>394</v>
      </c>
      <c r="M4" s="238"/>
      <c r="N4" s="238"/>
      <c r="O4" s="238"/>
      <c r="P4" s="243" t="s">
        <v>395</v>
      </c>
      <c r="Q4" s="322" t="s">
        <v>482</v>
      </c>
    </row>
    <row r="5" spans="1:22">
      <c r="A5" s="469"/>
      <c r="B5" s="470"/>
      <c r="C5" s="470"/>
      <c r="D5" s="470"/>
      <c r="E5" s="470"/>
      <c r="F5" s="470"/>
      <c r="G5" s="470"/>
      <c r="H5" s="471"/>
      <c r="I5" s="238"/>
      <c r="J5" s="238"/>
      <c r="K5" s="238"/>
      <c r="L5" s="463" t="s">
        <v>405</v>
      </c>
      <c r="M5" s="463"/>
      <c r="N5" s="463"/>
      <c r="O5" s="463"/>
      <c r="P5" s="463"/>
      <c r="Q5" s="463"/>
      <c r="R5" s="457" t="s">
        <v>406</v>
      </c>
      <c r="S5" s="458"/>
      <c r="T5" s="458"/>
      <c r="U5" s="458"/>
      <c r="V5" s="459"/>
    </row>
    <row r="6" spans="1:22" ht="90">
      <c r="A6" s="460"/>
      <c r="B6" s="461"/>
      <c r="C6" s="244" t="s">
        <v>407</v>
      </c>
      <c r="D6" s="245" t="s">
        <v>408</v>
      </c>
      <c r="E6" s="244" t="s">
        <v>409</v>
      </c>
      <c r="F6" s="244" t="s">
        <v>410</v>
      </c>
      <c r="G6" s="245" t="s">
        <v>411</v>
      </c>
      <c r="H6" s="245" t="s">
        <v>412</v>
      </c>
      <c r="I6" s="245" t="s">
        <v>413</v>
      </c>
      <c r="J6" s="245" t="s">
        <v>414</v>
      </c>
      <c r="K6" s="246"/>
      <c r="L6" s="247" t="s">
        <v>415</v>
      </c>
      <c r="M6" s="247" t="s">
        <v>416</v>
      </c>
      <c r="N6" s="247" t="s">
        <v>417</v>
      </c>
      <c r="O6" s="247" t="s">
        <v>418</v>
      </c>
      <c r="P6" s="248" t="s">
        <v>419</v>
      </c>
      <c r="Q6" s="248" t="s">
        <v>420</v>
      </c>
      <c r="R6" s="249" t="s">
        <v>421</v>
      </c>
      <c r="S6" s="249" t="s">
        <v>422</v>
      </c>
      <c r="T6" s="249" t="s">
        <v>423</v>
      </c>
      <c r="U6" s="249" t="s">
        <v>424</v>
      </c>
      <c r="V6" s="250" t="s">
        <v>425</v>
      </c>
    </row>
    <row r="7" spans="1:22">
      <c r="A7" s="462" t="s">
        <v>396</v>
      </c>
      <c r="B7" s="235" t="s">
        <v>426</v>
      </c>
      <c r="C7" s="251">
        <v>16239</v>
      </c>
      <c r="D7" s="252">
        <f t="shared" ref="D7:D18" si="0">C7/$B$4</f>
        <v>13.365432098765432</v>
      </c>
      <c r="E7" s="236">
        <v>0</v>
      </c>
      <c r="F7" s="251">
        <v>855</v>
      </c>
      <c r="G7" s="252">
        <f t="shared" ref="G7:G18" si="1">F7/$B$4</f>
        <v>0.70370370370370372</v>
      </c>
      <c r="H7" s="253">
        <f t="shared" ref="H7:H18" si="2">E7/$B$4</f>
        <v>0</v>
      </c>
      <c r="I7" s="251">
        <v>25134</v>
      </c>
      <c r="J7" s="252">
        <f>I7/$B$4</f>
        <v>20.686419753086419</v>
      </c>
      <c r="K7" s="243"/>
      <c r="L7" s="254"/>
      <c r="M7" s="255"/>
      <c r="N7" s="256"/>
      <c r="O7" s="255"/>
      <c r="P7" s="256"/>
      <c r="Q7" s="255"/>
      <c r="R7" s="257">
        <f t="shared" ref="R7:R18" si="3">C7/$B$2</f>
        <v>1.5047257227575983</v>
      </c>
      <c r="S7" s="258">
        <f>I7/$B$2</f>
        <v>2.3289473684210527</v>
      </c>
      <c r="T7" s="259">
        <f t="shared" ref="T7:T18" si="4">F7/$B$2</f>
        <v>7.9225352112676062E-2</v>
      </c>
      <c r="U7" s="258">
        <f t="shared" ref="U7:U18" si="5">(80%*T7*100000/3412)+(E7/$B$2)</f>
        <v>1.8575698033452772</v>
      </c>
      <c r="V7" s="258">
        <f>R7+S7+U7</f>
        <v>5.6912428945239277</v>
      </c>
    </row>
    <row r="8" spans="1:22">
      <c r="A8" s="462"/>
      <c r="B8" s="260" t="s">
        <v>427</v>
      </c>
      <c r="C8" s="261">
        <v>15455</v>
      </c>
      <c r="D8" s="262">
        <f t="shared" si="0"/>
        <v>12.720164609053498</v>
      </c>
      <c r="E8" s="263">
        <v>0</v>
      </c>
      <c r="F8" s="261">
        <v>517</v>
      </c>
      <c r="G8" s="262">
        <f t="shared" si="1"/>
        <v>0.42551440329218104</v>
      </c>
      <c r="H8" s="262">
        <f t="shared" si="2"/>
        <v>0</v>
      </c>
      <c r="I8" s="261">
        <v>22089</v>
      </c>
      <c r="J8" s="262">
        <f t="shared" ref="J8:J18" si="6">I8/$B$4</f>
        <v>18.180246913580248</v>
      </c>
      <c r="K8" s="243"/>
      <c r="L8" s="264">
        <f>G7-G8</f>
        <v>0.27818930041152268</v>
      </c>
      <c r="M8" s="265">
        <f>H7-H8</f>
        <v>0</v>
      </c>
      <c r="N8" s="266">
        <f>D7-D8</f>
        <v>0.64526748971193371</v>
      </c>
      <c r="O8" s="267">
        <f>J7-J8</f>
        <v>2.5061728395061706</v>
      </c>
      <c r="P8" s="266">
        <f>SUM(M8,N8:O8)</f>
        <v>3.1514403292181044</v>
      </c>
      <c r="Q8" s="267">
        <f>80%*L8*100000/3412</f>
        <v>6.5226096227789601</v>
      </c>
      <c r="R8" s="268">
        <f t="shared" si="3"/>
        <v>1.4320793180133433</v>
      </c>
      <c r="S8" s="269">
        <f t="shared" ref="S8:S9" si="7">I8/$B$2</f>
        <v>2.0467939214232764</v>
      </c>
      <c r="T8" s="270">
        <f t="shared" si="4"/>
        <v>4.7905856189770203E-2</v>
      </c>
      <c r="U8" s="269">
        <f t="shared" si="5"/>
        <v>1.1232322670520565</v>
      </c>
      <c r="V8" s="269">
        <f t="shared" ref="V8:V18" si="8">R8+S8+U8</f>
        <v>4.6021055064886767</v>
      </c>
    </row>
    <row r="9" spans="1:22">
      <c r="A9" s="462"/>
      <c r="B9" s="271" t="s">
        <v>428</v>
      </c>
      <c r="C9" s="272">
        <v>13312</v>
      </c>
      <c r="D9" s="273">
        <f t="shared" si="0"/>
        <v>10.956378600823045</v>
      </c>
      <c r="E9" s="274">
        <v>0</v>
      </c>
      <c r="F9" s="272">
        <v>632</v>
      </c>
      <c r="G9" s="273">
        <f t="shared" si="1"/>
        <v>0.52016460905349793</v>
      </c>
      <c r="H9" s="273">
        <f t="shared" si="2"/>
        <v>0</v>
      </c>
      <c r="I9" s="272">
        <v>19353</v>
      </c>
      <c r="J9" s="273">
        <f t="shared" si="6"/>
        <v>15.928395061728395</v>
      </c>
      <c r="K9" s="243" t="str">
        <f>A7</f>
        <v>Portland</v>
      </c>
      <c r="L9" s="275">
        <f>G7-G9</f>
        <v>0.18353909465020579</v>
      </c>
      <c r="M9" s="276">
        <f>H7-H9</f>
        <v>0</v>
      </c>
      <c r="N9" s="277">
        <f>D7-D9</f>
        <v>2.4090534979423861</v>
      </c>
      <c r="O9" s="278">
        <f>J7-J9</f>
        <v>4.758024691358024</v>
      </c>
      <c r="P9" s="277">
        <f>SUM(M9,N9:O9)</f>
        <v>7.1670781893004101</v>
      </c>
      <c r="Q9" s="278">
        <f>L9*100000/3412*80%</f>
        <v>4.3033785381056466</v>
      </c>
      <c r="R9" s="279">
        <f t="shared" si="3"/>
        <v>1.2335063009636769</v>
      </c>
      <c r="S9" s="280">
        <f t="shared" si="7"/>
        <v>1.7932727946627132</v>
      </c>
      <c r="T9" s="281">
        <f t="shared" si="4"/>
        <v>5.8561897702001479E-2</v>
      </c>
      <c r="U9" s="280">
        <f t="shared" si="5"/>
        <v>1.3730808370926488</v>
      </c>
      <c r="V9" s="280">
        <f t="shared" si="8"/>
        <v>4.3998599327190391</v>
      </c>
    </row>
    <row r="10" spans="1:22">
      <c r="A10" s="462" t="s">
        <v>397</v>
      </c>
      <c r="B10" s="235" t="s">
        <v>426</v>
      </c>
      <c r="C10" s="251">
        <v>13325</v>
      </c>
      <c r="D10" s="252">
        <f t="shared" si="0"/>
        <v>10.967078189300411</v>
      </c>
      <c r="E10" s="236">
        <v>0</v>
      </c>
      <c r="F10" s="251">
        <v>2797</v>
      </c>
      <c r="G10" s="252">
        <f t="shared" si="1"/>
        <v>2.3020576131687243</v>
      </c>
      <c r="H10" s="252">
        <f t="shared" si="2"/>
        <v>0</v>
      </c>
      <c r="I10" s="251">
        <v>31392</v>
      </c>
      <c r="J10" s="252">
        <f>I10/$B$4</f>
        <v>25.837037037037039</v>
      </c>
      <c r="K10" s="243"/>
      <c r="L10" s="254"/>
      <c r="M10" s="255"/>
      <c r="N10" s="256"/>
      <c r="O10" s="255"/>
      <c r="P10" s="256"/>
      <c r="Q10" s="255"/>
      <c r="R10" s="257">
        <f t="shared" si="3"/>
        <v>1.2347108969607117</v>
      </c>
      <c r="S10" s="258">
        <f>I10/$B$2</f>
        <v>2.9088213491475168</v>
      </c>
      <c r="T10" s="259">
        <f t="shared" si="4"/>
        <v>0.25917346182357304</v>
      </c>
      <c r="U10" s="258">
        <f t="shared" si="5"/>
        <v>6.0767517426394617</v>
      </c>
      <c r="V10" s="258">
        <f t="shared" si="8"/>
        <v>10.22028398874769</v>
      </c>
    </row>
    <row r="11" spans="1:22">
      <c r="A11" s="462"/>
      <c r="B11" s="260" t="s">
        <v>427</v>
      </c>
      <c r="C11" s="261">
        <v>12911</v>
      </c>
      <c r="D11" s="262">
        <f t="shared" si="0"/>
        <v>10.626337448559671</v>
      </c>
      <c r="E11" s="263">
        <v>0</v>
      </c>
      <c r="F11" s="261">
        <v>2024</v>
      </c>
      <c r="G11" s="262">
        <f t="shared" si="1"/>
        <v>1.665843621399177</v>
      </c>
      <c r="H11" s="262">
        <f t="shared" si="2"/>
        <v>0</v>
      </c>
      <c r="I11" s="261">
        <v>27467</v>
      </c>
      <c r="J11" s="262">
        <f t="shared" si="6"/>
        <v>22.606584362139916</v>
      </c>
      <c r="K11" s="243"/>
      <c r="L11" s="264">
        <f>G10-G11</f>
        <v>0.63621399176954729</v>
      </c>
      <c r="M11" s="265">
        <f>H10-H11</f>
        <v>0</v>
      </c>
      <c r="N11" s="266">
        <f>D10-D11</f>
        <v>0.34074074074074012</v>
      </c>
      <c r="O11" s="267">
        <f>J10-J11</f>
        <v>3.2304526748971227</v>
      </c>
      <c r="P11" s="266">
        <f>SUM(M11,N11:O11)</f>
        <v>3.5711934156378629</v>
      </c>
      <c r="Q11" s="267">
        <f>80%*L11*100000/3412</f>
        <v>14.917092421325847</v>
      </c>
      <c r="R11" s="268">
        <f t="shared" si="3"/>
        <v>1.196349147516679</v>
      </c>
      <c r="S11" s="269">
        <f t="shared" ref="S11:S12" si="9">I11/$B$2</f>
        <v>2.5451260192735359</v>
      </c>
      <c r="T11" s="270">
        <f t="shared" si="4"/>
        <v>0.18754633061527057</v>
      </c>
      <c r="U11" s="269">
        <f t="shared" si="5"/>
        <v>4.3973348327144333</v>
      </c>
      <c r="V11" s="269">
        <f t="shared" si="8"/>
        <v>8.1388099995046481</v>
      </c>
    </row>
    <row r="12" spans="1:22">
      <c r="A12" s="462"/>
      <c r="B12" s="271" t="s">
        <v>428</v>
      </c>
      <c r="C12" s="272">
        <v>10619</v>
      </c>
      <c r="D12" s="273">
        <f t="shared" si="0"/>
        <v>8.7399176954732507</v>
      </c>
      <c r="E12" s="274">
        <v>0</v>
      </c>
      <c r="F12" s="272">
        <v>2302</v>
      </c>
      <c r="G12" s="262">
        <f t="shared" si="1"/>
        <v>1.8946502057613168</v>
      </c>
      <c r="H12" s="282">
        <f t="shared" si="2"/>
        <v>0</v>
      </c>
      <c r="I12" s="272">
        <v>23922</v>
      </c>
      <c r="J12" s="273">
        <f t="shared" si="6"/>
        <v>19.68888888888889</v>
      </c>
      <c r="K12" s="243" t="str">
        <f>A10</f>
        <v>Spokane</v>
      </c>
      <c r="L12" s="275">
        <f>G10-G12</f>
        <v>0.40740740740740744</v>
      </c>
      <c r="M12" s="276">
        <f>H10-H12</f>
        <v>0</v>
      </c>
      <c r="N12" s="277">
        <f>D10-D12</f>
        <v>2.2271604938271601</v>
      </c>
      <c r="O12" s="278">
        <f>J10-J12</f>
        <v>6.1481481481481488</v>
      </c>
      <c r="P12" s="277">
        <f>SUM(M12,N12:O12)</f>
        <v>8.3753086419753089</v>
      </c>
      <c r="Q12" s="278">
        <f>L12*100000/3412*80%</f>
        <v>9.5523424948981823</v>
      </c>
      <c r="R12" s="279">
        <f t="shared" si="3"/>
        <v>0.98396960711638248</v>
      </c>
      <c r="S12" s="280">
        <f t="shared" si="9"/>
        <v>2.216641957005189</v>
      </c>
      <c r="T12" s="281">
        <f t="shared" si="4"/>
        <v>0.21330615270570794</v>
      </c>
      <c r="U12" s="280">
        <f t="shared" si="5"/>
        <v>5.0013165933343018</v>
      </c>
      <c r="V12" s="280">
        <f t="shared" si="8"/>
        <v>8.2019281574558729</v>
      </c>
    </row>
    <row r="13" spans="1:22">
      <c r="A13" s="462" t="s">
        <v>398</v>
      </c>
      <c r="B13" s="235" t="s">
        <v>426</v>
      </c>
      <c r="C13" s="261">
        <v>12198</v>
      </c>
      <c r="D13" s="252">
        <f t="shared" si="0"/>
        <v>10.039506172839506</v>
      </c>
      <c r="E13" s="263">
        <v>0</v>
      </c>
      <c r="F13" s="261">
        <v>2906</v>
      </c>
      <c r="G13" s="252">
        <f t="shared" si="1"/>
        <v>2.3917695473251031</v>
      </c>
      <c r="H13" s="253">
        <f t="shared" si="2"/>
        <v>0</v>
      </c>
      <c r="I13" s="251">
        <v>30484</v>
      </c>
      <c r="J13" s="252">
        <f>I13/$B$4</f>
        <v>25.08971193415638</v>
      </c>
      <c r="K13" s="243"/>
      <c r="L13" s="254"/>
      <c r="M13" s="255"/>
      <c r="N13" s="256"/>
      <c r="O13" s="255"/>
      <c r="P13" s="256"/>
      <c r="Q13" s="255"/>
      <c r="R13" s="257">
        <f t="shared" si="3"/>
        <v>1.130281690140845</v>
      </c>
      <c r="S13" s="258">
        <f>I13/$B$2</f>
        <v>2.8246849518161601</v>
      </c>
      <c r="T13" s="259">
        <f t="shared" si="4"/>
        <v>0.26927353595255743</v>
      </c>
      <c r="U13" s="258">
        <f t="shared" si="5"/>
        <v>6.3135647351127187</v>
      </c>
      <c r="V13" s="269">
        <f t="shared" si="8"/>
        <v>10.268531377069724</v>
      </c>
    </row>
    <row r="14" spans="1:22">
      <c r="A14" s="462"/>
      <c r="B14" s="260" t="s">
        <v>427</v>
      </c>
      <c r="C14" s="261">
        <v>11708</v>
      </c>
      <c r="D14" s="262">
        <f t="shared" si="0"/>
        <v>9.636213991769548</v>
      </c>
      <c r="E14" s="263">
        <v>0</v>
      </c>
      <c r="F14" s="261">
        <v>2171</v>
      </c>
      <c r="G14" s="262">
        <f t="shared" si="1"/>
        <v>1.7868312757201645</v>
      </c>
      <c r="H14" s="262">
        <f t="shared" si="2"/>
        <v>0</v>
      </c>
      <c r="I14" s="261">
        <v>26712</v>
      </c>
      <c r="J14" s="262">
        <f t="shared" si="6"/>
        <v>21.985185185185184</v>
      </c>
      <c r="K14" s="243"/>
      <c r="L14" s="264">
        <f>G13-G14</f>
        <v>0.60493827160493852</v>
      </c>
      <c r="M14" s="265">
        <f>H13-H14</f>
        <v>0</v>
      </c>
      <c r="N14" s="266">
        <f>D13-D14</f>
        <v>0.40329218106995768</v>
      </c>
      <c r="O14" s="267">
        <f>J13-J14</f>
        <v>3.1045267489711961</v>
      </c>
      <c r="P14" s="266">
        <f>SUM(M14,N14:O14)</f>
        <v>3.5078189300411537</v>
      </c>
      <c r="Q14" s="267">
        <f>80%*L14*100000/3412</f>
        <v>14.183781280303366</v>
      </c>
      <c r="R14" s="268">
        <f t="shared" si="3"/>
        <v>1.0848776871756858</v>
      </c>
      <c r="S14" s="269">
        <f t="shared" ref="S14:S15" si="10">I14/$B$2</f>
        <v>2.4751667902149741</v>
      </c>
      <c r="T14" s="270">
        <f t="shared" si="4"/>
        <v>0.20116753150481839</v>
      </c>
      <c r="U14" s="269">
        <f t="shared" si="5"/>
        <v>4.7167064831141481</v>
      </c>
      <c r="V14" s="269">
        <f t="shared" si="8"/>
        <v>8.276750960504808</v>
      </c>
    </row>
    <row r="15" spans="1:22">
      <c r="A15" s="462"/>
      <c r="B15" s="271" t="s">
        <v>428</v>
      </c>
      <c r="C15" s="272">
        <v>9823</v>
      </c>
      <c r="D15" s="273">
        <f t="shared" si="0"/>
        <v>8.0847736625514397</v>
      </c>
      <c r="E15" s="274">
        <v>0</v>
      </c>
      <c r="F15" s="272">
        <v>2463</v>
      </c>
      <c r="G15" s="273">
        <f t="shared" si="1"/>
        <v>2.0271604938271603</v>
      </c>
      <c r="H15" s="273">
        <f t="shared" si="2"/>
        <v>0</v>
      </c>
      <c r="I15" s="272">
        <v>23661</v>
      </c>
      <c r="J15" s="273">
        <f t="shared" si="6"/>
        <v>19.474074074074075</v>
      </c>
      <c r="K15" s="243" t="str">
        <f>A13</f>
        <v>Missoula</v>
      </c>
      <c r="L15" s="275">
        <f>G13-G15</f>
        <v>0.3646090534979427</v>
      </c>
      <c r="M15" s="276">
        <f>H13-H15</f>
        <v>0</v>
      </c>
      <c r="N15" s="277">
        <f>D13-D15</f>
        <v>1.9547325102880659</v>
      </c>
      <c r="O15" s="278">
        <f>J13-J15</f>
        <v>5.6156378600823054</v>
      </c>
      <c r="P15" s="277">
        <f>SUM(M15,N15:O15)</f>
        <v>7.5703703703703713</v>
      </c>
      <c r="Q15" s="278">
        <f>L15*100000/3412*80%</f>
        <v>8.5488640913937335</v>
      </c>
      <c r="R15" s="279">
        <f t="shared" si="3"/>
        <v>0.91021126760563376</v>
      </c>
      <c r="S15" s="280">
        <f t="shared" si="10"/>
        <v>2.1924573758339512</v>
      </c>
      <c r="T15" s="281">
        <f t="shared" si="4"/>
        <v>0.22822461082283171</v>
      </c>
      <c r="U15" s="280">
        <f t="shared" si="5"/>
        <v>5.3511045913911301</v>
      </c>
      <c r="V15" s="280">
        <f t="shared" si="8"/>
        <v>8.4537732348307149</v>
      </c>
    </row>
    <row r="16" spans="1:22">
      <c r="A16" s="462" t="s">
        <v>429</v>
      </c>
      <c r="B16" s="235" t="s">
        <v>426</v>
      </c>
      <c r="C16" s="261">
        <v>16949</v>
      </c>
      <c r="D16" s="252">
        <f t="shared" si="0"/>
        <v>13.949794238683127</v>
      </c>
      <c r="E16" s="263">
        <v>0</v>
      </c>
      <c r="F16" s="261">
        <v>100</v>
      </c>
      <c r="G16" s="252">
        <f t="shared" si="1"/>
        <v>8.2304526748971193E-2</v>
      </c>
      <c r="H16" s="253">
        <f t="shared" si="2"/>
        <v>0</v>
      </c>
      <c r="I16" s="251">
        <v>21773</v>
      </c>
      <c r="J16" s="252">
        <f>I16/$B$4</f>
        <v>17.920164609053497</v>
      </c>
      <c r="K16" s="243"/>
      <c r="L16" s="254"/>
      <c r="M16" s="255"/>
      <c r="N16" s="256"/>
      <c r="O16" s="255"/>
      <c r="P16" s="256"/>
      <c r="Q16" s="255"/>
      <c r="R16" s="257">
        <f t="shared" si="3"/>
        <v>1.5705151964418087</v>
      </c>
      <c r="S16" s="258">
        <f>I16/$B$2</f>
        <v>2.0175129725722756</v>
      </c>
      <c r="T16" s="259">
        <f t="shared" si="4"/>
        <v>9.2661230541141587E-3</v>
      </c>
      <c r="U16" s="258">
        <f t="shared" si="5"/>
        <v>0.21725962612225461</v>
      </c>
      <c r="V16" s="258">
        <f t="shared" si="8"/>
        <v>3.8052877951363389</v>
      </c>
    </row>
    <row r="17" spans="1:22">
      <c r="A17" s="462"/>
      <c r="B17" s="260" t="s">
        <v>427</v>
      </c>
      <c r="C17" s="261">
        <v>17045</v>
      </c>
      <c r="D17" s="262">
        <f t="shared" si="0"/>
        <v>14.02880658436214</v>
      </c>
      <c r="E17" s="263">
        <v>0</v>
      </c>
      <c r="F17" s="261">
        <v>39</v>
      </c>
      <c r="G17" s="262">
        <f t="shared" si="1"/>
        <v>3.2098765432098768E-2</v>
      </c>
      <c r="H17" s="262">
        <f t="shared" si="2"/>
        <v>0</v>
      </c>
      <c r="I17" s="261">
        <v>20528</v>
      </c>
      <c r="J17" s="262">
        <f t="shared" si="6"/>
        <v>16.895473251028807</v>
      </c>
      <c r="K17" s="243"/>
      <c r="L17" s="264">
        <f>G16-G17</f>
        <v>5.0205761316872426E-2</v>
      </c>
      <c r="M17" s="265">
        <f>H16-H17</f>
        <v>0</v>
      </c>
      <c r="N17" s="266">
        <f>D16-D17</f>
        <v>-7.9012345679013052E-2</v>
      </c>
      <c r="O17" s="267">
        <f>J16-J17</f>
        <v>1.0246913580246897</v>
      </c>
      <c r="P17" s="266">
        <f>SUM(M17,N17:O17)</f>
        <v>0.94567901234567664</v>
      </c>
      <c r="Q17" s="267">
        <f>80%*L17*100000/3412</f>
        <v>1.1771573579571497</v>
      </c>
      <c r="R17" s="268">
        <f t="shared" si="3"/>
        <v>1.5794106745737584</v>
      </c>
      <c r="S17" s="269">
        <f t="shared" ref="S17:S18" si="11">I17/$B$2</f>
        <v>1.9021497405485546</v>
      </c>
      <c r="T17" s="270">
        <f t="shared" si="4"/>
        <v>3.6137879911045221E-3</v>
      </c>
      <c r="U17" s="269">
        <f t="shared" si="5"/>
        <v>8.4731254187679308E-2</v>
      </c>
      <c r="V17" s="269">
        <f t="shared" si="8"/>
        <v>3.5662916693099924</v>
      </c>
    </row>
    <row r="18" spans="1:22">
      <c r="A18" s="462"/>
      <c r="B18" s="271" t="s">
        <v>428</v>
      </c>
      <c r="C18" s="272">
        <v>14475</v>
      </c>
      <c r="D18" s="273">
        <f t="shared" si="0"/>
        <v>11.913580246913581</v>
      </c>
      <c r="E18" s="274">
        <v>0</v>
      </c>
      <c r="F18" s="272">
        <v>61</v>
      </c>
      <c r="G18" s="273">
        <f t="shared" si="1"/>
        <v>5.0205761316872426E-2</v>
      </c>
      <c r="H18" s="273">
        <f t="shared" si="2"/>
        <v>0</v>
      </c>
      <c r="I18" s="272">
        <v>17771</v>
      </c>
      <c r="J18" s="273">
        <f t="shared" si="6"/>
        <v>14.626337448559671</v>
      </c>
      <c r="K18" s="243"/>
      <c r="L18" s="275">
        <f>G16-G18</f>
        <v>3.2098765432098768E-2</v>
      </c>
      <c r="M18" s="276">
        <f>H16-H18</f>
        <v>0</v>
      </c>
      <c r="N18" s="277">
        <f>D16-D18</f>
        <v>2.0362139917695465</v>
      </c>
      <c r="O18" s="278">
        <f>J16-J18</f>
        <v>3.2938271604938265</v>
      </c>
      <c r="P18" s="277">
        <f>SUM(M18,N18:O18)</f>
        <v>5.330041152263373</v>
      </c>
      <c r="Q18" s="278">
        <f>L18*100000/3412*80%</f>
        <v>0.75260880262834151</v>
      </c>
      <c r="R18" s="279">
        <f t="shared" si="3"/>
        <v>1.3412713120830244</v>
      </c>
      <c r="S18" s="280">
        <f t="shared" si="11"/>
        <v>1.6466827279466272</v>
      </c>
      <c r="T18" s="281">
        <f t="shared" si="4"/>
        <v>5.6523350630096371E-3</v>
      </c>
      <c r="U18" s="280">
        <f t="shared" si="5"/>
        <v>0.13252837193457531</v>
      </c>
      <c r="V18" s="280">
        <f t="shared" si="8"/>
        <v>3.1204824119642272</v>
      </c>
    </row>
    <row r="20" spans="1:22">
      <c r="C20" s="233"/>
      <c r="F20" s="232"/>
    </row>
    <row r="21" spans="1:22">
      <c r="C21" s="233"/>
      <c r="F21" s="232"/>
    </row>
    <row r="22" spans="1:22">
      <c r="C22" s="233"/>
      <c r="F22" s="232"/>
    </row>
    <row r="23" spans="1:22">
      <c r="C23" s="233"/>
      <c r="F23" s="232"/>
    </row>
    <row r="24" spans="1:22">
      <c r="C24" s="233"/>
    </row>
    <row r="25" spans="1:22">
      <c r="C25" s="233"/>
    </row>
    <row r="26" spans="1:22">
      <c r="C26" s="233"/>
    </row>
    <row r="27" spans="1:22">
      <c r="C27" s="233"/>
    </row>
  </sheetData>
  <mergeCells count="12">
    <mergeCell ref="A16:A18"/>
    <mergeCell ref="A1:H1"/>
    <mergeCell ref="D2:H2"/>
    <mergeCell ref="D3:H3"/>
    <mergeCell ref="D4:H4"/>
    <mergeCell ref="A5:H5"/>
    <mergeCell ref="R5:V5"/>
    <mergeCell ref="A6:B6"/>
    <mergeCell ref="A7:A9"/>
    <mergeCell ref="A10:A12"/>
    <mergeCell ref="A13:A15"/>
    <mergeCell ref="L5:Q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dimension ref="A1:V27"/>
  <sheetViews>
    <sheetView topLeftCell="F1" workbookViewId="0">
      <selection activeCell="Q4" sqref="Q4"/>
    </sheetView>
  </sheetViews>
  <sheetFormatPr defaultRowHeight="15"/>
  <cols>
    <col min="1" max="1" width="13.140625" style="231" customWidth="1"/>
    <col min="2" max="2" width="11.5703125" style="231" customWidth="1"/>
    <col min="3" max="3" width="12.140625" style="231" customWidth="1"/>
    <col min="4" max="4" width="18" style="231" bestFit="1" customWidth="1"/>
    <col min="5" max="5" width="12.28515625" style="231" bestFit="1" customWidth="1"/>
    <col min="6" max="6" width="15" style="231" bestFit="1" customWidth="1"/>
    <col min="7" max="7" width="15" style="231" customWidth="1"/>
    <col min="8" max="8" width="14.85546875" style="231" bestFit="1" customWidth="1"/>
    <col min="9" max="10" width="14.85546875" style="231" customWidth="1"/>
    <col min="11" max="11" width="15.42578125" style="231" customWidth="1"/>
    <col min="12" max="16" width="14.85546875" style="231" customWidth="1"/>
    <col min="17" max="21" width="11.42578125" style="231" customWidth="1"/>
    <col min="22" max="22" width="10.7109375" style="231" customWidth="1"/>
    <col min="23" max="16384" width="9.140625" style="231"/>
  </cols>
  <sheetData>
    <row r="1" spans="1:22" ht="18">
      <c r="A1" s="464" t="s">
        <v>430</v>
      </c>
      <c r="B1" s="465"/>
      <c r="C1" s="465"/>
      <c r="D1" s="465"/>
      <c r="E1" s="465"/>
      <c r="F1" s="465"/>
      <c r="G1" s="465"/>
      <c r="H1" s="466"/>
      <c r="I1" s="234"/>
      <c r="J1" s="234"/>
      <c r="K1" s="234"/>
      <c r="L1" s="234" t="s">
        <v>400</v>
      </c>
      <c r="M1" s="234"/>
      <c r="N1" s="234"/>
      <c r="O1" s="234"/>
      <c r="P1" s="234"/>
    </row>
    <row r="2" spans="1:22">
      <c r="A2" s="235" t="s">
        <v>401</v>
      </c>
      <c r="B2" s="236">
        <v>10792</v>
      </c>
      <c r="C2" s="237" t="s">
        <v>402</v>
      </c>
      <c r="D2" s="467"/>
      <c r="E2" s="467"/>
      <c r="F2" s="467"/>
      <c r="G2" s="467"/>
      <c r="H2" s="468"/>
      <c r="I2" s="238"/>
      <c r="J2" s="238"/>
      <c r="K2" s="238"/>
      <c r="L2" s="238"/>
      <c r="M2" s="238"/>
      <c r="N2" s="238"/>
      <c r="O2" s="238"/>
      <c r="P2" s="238"/>
    </row>
    <row r="3" spans="1:22">
      <c r="A3" s="239" t="s">
        <v>403</v>
      </c>
      <c r="B3" s="240">
        <v>4017</v>
      </c>
      <c r="C3" s="241" t="s">
        <v>402</v>
      </c>
      <c r="D3" s="467"/>
      <c r="E3" s="467"/>
      <c r="F3" s="467"/>
      <c r="G3" s="467"/>
      <c r="H3" s="468"/>
      <c r="I3" s="238"/>
      <c r="J3" s="238"/>
      <c r="K3" s="242" t="str">
        <f>A1</f>
        <v>Small Office (Air-source Heat Pump)</v>
      </c>
      <c r="L3" s="238"/>
      <c r="M3" s="238"/>
      <c r="N3" s="238"/>
      <c r="O3" s="238"/>
      <c r="P3" s="238"/>
    </row>
    <row r="4" spans="1:22">
      <c r="A4" s="239" t="s">
        <v>404</v>
      </c>
      <c r="B4" s="240">
        <v>1215</v>
      </c>
      <c r="C4" s="241" t="s">
        <v>402</v>
      </c>
      <c r="D4" s="467"/>
      <c r="E4" s="467"/>
      <c r="F4" s="467"/>
      <c r="G4" s="467"/>
      <c r="H4" s="468"/>
      <c r="I4" s="238"/>
      <c r="J4" s="238"/>
      <c r="K4" s="238"/>
      <c r="L4" s="243" t="s">
        <v>394</v>
      </c>
      <c r="M4" s="238"/>
      <c r="N4" s="238"/>
      <c r="O4" s="238"/>
      <c r="P4" s="243" t="s">
        <v>395</v>
      </c>
      <c r="Q4" s="322" t="s">
        <v>482</v>
      </c>
    </row>
    <row r="5" spans="1:22">
      <c r="A5" s="469"/>
      <c r="B5" s="470"/>
      <c r="C5" s="470"/>
      <c r="D5" s="470"/>
      <c r="E5" s="470"/>
      <c r="F5" s="470"/>
      <c r="G5" s="470"/>
      <c r="H5" s="471"/>
      <c r="I5" s="238"/>
      <c r="J5" s="238"/>
      <c r="K5" s="238"/>
      <c r="L5" s="463" t="s">
        <v>405</v>
      </c>
      <c r="M5" s="463"/>
      <c r="N5" s="463"/>
      <c r="O5" s="463"/>
      <c r="P5" s="463"/>
      <c r="Q5" s="463"/>
      <c r="R5" s="457" t="s">
        <v>406</v>
      </c>
      <c r="S5" s="458"/>
      <c r="T5" s="458"/>
      <c r="U5" s="458"/>
      <c r="V5" s="459"/>
    </row>
    <row r="6" spans="1:22" ht="90">
      <c r="A6" s="460"/>
      <c r="B6" s="461"/>
      <c r="C6" s="244" t="s">
        <v>407</v>
      </c>
      <c r="D6" s="245" t="s">
        <v>408</v>
      </c>
      <c r="E6" s="244" t="s">
        <v>409</v>
      </c>
      <c r="F6" s="244" t="s">
        <v>410</v>
      </c>
      <c r="G6" s="245" t="s">
        <v>411</v>
      </c>
      <c r="H6" s="245" t="s">
        <v>412</v>
      </c>
      <c r="I6" s="245" t="s">
        <v>413</v>
      </c>
      <c r="J6" s="245" t="s">
        <v>414</v>
      </c>
      <c r="K6" s="246"/>
      <c r="L6" s="247" t="s">
        <v>415</v>
      </c>
      <c r="M6" s="247" t="s">
        <v>416</v>
      </c>
      <c r="N6" s="247" t="s">
        <v>417</v>
      </c>
      <c r="O6" s="247" t="s">
        <v>418</v>
      </c>
      <c r="P6" s="248" t="s">
        <v>419</v>
      </c>
      <c r="Q6" s="248" t="s">
        <v>420</v>
      </c>
      <c r="R6" s="249" t="s">
        <v>421</v>
      </c>
      <c r="S6" s="249" t="s">
        <v>422</v>
      </c>
      <c r="T6" s="249" t="s">
        <v>423</v>
      </c>
      <c r="U6" s="249" t="s">
        <v>424</v>
      </c>
      <c r="V6" s="250" t="s">
        <v>425</v>
      </c>
    </row>
    <row r="7" spans="1:22">
      <c r="A7" s="462" t="s">
        <v>396</v>
      </c>
      <c r="B7" s="235" t="s">
        <v>426</v>
      </c>
      <c r="C7" s="251">
        <v>16172</v>
      </c>
      <c r="D7" s="252">
        <f t="shared" ref="D7:D18" si="0">C7/$B$4</f>
        <v>13.310288065843622</v>
      </c>
      <c r="E7" s="236">
        <f>9208+13</f>
        <v>9221</v>
      </c>
      <c r="F7" s="251">
        <v>0</v>
      </c>
      <c r="G7" s="252">
        <f t="shared" ref="G7:G18" si="1">F7/$B$4</f>
        <v>0</v>
      </c>
      <c r="H7" s="253">
        <f t="shared" ref="H7:H18" si="2">E7/$B$4</f>
        <v>7.5893004115226335</v>
      </c>
      <c r="I7" s="251">
        <v>22728</v>
      </c>
      <c r="J7" s="252">
        <f>I7/$B$4</f>
        <v>18.706172839506173</v>
      </c>
      <c r="K7" s="243"/>
      <c r="L7" s="254"/>
      <c r="M7" s="255"/>
      <c r="N7" s="256"/>
      <c r="O7" s="255"/>
      <c r="P7" s="256"/>
      <c r="Q7" s="255"/>
      <c r="R7" s="257">
        <f t="shared" ref="R7:R18" si="3">C7/$B$2</f>
        <v>1.4985174203113418</v>
      </c>
      <c r="S7" s="258">
        <f>I7/$B$2</f>
        <v>2.1060044477390658</v>
      </c>
      <c r="T7" s="259">
        <f t="shared" ref="T7:T18" si="4">F7/$B$2</f>
        <v>0</v>
      </c>
      <c r="U7" s="258">
        <f t="shared" ref="U7:U18" si="5">(80%*T7*100000/3412)+(E7/$B$2)</f>
        <v>0.85442920681986656</v>
      </c>
      <c r="V7" s="258">
        <f>R7+S7+U7</f>
        <v>4.4589510748702743</v>
      </c>
    </row>
    <row r="8" spans="1:22">
      <c r="A8" s="462"/>
      <c r="B8" s="260" t="s">
        <v>427</v>
      </c>
      <c r="C8" s="261">
        <v>15398</v>
      </c>
      <c r="D8" s="262">
        <f t="shared" si="0"/>
        <v>12.673251028806584</v>
      </c>
      <c r="E8" s="263">
        <f>5233+11</f>
        <v>5244</v>
      </c>
      <c r="F8" s="261">
        <v>0</v>
      </c>
      <c r="G8" s="262">
        <f t="shared" si="1"/>
        <v>0</v>
      </c>
      <c r="H8" s="262">
        <f t="shared" si="2"/>
        <v>4.3160493827160495</v>
      </c>
      <c r="I8" s="261">
        <v>19987</v>
      </c>
      <c r="J8" s="262">
        <f t="shared" ref="J8:J18" si="6">I8/$B$4</f>
        <v>16.450205761316873</v>
      </c>
      <c r="K8" s="243"/>
      <c r="L8" s="264">
        <f>G7-G8</f>
        <v>0</v>
      </c>
      <c r="M8" s="265">
        <f>H7-H8</f>
        <v>3.2732510288065839</v>
      </c>
      <c r="N8" s="266">
        <f>D7-D8</f>
        <v>0.63703703703703773</v>
      </c>
      <c r="O8" s="267">
        <f>J7-J8</f>
        <v>2.2559670781893004</v>
      </c>
      <c r="P8" s="266">
        <f>SUM(M8,N8:O8)</f>
        <v>6.1662551440329221</v>
      </c>
      <c r="Q8" s="267">
        <f>80%*L8*100000/3412</f>
        <v>0</v>
      </c>
      <c r="R8" s="268">
        <f t="shared" si="3"/>
        <v>1.4267976278724981</v>
      </c>
      <c r="S8" s="269">
        <f t="shared" ref="S8:S9" si="7">I8/$B$2</f>
        <v>1.8520200148257968</v>
      </c>
      <c r="T8" s="270">
        <f t="shared" si="4"/>
        <v>0</v>
      </c>
      <c r="U8" s="269">
        <f t="shared" si="5"/>
        <v>0.4859154929577465</v>
      </c>
      <c r="V8" s="269">
        <f t="shared" ref="V8:V18" si="8">R8+S8+U8</f>
        <v>3.7647331356560412</v>
      </c>
    </row>
    <row r="9" spans="1:22">
      <c r="A9" s="462"/>
      <c r="B9" s="271" t="s">
        <v>428</v>
      </c>
      <c r="C9" s="272">
        <v>13281</v>
      </c>
      <c r="D9" s="273">
        <f t="shared" si="0"/>
        <v>10.930864197530864</v>
      </c>
      <c r="E9" s="274">
        <f>6179+14</f>
        <v>6193</v>
      </c>
      <c r="F9" s="272">
        <v>0</v>
      </c>
      <c r="G9" s="273">
        <f t="shared" si="1"/>
        <v>0</v>
      </c>
      <c r="H9" s="273">
        <f t="shared" si="2"/>
        <v>5.0971193415637863</v>
      </c>
      <c r="I9" s="272">
        <v>17541</v>
      </c>
      <c r="J9" s="273">
        <f t="shared" si="6"/>
        <v>14.437037037037037</v>
      </c>
      <c r="K9" s="243" t="str">
        <f>A7</f>
        <v>Portland</v>
      </c>
      <c r="L9" s="275">
        <f>G7-G9</f>
        <v>0</v>
      </c>
      <c r="M9" s="276">
        <f>H7-H9</f>
        <v>2.4921810699588471</v>
      </c>
      <c r="N9" s="277">
        <f>D7-D9</f>
        <v>2.3794238683127578</v>
      </c>
      <c r="O9" s="278">
        <f>J7-J9</f>
        <v>4.2691358024691368</v>
      </c>
      <c r="P9" s="277">
        <f>SUM(M9,N9:O9)</f>
        <v>9.1407407407407426</v>
      </c>
      <c r="Q9" s="278">
        <f>L9*100000/3412*80%</f>
        <v>0</v>
      </c>
      <c r="R9" s="279">
        <f t="shared" si="3"/>
        <v>1.2306338028169015</v>
      </c>
      <c r="S9" s="280">
        <f t="shared" si="7"/>
        <v>1.6253706449221645</v>
      </c>
      <c r="T9" s="281">
        <f t="shared" si="4"/>
        <v>0</v>
      </c>
      <c r="U9" s="280">
        <f t="shared" si="5"/>
        <v>0.57385100074128981</v>
      </c>
      <c r="V9" s="280">
        <f t="shared" si="8"/>
        <v>3.4298554484803558</v>
      </c>
    </row>
    <row r="10" spans="1:22">
      <c r="A10" s="462" t="s">
        <v>397</v>
      </c>
      <c r="B10" s="235" t="s">
        <v>426</v>
      </c>
      <c r="C10" s="251">
        <v>13236</v>
      </c>
      <c r="D10" s="252">
        <f t="shared" si="0"/>
        <v>10.893827160493828</v>
      </c>
      <c r="E10" s="236">
        <f>28089+3615</f>
        <v>31704</v>
      </c>
      <c r="F10" s="251">
        <v>0</v>
      </c>
      <c r="G10" s="252">
        <f t="shared" si="1"/>
        <v>0</v>
      </c>
      <c r="H10" s="252">
        <f t="shared" si="2"/>
        <v>26.093827160493827</v>
      </c>
      <c r="I10" s="251">
        <v>29034</v>
      </c>
      <c r="J10" s="252">
        <f>I10/$B$4</f>
        <v>23.896296296296295</v>
      </c>
      <c r="K10" s="243"/>
      <c r="L10" s="254"/>
      <c r="M10" s="255"/>
      <c r="N10" s="256"/>
      <c r="O10" s="255"/>
      <c r="P10" s="256"/>
      <c r="Q10" s="255"/>
      <c r="R10" s="257">
        <f t="shared" si="3"/>
        <v>1.2264640474425501</v>
      </c>
      <c r="S10" s="258">
        <f>I10/$B$2</f>
        <v>2.6903261675315049</v>
      </c>
      <c r="T10" s="259">
        <f t="shared" si="4"/>
        <v>0</v>
      </c>
      <c r="U10" s="258">
        <f t="shared" si="5"/>
        <v>2.9377316530763529</v>
      </c>
      <c r="V10" s="258">
        <f t="shared" si="8"/>
        <v>6.8545218680504085</v>
      </c>
    </row>
    <row r="11" spans="1:22">
      <c r="A11" s="462"/>
      <c r="B11" s="260" t="s">
        <v>427</v>
      </c>
      <c r="C11" s="261">
        <v>12787</v>
      </c>
      <c r="D11" s="262">
        <f t="shared" si="0"/>
        <v>10.524279835390946</v>
      </c>
      <c r="E11" s="263">
        <f>20839+2783</f>
        <v>23622</v>
      </c>
      <c r="F11" s="261">
        <v>0</v>
      </c>
      <c r="G11" s="262">
        <f t="shared" si="1"/>
        <v>0</v>
      </c>
      <c r="H11" s="262">
        <f t="shared" si="2"/>
        <v>19.441975308641975</v>
      </c>
      <c r="I11" s="261">
        <v>25216</v>
      </c>
      <c r="J11" s="262">
        <f t="shared" si="6"/>
        <v>20.753909465020577</v>
      </c>
      <c r="K11" s="243"/>
      <c r="L11" s="264">
        <f>G10-G11</f>
        <v>0</v>
      </c>
      <c r="M11" s="265">
        <f>H10-H11</f>
        <v>6.6518518518518519</v>
      </c>
      <c r="N11" s="266">
        <f>D10-D11</f>
        <v>0.36954732510288224</v>
      </c>
      <c r="O11" s="267">
        <f>J10-J11</f>
        <v>3.1423868312757186</v>
      </c>
      <c r="P11" s="266">
        <f>SUM(M11,N11:O11)</f>
        <v>10.163786008230453</v>
      </c>
      <c r="Q11" s="267">
        <f>80%*L11*100000/3412</f>
        <v>0</v>
      </c>
      <c r="R11" s="268">
        <f t="shared" si="3"/>
        <v>1.1848591549295775</v>
      </c>
      <c r="S11" s="269">
        <f t="shared" ref="S11:S12" si="9">I11/$B$2</f>
        <v>2.3365455893254263</v>
      </c>
      <c r="T11" s="270">
        <f t="shared" si="4"/>
        <v>0</v>
      </c>
      <c r="U11" s="269">
        <f t="shared" si="5"/>
        <v>2.1888435878428467</v>
      </c>
      <c r="V11" s="269">
        <f t="shared" si="8"/>
        <v>5.7102483320978505</v>
      </c>
    </row>
    <row r="12" spans="1:22">
      <c r="A12" s="462"/>
      <c r="B12" s="271" t="s">
        <v>428</v>
      </c>
      <c r="C12" s="272">
        <v>10538</v>
      </c>
      <c r="D12" s="273">
        <f t="shared" si="0"/>
        <v>8.6732510288065843</v>
      </c>
      <c r="E12" s="274">
        <f>22818+3453</f>
        <v>26271</v>
      </c>
      <c r="F12" s="272">
        <v>0</v>
      </c>
      <c r="G12" s="262">
        <f t="shared" si="1"/>
        <v>0</v>
      </c>
      <c r="H12" s="282">
        <f t="shared" si="2"/>
        <v>21.622222222222224</v>
      </c>
      <c r="I12" s="272">
        <v>22107</v>
      </c>
      <c r="J12" s="273">
        <f t="shared" si="6"/>
        <v>18.195061728395061</v>
      </c>
      <c r="K12" s="243" t="str">
        <f>A10</f>
        <v>Spokane</v>
      </c>
      <c r="L12" s="275">
        <f>G10-G12</f>
        <v>0</v>
      </c>
      <c r="M12" s="276">
        <f>H10-H12</f>
        <v>4.4716049382716037</v>
      </c>
      <c r="N12" s="277">
        <f>D10-D12</f>
        <v>2.2205761316872437</v>
      </c>
      <c r="O12" s="278">
        <f>J10-J12</f>
        <v>5.7012345679012348</v>
      </c>
      <c r="P12" s="277">
        <f>SUM(M12,N12:O12)</f>
        <v>12.393415637860082</v>
      </c>
      <c r="Q12" s="278">
        <f>L12*100000/3412*80%</f>
        <v>0</v>
      </c>
      <c r="R12" s="279">
        <f t="shared" si="3"/>
        <v>0.97646404744255</v>
      </c>
      <c r="S12" s="280">
        <f t="shared" si="9"/>
        <v>2.048461823573017</v>
      </c>
      <c r="T12" s="281">
        <f t="shared" si="4"/>
        <v>0</v>
      </c>
      <c r="U12" s="280">
        <f t="shared" si="5"/>
        <v>2.4343031875463308</v>
      </c>
      <c r="V12" s="280">
        <f t="shared" si="8"/>
        <v>5.4592290585618972</v>
      </c>
    </row>
    <row r="13" spans="1:22">
      <c r="A13" s="462" t="s">
        <v>398</v>
      </c>
      <c r="B13" s="235" t="s">
        <v>426</v>
      </c>
      <c r="C13" s="261">
        <v>12102</v>
      </c>
      <c r="D13" s="252">
        <f t="shared" si="0"/>
        <v>9.9604938271604944</v>
      </c>
      <c r="E13" s="263">
        <f>29298+7318</f>
        <v>36616</v>
      </c>
      <c r="F13" s="261">
        <v>0</v>
      </c>
      <c r="G13" s="252">
        <f t="shared" si="1"/>
        <v>0</v>
      </c>
      <c r="H13" s="253">
        <f t="shared" si="2"/>
        <v>30.136625514403292</v>
      </c>
      <c r="I13" s="251">
        <v>27947</v>
      </c>
      <c r="J13" s="252">
        <f>I13/$B$4</f>
        <v>23.00164609053498</v>
      </c>
      <c r="K13" s="243"/>
      <c r="L13" s="254"/>
      <c r="M13" s="255"/>
      <c r="N13" s="256"/>
      <c r="O13" s="255"/>
      <c r="P13" s="256"/>
      <c r="Q13" s="255"/>
      <c r="R13" s="257">
        <f t="shared" si="3"/>
        <v>1.1213862120088955</v>
      </c>
      <c r="S13" s="258">
        <f>I13/$B$2</f>
        <v>2.5896034099332841</v>
      </c>
      <c r="T13" s="259">
        <f t="shared" si="4"/>
        <v>0</v>
      </c>
      <c r="U13" s="258">
        <f t="shared" si="5"/>
        <v>3.3928836174944403</v>
      </c>
      <c r="V13" s="269">
        <f t="shared" si="8"/>
        <v>7.10387323943662</v>
      </c>
    </row>
    <row r="14" spans="1:22">
      <c r="A14" s="462"/>
      <c r="B14" s="260" t="s">
        <v>427</v>
      </c>
      <c r="C14" s="261">
        <v>11621</v>
      </c>
      <c r="D14" s="262">
        <f t="shared" si="0"/>
        <v>9.5646090534979429</v>
      </c>
      <c r="E14" s="263">
        <f>22124+5861</f>
        <v>27985</v>
      </c>
      <c r="F14" s="261">
        <v>0</v>
      </c>
      <c r="G14" s="262">
        <f t="shared" si="1"/>
        <v>0</v>
      </c>
      <c r="H14" s="262">
        <f t="shared" si="2"/>
        <v>23.032921810699587</v>
      </c>
      <c r="I14" s="261">
        <v>24555</v>
      </c>
      <c r="J14" s="262">
        <f t="shared" si="6"/>
        <v>20.209876543209877</v>
      </c>
      <c r="K14" s="243"/>
      <c r="L14" s="264">
        <f>G13-G14</f>
        <v>0</v>
      </c>
      <c r="M14" s="265">
        <f>H13-H14</f>
        <v>7.1037037037037045</v>
      </c>
      <c r="N14" s="266">
        <f>D13-D14</f>
        <v>0.39588477366255148</v>
      </c>
      <c r="O14" s="267">
        <f>J13-J14</f>
        <v>2.791769547325103</v>
      </c>
      <c r="P14" s="266">
        <f>SUM(M14,N14:O14)</f>
        <v>10.291358024691359</v>
      </c>
      <c r="Q14" s="267">
        <f>80%*L14*100000/3412</f>
        <v>0</v>
      </c>
      <c r="R14" s="268">
        <f t="shared" si="3"/>
        <v>1.0768161601186064</v>
      </c>
      <c r="S14" s="269">
        <f t="shared" ref="S14:S15" si="10">I14/$B$2</f>
        <v>2.2752965159377316</v>
      </c>
      <c r="T14" s="270">
        <f t="shared" si="4"/>
        <v>0</v>
      </c>
      <c r="U14" s="269">
        <f t="shared" si="5"/>
        <v>2.5931245366938471</v>
      </c>
      <c r="V14" s="269">
        <f t="shared" si="8"/>
        <v>5.9452372127501851</v>
      </c>
    </row>
    <row r="15" spans="1:22">
      <c r="A15" s="462"/>
      <c r="B15" s="271" t="s">
        <v>428</v>
      </c>
      <c r="C15" s="272">
        <v>9759</v>
      </c>
      <c r="D15" s="273">
        <f t="shared" si="0"/>
        <v>8.0320987654320994</v>
      </c>
      <c r="E15" s="274">
        <f>24517+6757</f>
        <v>31274</v>
      </c>
      <c r="F15" s="272">
        <v>0</v>
      </c>
      <c r="G15" s="273">
        <f t="shared" si="1"/>
        <v>0</v>
      </c>
      <c r="H15" s="273">
        <f t="shared" si="2"/>
        <v>25.739917695473252</v>
      </c>
      <c r="I15" s="272">
        <v>21833</v>
      </c>
      <c r="J15" s="273">
        <f t="shared" si="6"/>
        <v>17.96954732510288</v>
      </c>
      <c r="K15" s="243" t="str">
        <f>A13</f>
        <v>Missoula</v>
      </c>
      <c r="L15" s="275">
        <f>G13-G15</f>
        <v>0</v>
      </c>
      <c r="M15" s="276">
        <f>H13-H15</f>
        <v>4.3967078189300395</v>
      </c>
      <c r="N15" s="277">
        <f>D13-D15</f>
        <v>1.9283950617283949</v>
      </c>
      <c r="O15" s="278">
        <f>J13-J15</f>
        <v>5.0320987654320994</v>
      </c>
      <c r="P15" s="277">
        <f>SUM(M15,N15:O15)</f>
        <v>11.357201646090534</v>
      </c>
      <c r="Q15" s="278">
        <f>L15*100000/3412*80%</f>
        <v>0</v>
      </c>
      <c r="R15" s="279">
        <f t="shared" si="3"/>
        <v>0.90428094885100074</v>
      </c>
      <c r="S15" s="280">
        <f t="shared" si="10"/>
        <v>2.0230726464047444</v>
      </c>
      <c r="T15" s="281">
        <f t="shared" si="4"/>
        <v>0</v>
      </c>
      <c r="U15" s="280">
        <f t="shared" si="5"/>
        <v>2.897887323943662</v>
      </c>
      <c r="V15" s="280">
        <f t="shared" si="8"/>
        <v>5.8252409191994072</v>
      </c>
    </row>
    <row r="16" spans="1:22">
      <c r="A16" s="462" t="s">
        <v>429</v>
      </c>
      <c r="B16" s="235" t="s">
        <v>426</v>
      </c>
      <c r="C16" s="261">
        <v>16824</v>
      </c>
      <c r="D16" s="252">
        <f t="shared" si="0"/>
        <v>13.846913580246914</v>
      </c>
      <c r="E16" s="263">
        <v>998</v>
      </c>
      <c r="F16" s="261">
        <v>0</v>
      </c>
      <c r="G16" s="252">
        <f t="shared" si="1"/>
        <v>0</v>
      </c>
      <c r="H16" s="253">
        <f t="shared" si="2"/>
        <v>0.82139917695473252</v>
      </c>
      <c r="I16" s="251">
        <v>19618</v>
      </c>
      <c r="J16" s="252">
        <f>I16/$B$4</f>
        <v>16.146502057613169</v>
      </c>
      <c r="K16" s="243"/>
      <c r="L16" s="254"/>
      <c r="M16" s="255"/>
      <c r="N16" s="256"/>
      <c r="O16" s="255"/>
      <c r="P16" s="256"/>
      <c r="Q16" s="255"/>
      <c r="R16" s="257">
        <f t="shared" si="3"/>
        <v>1.558932542624166</v>
      </c>
      <c r="S16" s="258">
        <f>I16/$B$2</f>
        <v>1.8178280207561157</v>
      </c>
      <c r="T16" s="259">
        <f t="shared" si="4"/>
        <v>0</v>
      </c>
      <c r="U16" s="258">
        <f t="shared" si="5"/>
        <v>9.2475908080059302E-2</v>
      </c>
      <c r="V16" s="258">
        <f t="shared" si="8"/>
        <v>3.4692364714603414</v>
      </c>
    </row>
    <row r="17" spans="1:22">
      <c r="A17" s="462"/>
      <c r="B17" s="260" t="s">
        <v>427</v>
      </c>
      <c r="C17" s="261">
        <v>16925</v>
      </c>
      <c r="D17" s="262">
        <f t="shared" si="0"/>
        <v>13.930041152263374</v>
      </c>
      <c r="E17" s="263">
        <v>407</v>
      </c>
      <c r="F17" s="261">
        <v>0</v>
      </c>
      <c r="G17" s="262">
        <f t="shared" si="1"/>
        <v>0</v>
      </c>
      <c r="H17" s="262">
        <f t="shared" si="2"/>
        <v>0.33497942386831275</v>
      </c>
      <c r="I17" s="261">
        <v>18493</v>
      </c>
      <c r="J17" s="262">
        <f t="shared" si="6"/>
        <v>15.220576131687244</v>
      </c>
      <c r="K17" s="243"/>
      <c r="L17" s="264">
        <f>G16-G17</f>
        <v>0</v>
      </c>
      <c r="M17" s="265">
        <f>H16-H17</f>
        <v>0.48641975308641977</v>
      </c>
      <c r="N17" s="266">
        <f>D16-D17</f>
        <v>-8.3127572016460149E-2</v>
      </c>
      <c r="O17" s="267">
        <f>J16-J17</f>
        <v>0.9259259259259256</v>
      </c>
      <c r="P17" s="266">
        <f>SUM(M17,N17:O17)</f>
        <v>1.3292181069958853</v>
      </c>
      <c r="Q17" s="267">
        <f>80%*L17*100000/3412</f>
        <v>0</v>
      </c>
      <c r="R17" s="268">
        <f t="shared" si="3"/>
        <v>1.5682913269088214</v>
      </c>
      <c r="S17" s="269">
        <f t="shared" ref="S17:S18" si="11">I17/$B$2</f>
        <v>1.7135841363973314</v>
      </c>
      <c r="T17" s="270">
        <f t="shared" si="4"/>
        <v>0</v>
      </c>
      <c r="U17" s="269">
        <f t="shared" si="5"/>
        <v>3.7713120830244626E-2</v>
      </c>
      <c r="V17" s="269">
        <f t="shared" si="8"/>
        <v>3.3195885841363975</v>
      </c>
    </row>
    <row r="18" spans="1:22">
      <c r="A18" s="462"/>
      <c r="B18" s="271" t="s">
        <v>428</v>
      </c>
      <c r="C18" s="272">
        <v>14399</v>
      </c>
      <c r="D18" s="273">
        <f t="shared" si="0"/>
        <v>11.851028806584361</v>
      </c>
      <c r="E18" s="274">
        <v>604</v>
      </c>
      <c r="F18" s="272">
        <v>0</v>
      </c>
      <c r="G18" s="273">
        <f t="shared" si="1"/>
        <v>0</v>
      </c>
      <c r="H18" s="273">
        <f t="shared" si="2"/>
        <v>0.49711934156378601</v>
      </c>
      <c r="I18" s="272">
        <v>16010</v>
      </c>
      <c r="J18" s="273">
        <f t="shared" si="6"/>
        <v>13.176954732510287</v>
      </c>
      <c r="K18" s="243"/>
      <c r="L18" s="275">
        <f>G16-G18</f>
        <v>0</v>
      </c>
      <c r="M18" s="276">
        <f>H16-H18</f>
        <v>0.32427983539094651</v>
      </c>
      <c r="N18" s="277">
        <f>D16-D18</f>
        <v>1.9958847736625529</v>
      </c>
      <c r="O18" s="278">
        <f>J16-J18</f>
        <v>2.9695473251028819</v>
      </c>
      <c r="P18" s="277">
        <f>SUM(M18,N18:O18)</f>
        <v>5.2897119341563812</v>
      </c>
      <c r="Q18" s="278">
        <f>L18*100000/3412*80%</f>
        <v>0</v>
      </c>
      <c r="R18" s="279">
        <f t="shared" si="3"/>
        <v>1.3342290585618977</v>
      </c>
      <c r="S18" s="280">
        <f t="shared" si="11"/>
        <v>1.4835063009636769</v>
      </c>
      <c r="T18" s="281">
        <f t="shared" si="4"/>
        <v>0</v>
      </c>
      <c r="U18" s="280">
        <f t="shared" si="5"/>
        <v>5.5967383246849516E-2</v>
      </c>
      <c r="V18" s="280">
        <f t="shared" si="8"/>
        <v>2.8737027427724242</v>
      </c>
    </row>
    <row r="20" spans="1:22">
      <c r="C20" s="233"/>
      <c r="F20" s="232"/>
    </row>
    <row r="21" spans="1:22">
      <c r="C21" s="233"/>
      <c r="F21" s="232"/>
    </row>
    <row r="22" spans="1:22">
      <c r="C22" s="233"/>
      <c r="F22" s="232"/>
    </row>
    <row r="23" spans="1:22">
      <c r="C23" s="233"/>
      <c r="F23" s="232"/>
    </row>
    <row r="24" spans="1:22">
      <c r="C24" s="233"/>
    </row>
    <row r="25" spans="1:22">
      <c r="C25" s="233"/>
    </row>
    <row r="26" spans="1:22">
      <c r="C26" s="233"/>
    </row>
    <row r="27" spans="1:22">
      <c r="C27" s="233"/>
    </row>
  </sheetData>
  <mergeCells count="12">
    <mergeCell ref="A16:A18"/>
    <mergeCell ref="A1:H1"/>
    <mergeCell ref="D2:H2"/>
    <mergeCell ref="D3:H3"/>
    <mergeCell ref="D4:H4"/>
    <mergeCell ref="A5:H5"/>
    <mergeCell ref="R5:V5"/>
    <mergeCell ref="A6:B6"/>
    <mergeCell ref="A7:A9"/>
    <mergeCell ref="A10:A12"/>
    <mergeCell ref="A13:A15"/>
    <mergeCell ref="L5:Q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dimension ref="A1:V27"/>
  <sheetViews>
    <sheetView topLeftCell="J1" workbookViewId="0">
      <selection activeCell="Q4" sqref="Q4"/>
    </sheetView>
  </sheetViews>
  <sheetFormatPr defaultRowHeight="15"/>
  <cols>
    <col min="1" max="1" width="13.140625" style="231" customWidth="1"/>
    <col min="2" max="2" width="11.5703125" style="231" customWidth="1"/>
    <col min="3" max="3" width="12.140625" style="231" customWidth="1"/>
    <col min="4" max="4" width="18" style="231" bestFit="1" customWidth="1"/>
    <col min="5" max="5" width="12.28515625" style="231" bestFit="1" customWidth="1"/>
    <col min="6" max="6" width="15" style="231" bestFit="1" customWidth="1"/>
    <col min="7" max="7" width="15" style="231" customWidth="1"/>
    <col min="8" max="8" width="14.85546875" style="231" bestFit="1" customWidth="1"/>
    <col min="9" max="10" width="14.85546875" style="231" customWidth="1"/>
    <col min="11" max="11" width="22.85546875" style="231" customWidth="1"/>
    <col min="12" max="16" width="14.85546875" style="231" customWidth="1"/>
    <col min="17" max="21" width="11.42578125" style="231" customWidth="1"/>
    <col min="22" max="22" width="10.7109375" style="231" customWidth="1"/>
    <col min="23" max="16384" width="9.140625" style="231"/>
  </cols>
  <sheetData>
    <row r="1" spans="1:22" ht="18">
      <c r="A1" s="464" t="s">
        <v>431</v>
      </c>
      <c r="B1" s="465"/>
      <c r="C1" s="465"/>
      <c r="D1" s="465"/>
      <c r="E1" s="465"/>
      <c r="F1" s="465"/>
      <c r="G1" s="465"/>
      <c r="H1" s="466"/>
      <c r="I1" s="234"/>
      <c r="J1" s="234"/>
      <c r="K1" s="234"/>
      <c r="L1" s="234" t="s">
        <v>400</v>
      </c>
      <c r="M1" s="234"/>
      <c r="N1" s="234"/>
      <c r="O1" s="234"/>
      <c r="P1" s="234"/>
    </row>
    <row r="2" spans="1:22">
      <c r="A2" s="235" t="s">
        <v>401</v>
      </c>
      <c r="B2" s="236">
        <v>28576</v>
      </c>
      <c r="C2" s="237" t="s">
        <v>402</v>
      </c>
      <c r="D2" s="467"/>
      <c r="E2" s="467"/>
      <c r="F2" s="467"/>
      <c r="G2" s="467"/>
      <c r="H2" s="468"/>
      <c r="I2" s="238"/>
      <c r="J2" s="238"/>
      <c r="K2" s="238"/>
      <c r="L2" s="238"/>
      <c r="M2" s="238"/>
      <c r="N2" s="238"/>
      <c r="O2" s="238"/>
      <c r="P2" s="238"/>
    </row>
    <row r="3" spans="1:22">
      <c r="A3" s="239" t="s">
        <v>403</v>
      </c>
      <c r="B3" s="240">
        <v>9681</v>
      </c>
      <c r="C3" s="241" t="s">
        <v>402</v>
      </c>
      <c r="D3" s="467"/>
      <c r="E3" s="467"/>
      <c r="F3" s="467"/>
      <c r="G3" s="467"/>
      <c r="H3" s="468"/>
      <c r="I3" s="238"/>
      <c r="J3" s="238"/>
      <c r="K3" s="242" t="str">
        <f>A1</f>
        <v>Mid-rise Office (Apackaged VAV with Electric reheat)</v>
      </c>
      <c r="L3" s="238"/>
      <c r="M3" s="238"/>
      <c r="N3" s="238"/>
      <c r="O3" s="238"/>
      <c r="P3" s="238"/>
    </row>
    <row r="4" spans="1:22">
      <c r="A4" s="239" t="s">
        <v>404</v>
      </c>
      <c r="B4" s="240">
        <v>2991</v>
      </c>
      <c r="C4" s="241" t="s">
        <v>402</v>
      </c>
      <c r="D4" s="467"/>
      <c r="E4" s="467"/>
      <c r="F4" s="467"/>
      <c r="G4" s="467"/>
      <c r="H4" s="468"/>
      <c r="I4" s="238"/>
      <c r="J4" s="238"/>
      <c r="K4" s="238"/>
      <c r="L4" s="243" t="s">
        <v>394</v>
      </c>
      <c r="M4" s="238"/>
      <c r="N4" s="238"/>
      <c r="O4" s="238"/>
      <c r="P4" s="243" t="s">
        <v>395</v>
      </c>
      <c r="Q4" s="322" t="s">
        <v>482</v>
      </c>
    </row>
    <row r="5" spans="1:22">
      <c r="A5" s="469"/>
      <c r="B5" s="470"/>
      <c r="C5" s="470"/>
      <c r="D5" s="470"/>
      <c r="E5" s="470"/>
      <c r="F5" s="470"/>
      <c r="G5" s="470"/>
      <c r="H5" s="471"/>
      <c r="I5" s="238"/>
      <c r="J5" s="238"/>
      <c r="K5" s="238"/>
      <c r="L5" s="463" t="s">
        <v>405</v>
      </c>
      <c r="M5" s="463"/>
      <c r="N5" s="463"/>
      <c r="O5" s="463"/>
      <c r="P5" s="463"/>
      <c r="Q5" s="463"/>
      <c r="R5" s="457" t="s">
        <v>406</v>
      </c>
      <c r="S5" s="458"/>
      <c r="T5" s="458"/>
      <c r="U5" s="458"/>
      <c r="V5" s="459"/>
    </row>
    <row r="6" spans="1:22" ht="90">
      <c r="A6" s="460"/>
      <c r="B6" s="461"/>
      <c r="C6" s="244" t="s">
        <v>407</v>
      </c>
      <c r="D6" s="245" t="s">
        <v>408</v>
      </c>
      <c r="E6" s="244" t="s">
        <v>409</v>
      </c>
      <c r="F6" s="244" t="s">
        <v>410</v>
      </c>
      <c r="G6" s="245" t="s">
        <v>411</v>
      </c>
      <c r="H6" s="245" t="s">
        <v>412</v>
      </c>
      <c r="I6" s="245" t="s">
        <v>413</v>
      </c>
      <c r="J6" s="245" t="s">
        <v>414</v>
      </c>
      <c r="K6" s="246"/>
      <c r="L6" s="247" t="s">
        <v>415</v>
      </c>
      <c r="M6" s="247" t="s">
        <v>416</v>
      </c>
      <c r="N6" s="247" t="s">
        <v>417</v>
      </c>
      <c r="O6" s="247" t="s">
        <v>418</v>
      </c>
      <c r="P6" s="248" t="s">
        <v>419</v>
      </c>
      <c r="Q6" s="248" t="s">
        <v>420</v>
      </c>
      <c r="R6" s="249" t="s">
        <v>421</v>
      </c>
      <c r="S6" s="249" t="s">
        <v>422</v>
      </c>
      <c r="T6" s="249" t="s">
        <v>423</v>
      </c>
      <c r="U6" s="249" t="s">
        <v>424</v>
      </c>
      <c r="V6" s="250" t="s">
        <v>425</v>
      </c>
    </row>
    <row r="7" spans="1:22">
      <c r="A7" s="462" t="s">
        <v>396</v>
      </c>
      <c r="B7" s="235" t="s">
        <v>426</v>
      </c>
      <c r="C7" s="251">
        <v>56357</v>
      </c>
      <c r="D7" s="252">
        <f t="shared" ref="D7:D18" si="0">C7/$B$4</f>
        <v>18.842193246405884</v>
      </c>
      <c r="E7" s="236">
        <v>109045</v>
      </c>
      <c r="F7" s="251">
        <v>0</v>
      </c>
      <c r="G7" s="252">
        <f t="shared" ref="G7:G18" si="1">F7/$B$4</f>
        <v>0</v>
      </c>
      <c r="H7" s="253">
        <f t="shared" ref="H7:H18" si="2">E7/$B$4</f>
        <v>36.457706452691404</v>
      </c>
      <c r="I7" s="251">
        <v>30394</v>
      </c>
      <c r="J7" s="252">
        <f>I7/$B$4</f>
        <v>10.161818789702441</v>
      </c>
      <c r="K7" s="243"/>
      <c r="L7" s="254"/>
      <c r="M7" s="255"/>
      <c r="N7" s="256"/>
      <c r="O7" s="255"/>
      <c r="P7" s="256"/>
      <c r="Q7" s="255"/>
      <c r="R7" s="257">
        <f t="shared" ref="R7:R18" si="3">C7/$B$2</f>
        <v>1.9721794512877939</v>
      </c>
      <c r="S7" s="258">
        <f>I7/$B$2</f>
        <v>1.0636198208286674</v>
      </c>
      <c r="T7" s="259">
        <f t="shared" ref="T7:T18" si="4">F7/$B$2</f>
        <v>0</v>
      </c>
      <c r="U7" s="258">
        <f t="shared" ref="U7:U18" si="5">(80%*T7*100000/3412)+(E7/$B$2)</f>
        <v>3.8159644456886896</v>
      </c>
      <c r="V7" s="258">
        <f>R7+S7+U7</f>
        <v>6.8517637178051505</v>
      </c>
    </row>
    <row r="8" spans="1:22">
      <c r="A8" s="462"/>
      <c r="B8" s="260" t="s">
        <v>427</v>
      </c>
      <c r="C8" s="261">
        <v>52297</v>
      </c>
      <c r="D8" s="262">
        <f t="shared" si="0"/>
        <v>17.4847876964226</v>
      </c>
      <c r="E8" s="263">
        <v>48896</v>
      </c>
      <c r="F8" s="261">
        <v>0</v>
      </c>
      <c r="G8" s="262">
        <f t="shared" si="1"/>
        <v>0</v>
      </c>
      <c r="H8" s="262">
        <f t="shared" si="2"/>
        <v>16.347709796054833</v>
      </c>
      <c r="I8" s="261">
        <v>25323</v>
      </c>
      <c r="J8" s="262">
        <f t="shared" ref="J8:J18" si="6">I8/$B$4</f>
        <v>8.4663991975927786</v>
      </c>
      <c r="K8" s="243"/>
      <c r="L8" s="264">
        <f>G7-G8</f>
        <v>0</v>
      </c>
      <c r="M8" s="265">
        <f>H7-H8</f>
        <v>20.109996656636572</v>
      </c>
      <c r="N8" s="266">
        <f>D7-D8</f>
        <v>1.3574055499832838</v>
      </c>
      <c r="O8" s="267">
        <f>J7-J8</f>
        <v>1.695419592109662</v>
      </c>
      <c r="P8" s="266">
        <f>SUM(M8,N8:O8)</f>
        <v>23.162821798729517</v>
      </c>
      <c r="Q8" s="267">
        <f>80%*L8*100000/3412</f>
        <v>0</v>
      </c>
      <c r="R8" s="268">
        <f t="shared" si="3"/>
        <v>1.8301021836506159</v>
      </c>
      <c r="S8" s="269">
        <f t="shared" ref="S8:S9" si="7">I8/$B$2</f>
        <v>0.88616321388577823</v>
      </c>
      <c r="T8" s="270">
        <f t="shared" si="4"/>
        <v>0</v>
      </c>
      <c r="U8" s="269">
        <f t="shared" si="5"/>
        <v>1.7110862262038073</v>
      </c>
      <c r="V8" s="269">
        <f t="shared" ref="V8:V18" si="8">R8+S8+U8</f>
        <v>4.4273516237402015</v>
      </c>
    </row>
    <row r="9" spans="1:22">
      <c r="A9" s="462"/>
      <c r="B9" s="271" t="s">
        <v>428</v>
      </c>
      <c r="C9" s="272">
        <v>45789</v>
      </c>
      <c r="D9" s="273">
        <f t="shared" si="0"/>
        <v>15.308926780341023</v>
      </c>
      <c r="E9" s="274">
        <v>44628</v>
      </c>
      <c r="F9" s="272">
        <v>0</v>
      </c>
      <c r="G9" s="273">
        <f t="shared" si="1"/>
        <v>0</v>
      </c>
      <c r="H9" s="273">
        <f t="shared" si="2"/>
        <v>14.920762286860581</v>
      </c>
      <c r="I9" s="272">
        <v>22305</v>
      </c>
      <c r="J9" s="273">
        <f t="shared" si="6"/>
        <v>7.4573721163490472</v>
      </c>
      <c r="K9" s="243" t="str">
        <f>A7</f>
        <v>Portland</v>
      </c>
      <c r="L9" s="275">
        <f>G7-G9</f>
        <v>0</v>
      </c>
      <c r="M9" s="276">
        <f>H7-H9</f>
        <v>21.536944165830825</v>
      </c>
      <c r="N9" s="277">
        <f>D7-D9</f>
        <v>3.5332664660648607</v>
      </c>
      <c r="O9" s="278">
        <f>J7-J9</f>
        <v>2.7044466733533934</v>
      </c>
      <c r="P9" s="277">
        <f>SUM(M9,N9:O9)</f>
        <v>27.774657305249079</v>
      </c>
      <c r="Q9" s="278">
        <f>L9*100000/3412*80%</f>
        <v>0</v>
      </c>
      <c r="R9" s="279">
        <f t="shared" si="3"/>
        <v>1.6023586226203808</v>
      </c>
      <c r="S9" s="280">
        <f t="shared" si="7"/>
        <v>0.78055011198208291</v>
      </c>
      <c r="T9" s="281">
        <f t="shared" si="4"/>
        <v>0</v>
      </c>
      <c r="U9" s="280">
        <f t="shared" si="5"/>
        <v>1.5617301231802911</v>
      </c>
      <c r="V9" s="280">
        <f t="shared" si="8"/>
        <v>3.9446388577827549</v>
      </c>
    </row>
    <row r="10" spans="1:22">
      <c r="A10" s="462" t="s">
        <v>397</v>
      </c>
      <c r="B10" s="235" t="s">
        <v>426</v>
      </c>
      <c r="C10" s="251">
        <v>45553</v>
      </c>
      <c r="D10" s="252">
        <f t="shared" si="0"/>
        <v>15.230023403543965</v>
      </c>
      <c r="E10" s="236">
        <v>238370</v>
      </c>
      <c r="F10" s="251">
        <v>0</v>
      </c>
      <c r="G10" s="252">
        <f t="shared" si="1"/>
        <v>0</v>
      </c>
      <c r="H10" s="252">
        <f t="shared" si="2"/>
        <v>79.695753928452021</v>
      </c>
      <c r="I10" s="251">
        <v>41138</v>
      </c>
      <c r="J10" s="252">
        <f>I10/$B$4</f>
        <v>13.753928452022734</v>
      </c>
      <c r="K10" s="243"/>
      <c r="L10" s="254"/>
      <c r="M10" s="255"/>
      <c r="N10" s="256"/>
      <c r="O10" s="255"/>
      <c r="P10" s="256"/>
      <c r="Q10" s="255"/>
      <c r="R10" s="257">
        <f t="shared" si="3"/>
        <v>1.5940999440089585</v>
      </c>
      <c r="S10" s="258">
        <f>I10/$B$2</f>
        <v>1.4395996640537514</v>
      </c>
      <c r="T10" s="259">
        <f t="shared" si="4"/>
        <v>0</v>
      </c>
      <c r="U10" s="258">
        <f t="shared" si="5"/>
        <v>8.3416153415453529</v>
      </c>
      <c r="V10" s="258">
        <f t="shared" si="8"/>
        <v>11.375314949608063</v>
      </c>
    </row>
    <row r="11" spans="1:22">
      <c r="A11" s="462"/>
      <c r="B11" s="260" t="s">
        <v>427</v>
      </c>
      <c r="C11" s="261">
        <v>42109</v>
      </c>
      <c r="D11" s="262">
        <f t="shared" si="0"/>
        <v>14.078569040454697</v>
      </c>
      <c r="E11" s="263">
        <v>113289</v>
      </c>
      <c r="F11" s="261">
        <v>0</v>
      </c>
      <c r="G11" s="262">
        <f t="shared" si="1"/>
        <v>0</v>
      </c>
      <c r="H11" s="262">
        <f t="shared" si="2"/>
        <v>37.876629889669005</v>
      </c>
      <c r="I11" s="261">
        <v>29593</v>
      </c>
      <c r="J11" s="262">
        <f t="shared" si="6"/>
        <v>9.8940153794717478</v>
      </c>
      <c r="K11" s="243"/>
      <c r="L11" s="264">
        <f>G10-G11</f>
        <v>0</v>
      </c>
      <c r="M11" s="265">
        <f>H10-H11</f>
        <v>41.819124038783016</v>
      </c>
      <c r="N11" s="266">
        <f>D10-D11</f>
        <v>1.1514543630892682</v>
      </c>
      <c r="O11" s="267">
        <f>J10-J11</f>
        <v>3.8599130725509863</v>
      </c>
      <c r="P11" s="266">
        <f>SUM(M11,N11:O11)</f>
        <v>46.830491474423276</v>
      </c>
      <c r="Q11" s="267">
        <f>80%*L11*100000/3412</f>
        <v>0</v>
      </c>
      <c r="R11" s="268">
        <f t="shared" si="3"/>
        <v>1.4735792273236281</v>
      </c>
      <c r="S11" s="269">
        <f t="shared" ref="S11:S12" si="9">I11/$B$2</f>
        <v>1.0355893057110863</v>
      </c>
      <c r="T11" s="270">
        <f t="shared" si="4"/>
        <v>0</v>
      </c>
      <c r="U11" s="269">
        <f t="shared" si="5"/>
        <v>3.9644806830907053</v>
      </c>
      <c r="V11" s="269">
        <f t="shared" si="8"/>
        <v>6.4736492161254198</v>
      </c>
    </row>
    <row r="12" spans="1:22">
      <c r="A12" s="462"/>
      <c r="B12" s="271" t="s">
        <v>428</v>
      </c>
      <c r="C12" s="272">
        <v>37084</v>
      </c>
      <c r="D12" s="273">
        <f t="shared" si="0"/>
        <v>12.398528920093614</v>
      </c>
      <c r="E12" s="274">
        <v>116345</v>
      </c>
      <c r="F12" s="272">
        <v>0</v>
      </c>
      <c r="G12" s="262">
        <f t="shared" si="1"/>
        <v>0</v>
      </c>
      <c r="H12" s="282">
        <f t="shared" si="2"/>
        <v>38.898361751922437</v>
      </c>
      <c r="I12" s="272">
        <v>31633</v>
      </c>
      <c r="J12" s="273">
        <f t="shared" si="6"/>
        <v>10.576061517886995</v>
      </c>
      <c r="K12" s="243" t="str">
        <f>A10</f>
        <v>Spokane</v>
      </c>
      <c r="L12" s="275">
        <f>G10-G12</f>
        <v>0</v>
      </c>
      <c r="M12" s="276">
        <f>H10-H12</f>
        <v>40.797392176529584</v>
      </c>
      <c r="N12" s="277">
        <f>D10-D12</f>
        <v>2.831494483450351</v>
      </c>
      <c r="O12" s="278">
        <f>J10-J12</f>
        <v>3.1778669341357393</v>
      </c>
      <c r="P12" s="277">
        <f>SUM(M12,N12:O12)</f>
        <v>46.806753594115676</v>
      </c>
      <c r="Q12" s="278">
        <f>L12*100000/3412*80%</f>
        <v>0</v>
      </c>
      <c r="R12" s="279">
        <f t="shared" si="3"/>
        <v>1.2977323628219486</v>
      </c>
      <c r="S12" s="280">
        <f t="shared" si="9"/>
        <v>1.1069778835386339</v>
      </c>
      <c r="T12" s="281">
        <f t="shared" si="4"/>
        <v>0</v>
      </c>
      <c r="U12" s="280">
        <f t="shared" si="5"/>
        <v>4.0714235722284435</v>
      </c>
      <c r="V12" s="280">
        <f t="shared" si="8"/>
        <v>6.4761338185890258</v>
      </c>
    </row>
    <row r="13" spans="1:22">
      <c r="A13" s="462" t="s">
        <v>398</v>
      </c>
      <c r="B13" s="235" t="s">
        <v>426</v>
      </c>
      <c r="C13" s="261">
        <v>40115</v>
      </c>
      <c r="D13" s="252">
        <f t="shared" si="0"/>
        <v>13.411902373788031</v>
      </c>
      <c r="E13" s="263">
        <v>204173</v>
      </c>
      <c r="F13" s="261">
        <v>1</v>
      </c>
      <c r="G13" s="252">
        <f t="shared" si="1"/>
        <v>3.3433634236041456E-4</v>
      </c>
      <c r="H13" s="253">
        <f t="shared" si="2"/>
        <v>68.262454028752927</v>
      </c>
      <c r="I13" s="251">
        <v>37456</v>
      </c>
      <c r="J13" s="252">
        <f>I13/$B$4</f>
        <v>12.522902039451688</v>
      </c>
      <c r="K13" s="243"/>
      <c r="L13" s="254"/>
      <c r="M13" s="255"/>
      <c r="N13" s="256"/>
      <c r="O13" s="255"/>
      <c r="P13" s="256"/>
      <c r="Q13" s="255"/>
      <c r="R13" s="257">
        <f t="shared" si="3"/>
        <v>1.4038003919372901</v>
      </c>
      <c r="S13" s="258">
        <f>I13/$B$2</f>
        <v>1.3107502799552071</v>
      </c>
      <c r="T13" s="259">
        <f t="shared" si="4"/>
        <v>3.4994400895856663E-5</v>
      </c>
      <c r="U13" s="258">
        <f t="shared" si="5"/>
        <v>7.145732315889247</v>
      </c>
      <c r="V13" s="269">
        <f t="shared" si="8"/>
        <v>9.8602829877817442</v>
      </c>
    </row>
    <row r="14" spans="1:22">
      <c r="A14" s="462"/>
      <c r="B14" s="260" t="s">
        <v>427</v>
      </c>
      <c r="C14" s="261">
        <v>37499</v>
      </c>
      <c r="D14" s="262">
        <f t="shared" si="0"/>
        <v>12.537278502173185</v>
      </c>
      <c r="E14" s="263">
        <v>98253</v>
      </c>
      <c r="F14" s="261">
        <v>5</v>
      </c>
      <c r="G14" s="262">
        <f t="shared" si="1"/>
        <v>1.671681711802073E-3</v>
      </c>
      <c r="H14" s="262">
        <f t="shared" si="2"/>
        <v>32.849548645937816</v>
      </c>
      <c r="I14" s="261">
        <v>27915</v>
      </c>
      <c r="J14" s="262">
        <f t="shared" si="6"/>
        <v>9.3329989969909732</v>
      </c>
      <c r="K14" s="243"/>
      <c r="L14" s="264">
        <f>G13-G14</f>
        <v>-1.3373453694416585E-3</v>
      </c>
      <c r="M14" s="265">
        <f>H13-H14</f>
        <v>35.412905382815111</v>
      </c>
      <c r="N14" s="266">
        <f>D13-D14</f>
        <v>0.87462387161484578</v>
      </c>
      <c r="O14" s="267">
        <f>J13-J14</f>
        <v>3.1899030424607151</v>
      </c>
      <c r="P14" s="266">
        <f>SUM(M14,N14:O14)</f>
        <v>39.477432296890669</v>
      </c>
      <c r="Q14" s="267">
        <f>80%*L14*100000/3412</f>
        <v>-3.1356280643415203E-2</v>
      </c>
      <c r="R14" s="268">
        <f t="shared" si="3"/>
        <v>1.3122550391937291</v>
      </c>
      <c r="S14" s="269">
        <f t="shared" ref="S14:S15" si="10">I14/$B$2</f>
        <v>0.97686870100783874</v>
      </c>
      <c r="T14" s="270">
        <f t="shared" si="4"/>
        <v>1.7497200447928331E-4</v>
      </c>
      <c r="U14" s="269">
        <f t="shared" si="5"/>
        <v>3.4424073801181261</v>
      </c>
      <c r="V14" s="269">
        <f t="shared" si="8"/>
        <v>5.7315311203196941</v>
      </c>
    </row>
    <row r="15" spans="1:22">
      <c r="A15" s="462"/>
      <c r="B15" s="271" t="s">
        <v>428</v>
      </c>
      <c r="C15" s="272">
        <v>33118</v>
      </c>
      <c r="D15" s="273">
        <f t="shared" si="0"/>
        <v>11.07255098629221</v>
      </c>
      <c r="E15" s="274">
        <v>101876</v>
      </c>
      <c r="F15" s="272">
        <v>113</v>
      </c>
      <c r="G15" s="273">
        <f t="shared" si="1"/>
        <v>3.7780006686726847E-2</v>
      </c>
      <c r="H15" s="273">
        <f t="shared" si="2"/>
        <v>34.060849214309599</v>
      </c>
      <c r="I15" s="272">
        <v>25449</v>
      </c>
      <c r="J15" s="273">
        <f t="shared" si="6"/>
        <v>8.5085255767301913</v>
      </c>
      <c r="K15" s="243" t="str">
        <f>A13</f>
        <v>Missoula</v>
      </c>
      <c r="L15" s="275">
        <f>G13-G15</f>
        <v>-3.7445670344366432E-2</v>
      </c>
      <c r="M15" s="276">
        <f>H13-H15</f>
        <v>34.201604814443328</v>
      </c>
      <c r="N15" s="277">
        <f>D13-D15</f>
        <v>2.3393513874958209</v>
      </c>
      <c r="O15" s="278">
        <f>J13-J15</f>
        <v>4.0143764627214971</v>
      </c>
      <c r="P15" s="277">
        <f>SUM(M15,N15:O15)</f>
        <v>40.555332664660654</v>
      </c>
      <c r="Q15" s="278">
        <f>L15*100000/3412*80%</f>
        <v>-0.87797585801562572</v>
      </c>
      <c r="R15" s="279">
        <f t="shared" si="3"/>
        <v>1.158944568868981</v>
      </c>
      <c r="S15" s="280">
        <f t="shared" si="10"/>
        <v>0.8905725083986562</v>
      </c>
      <c r="T15" s="281">
        <f t="shared" si="4"/>
        <v>3.9543673012318028E-3</v>
      </c>
      <c r="U15" s="280">
        <f t="shared" si="5"/>
        <v>3.6578062867502745</v>
      </c>
      <c r="V15" s="280">
        <f t="shared" si="8"/>
        <v>5.7073233640179115</v>
      </c>
    </row>
    <row r="16" spans="1:22">
      <c r="A16" s="462" t="s">
        <v>429</v>
      </c>
      <c r="B16" s="235" t="s">
        <v>426</v>
      </c>
      <c r="C16" s="261">
        <v>61928</v>
      </c>
      <c r="D16" s="252">
        <f t="shared" si="0"/>
        <v>20.704781009695754</v>
      </c>
      <c r="E16" s="263">
        <v>37749</v>
      </c>
      <c r="F16" s="261">
        <v>0</v>
      </c>
      <c r="G16" s="252">
        <f t="shared" si="1"/>
        <v>0</v>
      </c>
      <c r="H16" s="253">
        <f t="shared" si="2"/>
        <v>12.620862587763289</v>
      </c>
      <c r="I16" s="251">
        <v>25977</v>
      </c>
      <c r="J16" s="252">
        <f>I16/$B$4</f>
        <v>8.6850551654964896</v>
      </c>
      <c r="K16" s="243"/>
      <c r="L16" s="254"/>
      <c r="M16" s="255"/>
      <c r="N16" s="256"/>
      <c r="O16" s="255"/>
      <c r="P16" s="256"/>
      <c r="Q16" s="255"/>
      <c r="R16" s="257">
        <f t="shared" si="3"/>
        <v>2.1671332586786116</v>
      </c>
      <c r="S16" s="258">
        <f>I16/$B$2</f>
        <v>0.90904955207166849</v>
      </c>
      <c r="T16" s="259">
        <f t="shared" si="4"/>
        <v>0</v>
      </c>
      <c r="U16" s="258">
        <f t="shared" si="5"/>
        <v>1.3210036394176932</v>
      </c>
      <c r="V16" s="258">
        <f t="shared" si="8"/>
        <v>4.3971864501679736</v>
      </c>
    </row>
    <row r="17" spans="1:22">
      <c r="A17" s="462"/>
      <c r="B17" s="260" t="s">
        <v>427</v>
      </c>
      <c r="C17" s="261">
        <v>58507</v>
      </c>
      <c r="D17" s="262">
        <f t="shared" si="0"/>
        <v>19.561016382480776</v>
      </c>
      <c r="E17" s="263">
        <v>12446</v>
      </c>
      <c r="F17" s="261">
        <v>0</v>
      </c>
      <c r="G17" s="262">
        <f t="shared" si="1"/>
        <v>0</v>
      </c>
      <c r="H17" s="262">
        <f t="shared" si="2"/>
        <v>4.1611501170177201</v>
      </c>
      <c r="I17" s="261">
        <v>23531</v>
      </c>
      <c r="J17" s="262">
        <f t="shared" si="6"/>
        <v>7.8672684720829151</v>
      </c>
      <c r="K17" s="243"/>
      <c r="L17" s="264">
        <f>G16-G17</f>
        <v>0</v>
      </c>
      <c r="M17" s="265">
        <f>H16-H17</f>
        <v>8.4597124707455684</v>
      </c>
      <c r="N17" s="266">
        <f>D16-D17</f>
        <v>1.1437646272149777</v>
      </c>
      <c r="O17" s="267">
        <f>J16-J17</f>
        <v>0.81778669341357446</v>
      </c>
      <c r="P17" s="266">
        <f>SUM(M17,N17:O17)</f>
        <v>10.42126379137412</v>
      </c>
      <c r="Q17" s="267">
        <f>80%*L17*100000/3412</f>
        <v>0</v>
      </c>
      <c r="R17" s="268">
        <f t="shared" si="3"/>
        <v>2.0474174132138856</v>
      </c>
      <c r="S17" s="269">
        <f t="shared" ref="S17:S18" si="11">I17/$B$2</f>
        <v>0.82345324748040316</v>
      </c>
      <c r="T17" s="270">
        <f t="shared" si="4"/>
        <v>0</v>
      </c>
      <c r="U17" s="269">
        <f t="shared" si="5"/>
        <v>0.43554031354983203</v>
      </c>
      <c r="V17" s="269">
        <f t="shared" si="8"/>
        <v>3.3064109742441206</v>
      </c>
    </row>
    <row r="18" spans="1:22">
      <c r="A18" s="462"/>
      <c r="B18" s="271" t="s">
        <v>428</v>
      </c>
      <c r="C18" s="272">
        <v>50800</v>
      </c>
      <c r="D18" s="273">
        <f t="shared" si="0"/>
        <v>16.98428619190906</v>
      </c>
      <c r="E18" s="274">
        <v>10067</v>
      </c>
      <c r="F18" s="272">
        <v>0</v>
      </c>
      <c r="G18" s="273">
        <f t="shared" si="1"/>
        <v>0</v>
      </c>
      <c r="H18" s="273">
        <f t="shared" si="2"/>
        <v>3.3657639585422934</v>
      </c>
      <c r="I18" s="272">
        <v>20255</v>
      </c>
      <c r="J18" s="273">
        <f t="shared" si="6"/>
        <v>6.7719826145101969</v>
      </c>
      <c r="K18" s="243"/>
      <c r="L18" s="275">
        <f>G16-G18</f>
        <v>0</v>
      </c>
      <c r="M18" s="276">
        <f>H16-H18</f>
        <v>9.2550986292209956</v>
      </c>
      <c r="N18" s="277">
        <f>D16-D18</f>
        <v>3.7204948177866939</v>
      </c>
      <c r="O18" s="278">
        <f>J16-J18</f>
        <v>1.9130725509862927</v>
      </c>
      <c r="P18" s="277">
        <f>SUM(M18,N18:O18)</f>
        <v>14.888665997993982</v>
      </c>
      <c r="Q18" s="278">
        <f>L18*100000/3412*80%</f>
        <v>0</v>
      </c>
      <c r="R18" s="279">
        <f t="shared" si="3"/>
        <v>1.7777155655095185</v>
      </c>
      <c r="S18" s="280">
        <f t="shared" si="11"/>
        <v>0.70881159014557671</v>
      </c>
      <c r="T18" s="281">
        <f t="shared" si="4"/>
        <v>0</v>
      </c>
      <c r="U18" s="280">
        <f t="shared" si="5"/>
        <v>0.35228863381858905</v>
      </c>
      <c r="V18" s="280">
        <f t="shared" si="8"/>
        <v>2.8388157894736841</v>
      </c>
    </row>
    <row r="20" spans="1:22">
      <c r="C20" s="233"/>
      <c r="F20" s="232"/>
    </row>
    <row r="21" spans="1:22">
      <c r="C21" s="233"/>
      <c r="F21" s="232"/>
    </row>
    <row r="22" spans="1:22">
      <c r="C22" s="233"/>
      <c r="F22" s="232"/>
    </row>
    <row r="23" spans="1:22">
      <c r="C23" s="233"/>
      <c r="F23" s="232"/>
    </row>
    <row r="24" spans="1:22">
      <c r="C24" s="233"/>
    </row>
    <row r="25" spans="1:22">
      <c r="C25" s="233"/>
    </row>
    <row r="26" spans="1:22">
      <c r="C26" s="233"/>
    </row>
    <row r="27" spans="1:22">
      <c r="C27" s="233"/>
    </row>
  </sheetData>
  <mergeCells count="12">
    <mergeCell ref="A16:A18"/>
    <mergeCell ref="A1:H1"/>
    <mergeCell ref="D2:H2"/>
    <mergeCell ref="D3:H3"/>
    <mergeCell ref="D4:H4"/>
    <mergeCell ref="A5:H5"/>
    <mergeCell ref="R5:V5"/>
    <mergeCell ref="A6:B6"/>
    <mergeCell ref="A7:A9"/>
    <mergeCell ref="A10:A12"/>
    <mergeCell ref="A13:A15"/>
    <mergeCell ref="L5:Q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dimension ref="A1:V27"/>
  <sheetViews>
    <sheetView topLeftCell="C1" workbookViewId="0">
      <selection activeCell="Q4" sqref="Q4"/>
    </sheetView>
  </sheetViews>
  <sheetFormatPr defaultRowHeight="15"/>
  <cols>
    <col min="1" max="1" width="13.140625" style="231" customWidth="1"/>
    <col min="2" max="2" width="11.5703125" style="231" customWidth="1"/>
    <col min="3" max="3" width="12.140625" style="231" customWidth="1"/>
    <col min="4" max="4" width="18" style="231" bestFit="1" customWidth="1"/>
    <col min="5" max="5" width="12.28515625" style="231" bestFit="1" customWidth="1"/>
    <col min="6" max="6" width="15" style="231" bestFit="1" customWidth="1"/>
    <col min="7" max="7" width="15" style="231" customWidth="1"/>
    <col min="8" max="8" width="14.85546875" style="231" bestFit="1" customWidth="1"/>
    <col min="9" max="10" width="14.85546875" style="231" customWidth="1"/>
    <col min="11" max="11" width="15" style="231" customWidth="1"/>
    <col min="12" max="16" width="14.85546875" style="231" customWidth="1"/>
    <col min="17" max="21" width="11.42578125" style="231" customWidth="1"/>
    <col min="22" max="22" width="10.7109375" style="231" customWidth="1"/>
    <col min="23" max="16384" width="9.140625" style="231"/>
  </cols>
  <sheetData>
    <row r="1" spans="1:22" ht="18">
      <c r="A1" s="464" t="s">
        <v>432</v>
      </c>
      <c r="B1" s="465"/>
      <c r="C1" s="465"/>
      <c r="D1" s="465"/>
      <c r="E1" s="465"/>
      <c r="F1" s="465"/>
      <c r="G1" s="465"/>
      <c r="H1" s="466"/>
      <c r="I1" s="234"/>
      <c r="J1" s="234"/>
      <c r="K1" s="234"/>
      <c r="L1" s="234" t="s">
        <v>400</v>
      </c>
      <c r="M1" s="234"/>
      <c r="N1" s="234"/>
      <c r="O1" s="234"/>
      <c r="P1" s="234"/>
    </row>
    <row r="2" spans="1:22">
      <c r="A2" s="235" t="s">
        <v>401</v>
      </c>
      <c r="B2" s="236">
        <v>28576</v>
      </c>
      <c r="C2" s="237" t="s">
        <v>402</v>
      </c>
      <c r="D2" s="467"/>
      <c r="E2" s="467"/>
      <c r="F2" s="467"/>
      <c r="G2" s="467"/>
      <c r="H2" s="468"/>
      <c r="I2" s="238"/>
      <c r="J2" s="238"/>
      <c r="K2" s="238"/>
      <c r="L2" s="238"/>
      <c r="M2" s="238"/>
      <c r="N2" s="238"/>
      <c r="O2" s="238"/>
      <c r="P2" s="238"/>
    </row>
    <row r="3" spans="1:22">
      <c r="A3" s="239" t="s">
        <v>403</v>
      </c>
      <c r="B3" s="240">
        <v>9681</v>
      </c>
      <c r="C3" s="241" t="s">
        <v>402</v>
      </c>
      <c r="D3" s="467"/>
      <c r="E3" s="467"/>
      <c r="F3" s="467"/>
      <c r="G3" s="467"/>
      <c r="H3" s="468"/>
      <c r="I3" s="238"/>
      <c r="J3" s="238"/>
      <c r="K3" s="242" t="str">
        <f>A1</f>
        <v>Mid-rise Office (Apackaged VAV with Gas)</v>
      </c>
      <c r="L3" s="238"/>
      <c r="M3" s="238"/>
      <c r="N3" s="238"/>
      <c r="O3" s="238"/>
      <c r="P3" s="238"/>
    </row>
    <row r="4" spans="1:22">
      <c r="A4" s="239" t="s">
        <v>404</v>
      </c>
      <c r="B4" s="240">
        <v>2991</v>
      </c>
      <c r="C4" s="241" t="s">
        <v>402</v>
      </c>
      <c r="D4" s="467"/>
      <c r="E4" s="467"/>
      <c r="F4" s="467"/>
      <c r="G4" s="467"/>
      <c r="H4" s="468"/>
      <c r="I4" s="238"/>
      <c r="J4" s="238"/>
      <c r="K4" s="238"/>
      <c r="L4" s="243" t="s">
        <v>394</v>
      </c>
      <c r="M4" s="238"/>
      <c r="N4" s="238"/>
      <c r="O4" s="238"/>
      <c r="P4" s="243" t="s">
        <v>395</v>
      </c>
      <c r="Q4" s="322" t="s">
        <v>482</v>
      </c>
    </row>
    <row r="5" spans="1:22">
      <c r="A5" s="469"/>
      <c r="B5" s="470"/>
      <c r="C5" s="470"/>
      <c r="D5" s="470"/>
      <c r="E5" s="470"/>
      <c r="F5" s="470"/>
      <c r="G5" s="470"/>
      <c r="H5" s="471"/>
      <c r="I5" s="238"/>
      <c r="J5" s="238"/>
      <c r="K5" s="238"/>
      <c r="L5" s="463" t="s">
        <v>405</v>
      </c>
      <c r="M5" s="463"/>
      <c r="N5" s="463"/>
      <c r="O5" s="463"/>
      <c r="P5" s="463"/>
      <c r="Q5" s="463"/>
      <c r="R5" s="457" t="s">
        <v>406</v>
      </c>
      <c r="S5" s="458"/>
      <c r="T5" s="458"/>
      <c r="U5" s="458"/>
      <c r="V5" s="459"/>
    </row>
    <row r="6" spans="1:22" ht="90">
      <c r="A6" s="460"/>
      <c r="B6" s="461"/>
      <c r="C6" s="244" t="s">
        <v>407</v>
      </c>
      <c r="D6" s="245" t="s">
        <v>408</v>
      </c>
      <c r="E6" s="244" t="s">
        <v>409</v>
      </c>
      <c r="F6" s="244" t="s">
        <v>410</v>
      </c>
      <c r="G6" s="245" t="s">
        <v>411</v>
      </c>
      <c r="H6" s="245" t="s">
        <v>412</v>
      </c>
      <c r="I6" s="245" t="s">
        <v>413</v>
      </c>
      <c r="J6" s="245" t="s">
        <v>414</v>
      </c>
      <c r="K6" s="246"/>
      <c r="L6" s="247" t="s">
        <v>415</v>
      </c>
      <c r="M6" s="247" t="s">
        <v>416</v>
      </c>
      <c r="N6" s="247" t="s">
        <v>417</v>
      </c>
      <c r="O6" s="247" t="s">
        <v>418</v>
      </c>
      <c r="P6" s="248" t="s">
        <v>419</v>
      </c>
      <c r="Q6" s="248" t="s">
        <v>420</v>
      </c>
      <c r="R6" s="249" t="s">
        <v>421</v>
      </c>
      <c r="S6" s="249" t="s">
        <v>422</v>
      </c>
      <c r="T6" s="249" t="s">
        <v>423</v>
      </c>
      <c r="U6" s="249" t="s">
        <v>424</v>
      </c>
      <c r="V6" s="250" t="s">
        <v>425</v>
      </c>
    </row>
    <row r="7" spans="1:22">
      <c r="A7" s="462" t="s">
        <v>396</v>
      </c>
      <c r="B7" s="235" t="s">
        <v>426</v>
      </c>
      <c r="C7" s="251">
        <v>56357</v>
      </c>
      <c r="D7" s="252">
        <f t="shared" ref="D7:D18" si="0">C7/$B$4</f>
        <v>18.842193246405884</v>
      </c>
      <c r="E7" s="236">
        <v>290</v>
      </c>
      <c r="F7" s="251">
        <v>4672</v>
      </c>
      <c r="G7" s="252">
        <f t="shared" ref="G7:G18" si="1">F7/$B$4</f>
        <v>1.5620193915078568</v>
      </c>
      <c r="H7" s="253">
        <f t="shared" ref="H7:H18" si="2">E7/$B$4</f>
        <v>9.6957539284520222E-2</v>
      </c>
      <c r="I7" s="251">
        <f>30394+2243</f>
        <v>32637</v>
      </c>
      <c r="J7" s="252">
        <f>I7/$B$4</f>
        <v>10.91173520561685</v>
      </c>
      <c r="K7" s="243"/>
      <c r="L7" s="254"/>
      <c r="M7" s="255"/>
      <c r="N7" s="256"/>
      <c r="O7" s="255"/>
      <c r="P7" s="256"/>
      <c r="Q7" s="255"/>
      <c r="R7" s="257">
        <f t="shared" ref="R7:R18" si="3">C7/$B$2</f>
        <v>1.9721794512877939</v>
      </c>
      <c r="S7" s="258">
        <f>I7/$B$2</f>
        <v>1.1421122620380739</v>
      </c>
      <c r="T7" s="259">
        <f t="shared" ref="T7:T18" si="4">F7/$B$2</f>
        <v>0.16349384098544234</v>
      </c>
      <c r="U7" s="258">
        <f t="shared" ref="U7:U18" si="5">(80%*T7*100000/3412)+(E7/$B$2)</f>
        <v>3.8435326901036984</v>
      </c>
      <c r="V7" s="258">
        <f>R7+S7+U7</f>
        <v>6.9578244034295658</v>
      </c>
    </row>
    <row r="8" spans="1:22">
      <c r="A8" s="462"/>
      <c r="B8" s="260" t="s">
        <v>427</v>
      </c>
      <c r="C8" s="261">
        <v>52297</v>
      </c>
      <c r="D8" s="262">
        <f t="shared" si="0"/>
        <v>17.4847876964226</v>
      </c>
      <c r="E8" s="263">
        <v>154</v>
      </c>
      <c r="F8" s="261">
        <v>2174</v>
      </c>
      <c r="G8" s="262">
        <f t="shared" si="1"/>
        <v>0.72684720829154126</v>
      </c>
      <c r="H8" s="262">
        <f t="shared" si="2"/>
        <v>5.1487796723503843E-2</v>
      </c>
      <c r="I8" s="261">
        <f>25323+1788</f>
        <v>27111</v>
      </c>
      <c r="J8" s="262">
        <f t="shared" ref="J8:J18" si="6">I8/$B$4</f>
        <v>9.0641925777332002</v>
      </c>
      <c r="K8" s="243"/>
      <c r="L8" s="264">
        <f>G7-G8</f>
        <v>0.83517218321631559</v>
      </c>
      <c r="M8" s="265">
        <f>H7-H8</f>
        <v>4.546974256101638E-2</v>
      </c>
      <c r="N8" s="266">
        <f>D7-D8</f>
        <v>1.3574055499832838</v>
      </c>
      <c r="O8" s="267">
        <f>J7-J8</f>
        <v>1.8475426278836498</v>
      </c>
      <c r="P8" s="266">
        <f>SUM(M8,N8:O8)</f>
        <v>3.25041792042795</v>
      </c>
      <c r="Q8" s="267">
        <f>80%*L8*100000/3412</f>
        <v>19.581997261812791</v>
      </c>
      <c r="R8" s="268">
        <f t="shared" si="3"/>
        <v>1.8301021836506159</v>
      </c>
      <c r="S8" s="269">
        <f t="shared" ref="S8:S9" si="7">I8/$B$2</f>
        <v>0.94873320268757</v>
      </c>
      <c r="T8" s="270">
        <f t="shared" si="4"/>
        <v>7.6077827547592389E-2</v>
      </c>
      <c r="U8" s="269">
        <f t="shared" si="5"/>
        <v>1.789160006380222</v>
      </c>
      <c r="V8" s="269">
        <f t="shared" ref="V8:V18" si="8">R8+S8+U8</f>
        <v>4.5679953927184078</v>
      </c>
    </row>
    <row r="9" spans="1:22">
      <c r="A9" s="462"/>
      <c r="B9" s="271" t="s">
        <v>428</v>
      </c>
      <c r="C9" s="272">
        <v>45789</v>
      </c>
      <c r="D9" s="273">
        <f t="shared" si="0"/>
        <v>15.308926780341023</v>
      </c>
      <c r="E9" s="274">
        <v>143</v>
      </c>
      <c r="F9" s="272">
        <v>1996</v>
      </c>
      <c r="G9" s="273">
        <f t="shared" si="1"/>
        <v>0.66733533935138745</v>
      </c>
      <c r="H9" s="273">
        <f t="shared" si="2"/>
        <v>4.7810096957539287E-2</v>
      </c>
      <c r="I9" s="272">
        <f>22305+1723</f>
        <v>24028</v>
      </c>
      <c r="J9" s="273">
        <f t="shared" si="6"/>
        <v>8.033433634236042</v>
      </c>
      <c r="K9" s="243" t="str">
        <f>A7</f>
        <v>Portland</v>
      </c>
      <c r="L9" s="275">
        <f>G7-G9</f>
        <v>0.8946840521564694</v>
      </c>
      <c r="M9" s="276">
        <f>H7-H9</f>
        <v>4.9147442326980935E-2</v>
      </c>
      <c r="N9" s="277">
        <f>D7-D9</f>
        <v>3.5332664660648607</v>
      </c>
      <c r="O9" s="278">
        <f>J7-J9</f>
        <v>2.878301571380808</v>
      </c>
      <c r="P9" s="277">
        <f>SUM(M9,N9:O9)</f>
        <v>6.4607154797726496</v>
      </c>
      <c r="Q9" s="278">
        <f>L9*100000/3412*80%</f>
        <v>20.977351750444768</v>
      </c>
      <c r="R9" s="279">
        <f t="shared" si="3"/>
        <v>1.6023586226203808</v>
      </c>
      <c r="S9" s="280">
        <f t="shared" si="7"/>
        <v>0.84084546472564392</v>
      </c>
      <c r="T9" s="281">
        <f t="shared" si="4"/>
        <v>6.9848824188129904E-2</v>
      </c>
      <c r="U9" s="280">
        <f t="shared" si="5"/>
        <v>1.6427257512186098</v>
      </c>
      <c r="V9" s="280">
        <f t="shared" si="8"/>
        <v>4.0859298385646348</v>
      </c>
    </row>
    <row r="10" spans="1:22">
      <c r="A10" s="462" t="s">
        <v>397</v>
      </c>
      <c r="B10" s="235" t="s">
        <v>426</v>
      </c>
      <c r="C10" s="251">
        <v>45795</v>
      </c>
      <c r="D10" s="252">
        <f t="shared" si="0"/>
        <v>15.310932798395186</v>
      </c>
      <c r="E10" s="236">
        <v>587</v>
      </c>
      <c r="F10" s="251">
        <v>10027</v>
      </c>
      <c r="G10" s="252">
        <f t="shared" si="1"/>
        <v>3.352390504847877</v>
      </c>
      <c r="H10" s="252">
        <f t="shared" si="2"/>
        <v>0.19625543296556336</v>
      </c>
      <c r="I10" s="251">
        <f>43284+3392</f>
        <v>46676</v>
      </c>
      <c r="J10" s="252">
        <f>I10/$B$4</f>
        <v>15.60548311601471</v>
      </c>
      <c r="K10" s="243"/>
      <c r="L10" s="254"/>
      <c r="M10" s="255"/>
      <c r="N10" s="256"/>
      <c r="O10" s="255"/>
      <c r="P10" s="256"/>
      <c r="Q10" s="255"/>
      <c r="R10" s="257">
        <f t="shared" si="3"/>
        <v>1.6025685890257559</v>
      </c>
      <c r="S10" s="258">
        <f>I10/$B$2</f>
        <v>1.6333986562150056</v>
      </c>
      <c r="T10" s="259">
        <f t="shared" si="4"/>
        <v>0.35088885778275475</v>
      </c>
      <c r="U10" s="258">
        <f t="shared" si="5"/>
        <v>8.247713056415078</v>
      </c>
      <c r="V10" s="258">
        <f t="shared" si="8"/>
        <v>11.48368030165584</v>
      </c>
    </row>
    <row r="11" spans="1:22">
      <c r="A11" s="462"/>
      <c r="B11" s="260" t="s">
        <v>427</v>
      </c>
      <c r="C11" s="261">
        <v>42330</v>
      </c>
      <c r="D11" s="262">
        <f t="shared" si="0"/>
        <v>14.152457372116348</v>
      </c>
      <c r="E11" s="263">
        <v>321</v>
      </c>
      <c r="F11" s="261">
        <v>4877</v>
      </c>
      <c r="G11" s="262">
        <f t="shared" si="1"/>
        <v>1.630558341691742</v>
      </c>
      <c r="H11" s="262">
        <f t="shared" si="2"/>
        <v>0.10732196589769308</v>
      </c>
      <c r="I11" s="261">
        <f>31139+2524</f>
        <v>33663</v>
      </c>
      <c r="J11" s="262">
        <f t="shared" si="6"/>
        <v>11.254764292878637</v>
      </c>
      <c r="K11" s="243"/>
      <c r="L11" s="264">
        <f>G10-G11</f>
        <v>1.7218321631561351</v>
      </c>
      <c r="M11" s="265">
        <f>H10-H11</f>
        <v>8.8933467067870281E-2</v>
      </c>
      <c r="N11" s="266">
        <f>D10-D11</f>
        <v>1.1584754262788373</v>
      </c>
      <c r="O11" s="267">
        <f>J10-J11</f>
        <v>4.3507188231360736</v>
      </c>
      <c r="P11" s="266">
        <f>SUM(M11,N11:O11)</f>
        <v>5.5981277164827814</v>
      </c>
      <c r="Q11" s="267">
        <f>80%*L11*100000/3412</f>
        <v>40.371211328397067</v>
      </c>
      <c r="R11" s="268">
        <f t="shared" si="3"/>
        <v>1.4813129899216126</v>
      </c>
      <c r="S11" s="269">
        <f t="shared" ref="S11:S12" si="9">I11/$B$2</f>
        <v>1.1780165173572228</v>
      </c>
      <c r="T11" s="270">
        <f t="shared" si="4"/>
        <v>0.17066769316909294</v>
      </c>
      <c r="U11" s="269">
        <f t="shared" si="5"/>
        <v>4.0128203813298429</v>
      </c>
      <c r="V11" s="269">
        <f t="shared" si="8"/>
        <v>6.6721498886086783</v>
      </c>
    </row>
    <row r="12" spans="1:22">
      <c r="A12" s="462"/>
      <c r="B12" s="271" t="s">
        <v>428</v>
      </c>
      <c r="C12" s="272">
        <v>36723</v>
      </c>
      <c r="D12" s="273">
        <f t="shared" si="0"/>
        <v>12.277833500501504</v>
      </c>
      <c r="E12" s="274">
        <v>337</v>
      </c>
      <c r="F12" s="272">
        <v>5090</v>
      </c>
      <c r="G12" s="262">
        <f t="shared" si="1"/>
        <v>1.7017719826145101</v>
      </c>
      <c r="H12" s="282">
        <f t="shared" si="2"/>
        <v>0.11267134737545971</v>
      </c>
      <c r="I12" s="272">
        <f>28334+2449</f>
        <v>30783</v>
      </c>
      <c r="J12" s="273">
        <f t="shared" si="6"/>
        <v>10.291875626880643</v>
      </c>
      <c r="K12" s="243" t="str">
        <f>A10</f>
        <v>Spokane</v>
      </c>
      <c r="L12" s="275">
        <f>G10-G12</f>
        <v>1.6506185222333669</v>
      </c>
      <c r="M12" s="276">
        <f>H10-H12</f>
        <v>8.3584085590103649E-2</v>
      </c>
      <c r="N12" s="277">
        <f>D10-D12</f>
        <v>3.0330992978936813</v>
      </c>
      <c r="O12" s="278">
        <f>J10-J12</f>
        <v>5.3136074891340677</v>
      </c>
      <c r="P12" s="277">
        <f>SUM(M12,N12:O12)</f>
        <v>8.4302908726178529</v>
      </c>
      <c r="Q12" s="278">
        <f>L12*100000/3412*80%</f>
        <v>38.701489384135215</v>
      </c>
      <c r="R12" s="279">
        <f t="shared" si="3"/>
        <v>1.2850993840985443</v>
      </c>
      <c r="S12" s="280">
        <f t="shared" si="9"/>
        <v>1.0772326427771557</v>
      </c>
      <c r="T12" s="281">
        <f t="shared" si="4"/>
        <v>0.17812150055991041</v>
      </c>
      <c r="U12" s="280">
        <f t="shared" si="5"/>
        <v>4.188147170778584</v>
      </c>
      <c r="V12" s="280">
        <f t="shared" si="8"/>
        <v>6.5504791976542842</v>
      </c>
    </row>
    <row r="13" spans="1:22">
      <c r="A13" s="462" t="s">
        <v>398</v>
      </c>
      <c r="B13" s="235" t="s">
        <v>426</v>
      </c>
      <c r="C13" s="261">
        <v>40337</v>
      </c>
      <c r="D13" s="252">
        <f t="shared" si="0"/>
        <v>13.486125041792043</v>
      </c>
      <c r="E13" s="263">
        <v>517</v>
      </c>
      <c r="F13" s="261">
        <v>8612</v>
      </c>
      <c r="G13" s="252">
        <f t="shared" si="1"/>
        <v>2.8793045804078905</v>
      </c>
      <c r="H13" s="253">
        <f t="shared" si="2"/>
        <v>0.17285188900033432</v>
      </c>
      <c r="I13" s="251">
        <f>39420+3192</f>
        <v>42612</v>
      </c>
      <c r="J13" s="252">
        <f>I13/$B$4</f>
        <v>14.246740220661986</v>
      </c>
      <c r="K13" s="243"/>
      <c r="L13" s="254"/>
      <c r="M13" s="255"/>
      <c r="N13" s="256"/>
      <c r="O13" s="255"/>
      <c r="P13" s="256"/>
      <c r="Q13" s="255"/>
      <c r="R13" s="257">
        <f t="shared" si="3"/>
        <v>1.4115691489361701</v>
      </c>
      <c r="S13" s="258">
        <f>I13/$B$2</f>
        <v>1.4911814109742441</v>
      </c>
      <c r="T13" s="259">
        <f t="shared" si="4"/>
        <v>0.30137178051511759</v>
      </c>
      <c r="U13" s="258">
        <f t="shared" si="5"/>
        <v>7.08425343035384</v>
      </c>
      <c r="V13" s="269">
        <f t="shared" si="8"/>
        <v>9.9870039902642542</v>
      </c>
    </row>
    <row r="14" spans="1:22">
      <c r="A14" s="462"/>
      <c r="B14" s="260" t="s">
        <v>427</v>
      </c>
      <c r="C14" s="261">
        <v>37713</v>
      </c>
      <c r="D14" s="262">
        <f t="shared" si="0"/>
        <v>12.608826479438315</v>
      </c>
      <c r="E14" s="263">
        <v>280</v>
      </c>
      <c r="F14" s="261">
        <v>4239</v>
      </c>
      <c r="G14" s="262">
        <f t="shared" si="1"/>
        <v>1.4172517552657975</v>
      </c>
      <c r="H14" s="262">
        <f t="shared" si="2"/>
        <v>9.3614175860916082E-2</v>
      </c>
      <c r="I14" s="261">
        <f>29383+2419</f>
        <v>31802</v>
      </c>
      <c r="J14" s="262">
        <f t="shared" si="6"/>
        <v>10.632564359745905</v>
      </c>
      <c r="K14" s="243"/>
      <c r="L14" s="264">
        <f>G13-G14</f>
        <v>1.462052825142093</v>
      </c>
      <c r="M14" s="265">
        <f>H13-H14</f>
        <v>7.9237713139418242E-2</v>
      </c>
      <c r="N14" s="266">
        <f>D13-D14</f>
        <v>0.87729856235372772</v>
      </c>
      <c r="O14" s="267">
        <f>J13-J14</f>
        <v>3.614175860916081</v>
      </c>
      <c r="P14" s="266">
        <f>SUM(M14,N14:O14)</f>
        <v>4.5707121364092274</v>
      </c>
      <c r="Q14" s="267">
        <f>80%*L14*100000/3412</f>
        <v>34.280253813413673</v>
      </c>
      <c r="R14" s="268">
        <f t="shared" si="3"/>
        <v>1.3197438409854423</v>
      </c>
      <c r="S14" s="269">
        <f t="shared" ref="S14:S15" si="10">I14/$B$2</f>
        <v>1.1128919372900337</v>
      </c>
      <c r="T14" s="270">
        <f t="shared" si="4"/>
        <v>0.14834126539753639</v>
      </c>
      <c r="U14" s="269">
        <f t="shared" si="5"/>
        <v>3.4879054755693959</v>
      </c>
      <c r="V14" s="269">
        <f t="shared" si="8"/>
        <v>5.9205412538448723</v>
      </c>
    </row>
    <row r="15" spans="1:22">
      <c r="A15" s="462"/>
      <c r="B15" s="271" t="s">
        <v>428</v>
      </c>
      <c r="C15" s="272">
        <v>33424</v>
      </c>
      <c r="D15" s="273">
        <f t="shared" si="0"/>
        <v>11.174857907054497</v>
      </c>
      <c r="E15" s="274">
        <v>298</v>
      </c>
      <c r="F15" s="272">
        <v>4513</v>
      </c>
      <c r="G15" s="273">
        <f t="shared" si="1"/>
        <v>1.5088599130725511</v>
      </c>
      <c r="H15" s="273">
        <f t="shared" si="2"/>
        <v>9.9632230023403545E-2</v>
      </c>
      <c r="I15" s="272">
        <f>26785+2344</f>
        <v>29129</v>
      </c>
      <c r="J15" s="273">
        <f t="shared" si="6"/>
        <v>9.7388833166165156</v>
      </c>
      <c r="K15" s="243" t="str">
        <f>A13</f>
        <v>Missoula</v>
      </c>
      <c r="L15" s="275">
        <f>G13-G15</f>
        <v>1.3704446673353394</v>
      </c>
      <c r="M15" s="276">
        <f>H13-H15</f>
        <v>7.3219658976930779E-2</v>
      </c>
      <c r="N15" s="277">
        <f>D13-D15</f>
        <v>2.3112671347375464</v>
      </c>
      <c r="O15" s="278">
        <f>J13-J15</f>
        <v>4.5078569040454699</v>
      </c>
      <c r="P15" s="277">
        <f>SUM(M15,N15:O15)</f>
        <v>6.892343697759947</v>
      </c>
      <c r="Q15" s="278">
        <f>L15*100000/3412*80%</f>
        <v>32.132348589339728</v>
      </c>
      <c r="R15" s="279">
        <f t="shared" si="3"/>
        <v>1.1696528555431132</v>
      </c>
      <c r="S15" s="280">
        <f t="shared" si="10"/>
        <v>1.0193519036954088</v>
      </c>
      <c r="T15" s="281">
        <f t="shared" si="4"/>
        <v>0.15792973124300111</v>
      </c>
      <c r="U15" s="280">
        <f t="shared" si="5"/>
        <v>3.7133528623696872</v>
      </c>
      <c r="V15" s="280">
        <f t="shared" si="8"/>
        <v>5.9023576216082088</v>
      </c>
    </row>
    <row r="16" spans="1:22">
      <c r="A16" s="462" t="s">
        <v>429</v>
      </c>
      <c r="B16" s="235" t="s">
        <v>426</v>
      </c>
      <c r="C16" s="261">
        <v>62881</v>
      </c>
      <c r="D16" s="252">
        <f t="shared" si="0"/>
        <v>21.02340354396523</v>
      </c>
      <c r="E16" s="263">
        <v>128</v>
      </c>
      <c r="F16" s="261">
        <v>1774</v>
      </c>
      <c r="G16" s="252">
        <f t="shared" si="1"/>
        <v>0.59311267134737544</v>
      </c>
      <c r="H16" s="253">
        <f t="shared" si="2"/>
        <v>4.2795051822133064E-2</v>
      </c>
      <c r="I16" s="251">
        <f>27332+1711</f>
        <v>29043</v>
      </c>
      <c r="J16" s="252">
        <f>I16/$B$4</f>
        <v>9.7101303911735197</v>
      </c>
      <c r="K16" s="243"/>
      <c r="L16" s="254"/>
      <c r="M16" s="255"/>
      <c r="N16" s="256"/>
      <c r="O16" s="255"/>
      <c r="P16" s="256"/>
      <c r="Q16" s="255"/>
      <c r="R16" s="257">
        <f t="shared" si="3"/>
        <v>2.200482922732363</v>
      </c>
      <c r="S16" s="258">
        <f>I16/$B$2</f>
        <v>1.0163423852183651</v>
      </c>
      <c r="T16" s="259">
        <f t="shared" si="4"/>
        <v>6.2080067189249723E-2</v>
      </c>
      <c r="U16" s="258">
        <f t="shared" si="5"/>
        <v>1.4600494401552258</v>
      </c>
      <c r="V16" s="258">
        <f t="shared" si="8"/>
        <v>4.6768747481059538</v>
      </c>
    </row>
    <row r="17" spans="1:22">
      <c r="A17" s="462"/>
      <c r="B17" s="260" t="s">
        <v>427</v>
      </c>
      <c r="C17" s="261">
        <v>58845</v>
      </c>
      <c r="D17" s="262">
        <f t="shared" si="0"/>
        <v>19.674022066198596</v>
      </c>
      <c r="E17" s="263">
        <v>51</v>
      </c>
      <c r="F17" s="261">
        <v>668</v>
      </c>
      <c r="G17" s="262">
        <f t="shared" si="1"/>
        <v>0.22333667669675694</v>
      </c>
      <c r="H17" s="262">
        <f t="shared" si="2"/>
        <v>1.7051153460381142E-2</v>
      </c>
      <c r="I17" s="261">
        <f>24762+1221</f>
        <v>25983</v>
      </c>
      <c r="J17" s="262">
        <f t="shared" si="6"/>
        <v>8.6870611835506519</v>
      </c>
      <c r="K17" s="243"/>
      <c r="L17" s="264">
        <f>G16-G17</f>
        <v>0.3697759946506185</v>
      </c>
      <c r="M17" s="265">
        <f>H16-H17</f>
        <v>2.5743898361751921E-2</v>
      </c>
      <c r="N17" s="266">
        <f>D16-D17</f>
        <v>1.3493814777666344</v>
      </c>
      <c r="O17" s="267">
        <f>J16-J17</f>
        <v>1.0230692076228678</v>
      </c>
      <c r="P17" s="266">
        <f>SUM(M17,N17:O17)</f>
        <v>2.3981945837512542</v>
      </c>
      <c r="Q17" s="267">
        <f>80%*L17*100000/3412</f>
        <v>8.6700115979043026</v>
      </c>
      <c r="R17" s="268">
        <f t="shared" si="3"/>
        <v>2.0592455207166855</v>
      </c>
      <c r="S17" s="269">
        <f t="shared" ref="S17:S18" si="11">I17/$B$2</f>
        <v>0.90925951847704367</v>
      </c>
      <c r="T17" s="270">
        <f t="shared" si="4"/>
        <v>2.3376259798432251E-2</v>
      </c>
      <c r="U17" s="269">
        <f t="shared" si="5"/>
        <v>0.54987990315453394</v>
      </c>
      <c r="V17" s="269">
        <f t="shared" si="8"/>
        <v>3.5183849423482632</v>
      </c>
    </row>
    <row r="18" spans="1:22">
      <c r="A18" s="462"/>
      <c r="B18" s="271" t="s">
        <v>428</v>
      </c>
      <c r="C18" s="272">
        <v>51087</v>
      </c>
      <c r="D18" s="273">
        <f t="shared" si="0"/>
        <v>17.080240722166501</v>
      </c>
      <c r="E18" s="274">
        <v>42</v>
      </c>
      <c r="F18" s="272">
        <v>552</v>
      </c>
      <c r="G18" s="273">
        <f t="shared" si="1"/>
        <v>0.18455366098294884</v>
      </c>
      <c r="H18" s="273">
        <f t="shared" si="2"/>
        <v>1.4042126379137413E-2</v>
      </c>
      <c r="I18" s="272">
        <f>21313+1135</f>
        <v>22448</v>
      </c>
      <c r="J18" s="273">
        <f t="shared" si="6"/>
        <v>7.5051822133065862</v>
      </c>
      <c r="K18" s="243"/>
      <c r="L18" s="275">
        <f>G16-G18</f>
        <v>0.4085590103644266</v>
      </c>
      <c r="M18" s="276">
        <f>H16-H18</f>
        <v>2.8752925442995653E-2</v>
      </c>
      <c r="N18" s="277">
        <f>D16-D18</f>
        <v>3.9431628217987296</v>
      </c>
      <c r="O18" s="278">
        <f>J16-J18</f>
        <v>2.2049481778669335</v>
      </c>
      <c r="P18" s="277">
        <f>SUM(M18,N18:O18)</f>
        <v>6.176863925108659</v>
      </c>
      <c r="Q18" s="278">
        <f>L18*100000/3412*80%</f>
        <v>9.5793437365633434</v>
      </c>
      <c r="R18" s="279">
        <f t="shared" si="3"/>
        <v>1.7877589585666294</v>
      </c>
      <c r="S18" s="280">
        <f t="shared" si="11"/>
        <v>0.78555431131019038</v>
      </c>
      <c r="T18" s="281">
        <f t="shared" si="4"/>
        <v>1.931690929451288E-2</v>
      </c>
      <c r="U18" s="280">
        <f t="shared" si="5"/>
        <v>0.4543867471239772</v>
      </c>
      <c r="V18" s="280">
        <f t="shared" si="8"/>
        <v>3.0277000170007971</v>
      </c>
    </row>
    <row r="20" spans="1:22">
      <c r="C20" s="233"/>
      <c r="F20" s="232"/>
    </row>
    <row r="21" spans="1:22">
      <c r="C21" s="233"/>
      <c r="F21" s="232"/>
    </row>
    <row r="22" spans="1:22">
      <c r="C22" s="233"/>
      <c r="F22" s="232"/>
    </row>
    <row r="23" spans="1:22">
      <c r="C23" s="233"/>
      <c r="F23" s="232"/>
    </row>
    <row r="24" spans="1:22">
      <c r="C24" s="233"/>
    </row>
    <row r="25" spans="1:22">
      <c r="C25" s="233"/>
    </row>
    <row r="26" spans="1:22">
      <c r="C26" s="233"/>
    </row>
    <row r="27" spans="1:22">
      <c r="C27" s="233"/>
    </row>
  </sheetData>
  <mergeCells count="12">
    <mergeCell ref="A16:A18"/>
    <mergeCell ref="A1:H1"/>
    <mergeCell ref="D2:H2"/>
    <mergeCell ref="D3:H3"/>
    <mergeCell ref="D4:H4"/>
    <mergeCell ref="A5:H5"/>
    <mergeCell ref="R5:V5"/>
    <mergeCell ref="A6:B6"/>
    <mergeCell ref="A7:A9"/>
    <mergeCell ref="A10:A12"/>
    <mergeCell ref="A13:A15"/>
    <mergeCell ref="L5:Q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dimension ref="A1:V27"/>
  <sheetViews>
    <sheetView topLeftCell="E1" workbookViewId="0">
      <selection activeCell="Q8" sqref="Q8"/>
    </sheetView>
  </sheetViews>
  <sheetFormatPr defaultRowHeight="15"/>
  <cols>
    <col min="1" max="1" width="13.140625" style="231" customWidth="1"/>
    <col min="2" max="2" width="11.5703125" style="231" customWidth="1"/>
    <col min="3" max="3" width="12.140625" style="231" customWidth="1"/>
    <col min="4" max="4" width="18" style="231" bestFit="1" customWidth="1"/>
    <col min="5" max="5" width="12.28515625" style="231" bestFit="1" customWidth="1"/>
    <col min="6" max="6" width="15" style="231" bestFit="1" customWidth="1"/>
    <col min="7" max="7" width="15" style="231" customWidth="1"/>
    <col min="8" max="8" width="14.85546875" style="231" bestFit="1" customWidth="1"/>
    <col min="9" max="10" width="14.85546875" style="231" customWidth="1"/>
    <col min="11" max="11" width="15.5703125" style="231" customWidth="1"/>
    <col min="12" max="16" width="14.85546875" style="231" customWidth="1"/>
    <col min="17" max="21" width="11.42578125" style="231" customWidth="1"/>
    <col min="22" max="22" width="10.7109375" style="231" customWidth="1"/>
    <col min="23" max="16384" width="9.140625" style="231"/>
  </cols>
  <sheetData>
    <row r="1" spans="1:22" ht="18">
      <c r="A1" s="464" t="s">
        <v>433</v>
      </c>
      <c r="B1" s="465"/>
      <c r="C1" s="465"/>
      <c r="D1" s="465"/>
      <c r="E1" s="465"/>
      <c r="F1" s="465"/>
      <c r="G1" s="465"/>
      <c r="H1" s="466"/>
      <c r="I1" s="234"/>
      <c r="J1" s="234"/>
      <c r="K1" s="234"/>
      <c r="L1" s="234" t="s">
        <v>400</v>
      </c>
      <c r="M1" s="234"/>
      <c r="N1" s="234"/>
      <c r="O1" s="234"/>
      <c r="P1" s="234"/>
    </row>
    <row r="2" spans="1:22">
      <c r="A2" s="235" t="s">
        <v>401</v>
      </c>
      <c r="B2" s="236">
        <v>278102</v>
      </c>
      <c r="C2" s="237" t="s">
        <v>402</v>
      </c>
      <c r="D2" s="467"/>
      <c r="E2" s="467"/>
      <c r="F2" s="467"/>
      <c r="G2" s="467"/>
      <c r="H2" s="468"/>
      <c r="I2" s="238"/>
      <c r="J2" s="238"/>
      <c r="K2" s="238"/>
      <c r="L2" s="238"/>
      <c r="M2" s="238"/>
      <c r="N2" s="238"/>
      <c r="O2" s="238"/>
      <c r="P2" s="238"/>
    </row>
    <row r="3" spans="1:22">
      <c r="A3" s="239" t="s">
        <v>403</v>
      </c>
      <c r="B3" s="240">
        <v>119380</v>
      </c>
      <c r="C3" s="241" t="s">
        <v>402</v>
      </c>
      <c r="D3" s="467"/>
      <c r="E3" s="467"/>
      <c r="F3" s="467"/>
      <c r="G3" s="467"/>
      <c r="H3" s="468"/>
      <c r="I3" s="238"/>
      <c r="J3" s="238"/>
      <c r="K3" s="242" t="str">
        <f>A1</f>
        <v>High-rise Office (VAV with Central Chillers / Gas Boilers)</v>
      </c>
      <c r="L3" s="238"/>
      <c r="M3" s="238"/>
      <c r="N3" s="238"/>
      <c r="O3" s="238"/>
      <c r="P3" s="238"/>
    </row>
    <row r="4" spans="1:22">
      <c r="A4" s="239" t="s">
        <v>404</v>
      </c>
      <c r="B4" s="240">
        <v>46033.25</v>
      </c>
      <c r="C4" s="241" t="s">
        <v>402</v>
      </c>
      <c r="D4" s="467"/>
      <c r="E4" s="467"/>
      <c r="F4" s="467"/>
      <c r="G4" s="467"/>
      <c r="H4" s="468"/>
      <c r="I4" s="238"/>
      <c r="J4" s="238"/>
      <c r="K4" s="238"/>
      <c r="L4" s="243" t="s">
        <v>394</v>
      </c>
      <c r="M4" s="238"/>
      <c r="N4" s="238"/>
      <c r="O4" s="238"/>
      <c r="P4" s="243" t="s">
        <v>395</v>
      </c>
      <c r="Q4" s="322" t="s">
        <v>482</v>
      </c>
    </row>
    <row r="5" spans="1:22">
      <c r="A5" s="469"/>
      <c r="B5" s="470"/>
      <c r="C5" s="470"/>
      <c r="D5" s="470"/>
      <c r="E5" s="470"/>
      <c r="F5" s="470"/>
      <c r="G5" s="470"/>
      <c r="H5" s="471"/>
      <c r="I5" s="238"/>
      <c r="J5" s="238"/>
      <c r="K5" s="238"/>
      <c r="L5" s="463" t="s">
        <v>405</v>
      </c>
      <c r="M5" s="463"/>
      <c r="N5" s="463"/>
      <c r="O5" s="463"/>
      <c r="P5" s="463"/>
      <c r="Q5" s="463"/>
      <c r="R5" s="457" t="s">
        <v>406</v>
      </c>
      <c r="S5" s="458"/>
      <c r="T5" s="458"/>
      <c r="U5" s="458"/>
      <c r="V5" s="459"/>
    </row>
    <row r="6" spans="1:22" ht="90">
      <c r="A6" s="460"/>
      <c r="B6" s="461"/>
      <c r="C6" s="244" t="s">
        <v>407</v>
      </c>
      <c r="D6" s="245" t="s">
        <v>408</v>
      </c>
      <c r="E6" s="244" t="s">
        <v>409</v>
      </c>
      <c r="F6" s="244" t="s">
        <v>410</v>
      </c>
      <c r="G6" s="245" t="s">
        <v>411</v>
      </c>
      <c r="H6" s="245" t="s">
        <v>412</v>
      </c>
      <c r="I6" s="245" t="s">
        <v>413</v>
      </c>
      <c r="J6" s="245" t="s">
        <v>414</v>
      </c>
      <c r="K6" s="246"/>
      <c r="L6" s="247" t="s">
        <v>415</v>
      </c>
      <c r="M6" s="247" t="s">
        <v>416</v>
      </c>
      <c r="N6" s="247" t="s">
        <v>417</v>
      </c>
      <c r="O6" s="247" t="s">
        <v>418</v>
      </c>
      <c r="P6" s="248" t="s">
        <v>419</v>
      </c>
      <c r="Q6" s="248" t="s">
        <v>420</v>
      </c>
      <c r="R6" s="249" t="s">
        <v>421</v>
      </c>
      <c r="S6" s="249" t="s">
        <v>422</v>
      </c>
      <c r="T6" s="249" t="s">
        <v>423</v>
      </c>
      <c r="U6" s="249" t="s">
        <v>424</v>
      </c>
      <c r="V6" s="250" t="s">
        <v>425</v>
      </c>
    </row>
    <row r="7" spans="1:22">
      <c r="A7" s="462" t="s">
        <v>396</v>
      </c>
      <c r="B7" s="235" t="s">
        <v>426</v>
      </c>
      <c r="C7" s="251">
        <f>560559+14044</f>
        <v>574603</v>
      </c>
      <c r="D7" s="252">
        <f t="shared" ref="D7:D18" si="0">C7/$B$4</f>
        <v>12.48234699917994</v>
      </c>
      <c r="E7" s="236">
        <v>5431</v>
      </c>
      <c r="F7" s="251">
        <v>71237</v>
      </c>
      <c r="G7" s="252">
        <f t="shared" ref="G7:G18" si="1">F7/$B$4</f>
        <v>1.5475118528454976</v>
      </c>
      <c r="H7" s="253">
        <f t="shared" ref="H7:H18" si="2">E7/$B$4</f>
        <v>0.11797993841408112</v>
      </c>
      <c r="I7" s="251">
        <f>1161357+338711</f>
        <v>1500068</v>
      </c>
      <c r="J7" s="252">
        <f>I7/$B$4</f>
        <v>32.586619454416102</v>
      </c>
      <c r="K7" s="243"/>
      <c r="L7" s="254"/>
      <c r="M7" s="255"/>
      <c r="N7" s="256"/>
      <c r="O7" s="255"/>
      <c r="P7" s="256"/>
      <c r="Q7" s="255"/>
      <c r="R7" s="257">
        <f t="shared" ref="R7:R18" si="3">C7/$B$2</f>
        <v>2.0661591790062639</v>
      </c>
      <c r="S7" s="258">
        <f>I7/$B$2</f>
        <v>5.3939489827473377</v>
      </c>
      <c r="T7" s="259">
        <f t="shared" ref="T7:T18" si="4">F7/$B$2</f>
        <v>0.2561542167981532</v>
      </c>
      <c r="U7" s="258">
        <f t="shared" ref="U7:U18" si="5">(80%*T7*100000/3412)+(E7/$B$2)</f>
        <v>6.0254893405181837</v>
      </c>
      <c r="V7" s="258">
        <f>R7+S7+U7</f>
        <v>13.485597502271785</v>
      </c>
    </row>
    <row r="8" spans="1:22">
      <c r="A8" s="462"/>
      <c r="B8" s="260" t="s">
        <v>427</v>
      </c>
      <c r="C8" s="261">
        <f>536730+13497</f>
        <v>550227</v>
      </c>
      <c r="D8" s="262">
        <f t="shared" si="0"/>
        <v>11.952816714005637</v>
      </c>
      <c r="E8" s="263">
        <v>3845</v>
      </c>
      <c r="F8" s="261">
        <v>44498</v>
      </c>
      <c r="G8" s="262">
        <f t="shared" si="1"/>
        <v>0.96664910689555916</v>
      </c>
      <c r="H8" s="262">
        <f t="shared" si="2"/>
        <v>8.3526581329799662E-2</v>
      </c>
      <c r="I8" s="261">
        <f>1011780+334662</f>
        <v>1346442</v>
      </c>
      <c r="J8" s="262">
        <f t="shared" ref="J8:J18" si="6">I8/$B$4</f>
        <v>29.249336077726426</v>
      </c>
      <c r="K8" s="243"/>
      <c r="L8" s="264">
        <f>G7-G8</f>
        <v>0.58086274594993847</v>
      </c>
      <c r="M8" s="265">
        <f>H7-H8</f>
        <v>3.4453357084281461E-2</v>
      </c>
      <c r="N8" s="266">
        <f>D7-D8</f>
        <v>0.52953028517430312</v>
      </c>
      <c r="O8" s="267">
        <f>J7-J8</f>
        <v>3.3372833766896761</v>
      </c>
      <c r="P8" s="266">
        <f>SUM(M8,N8:O8)</f>
        <v>3.9012670189482606</v>
      </c>
      <c r="Q8" s="267">
        <f>80%*L8*100000/3412</f>
        <v>13.619290643609345</v>
      </c>
      <c r="R8" s="268">
        <f t="shared" si="3"/>
        <v>1.9785078855959324</v>
      </c>
      <c r="S8" s="269">
        <f t="shared" ref="S8:S9" si="7">I8/$B$2</f>
        <v>4.8415401543318639</v>
      </c>
      <c r="T8" s="270">
        <f t="shared" si="4"/>
        <v>0.16000604094900434</v>
      </c>
      <c r="U8" s="269">
        <f t="shared" si="5"/>
        <v>3.7654329187019804</v>
      </c>
      <c r="V8" s="269">
        <f t="shared" ref="V8:V18" si="8">R8+S8+U8</f>
        <v>10.585480958629777</v>
      </c>
    </row>
    <row r="9" spans="1:22">
      <c r="A9" s="462"/>
      <c r="B9" s="271" t="s">
        <v>428</v>
      </c>
      <c r="C9" s="272">
        <f>462262+11222</f>
        <v>473484</v>
      </c>
      <c r="D9" s="273">
        <f t="shared" si="0"/>
        <v>10.285695665632993</v>
      </c>
      <c r="E9" s="274">
        <v>3272</v>
      </c>
      <c r="F9" s="272">
        <v>38643</v>
      </c>
      <c r="G9" s="273">
        <f t="shared" si="1"/>
        <v>0.83945843493561723</v>
      </c>
      <c r="H9" s="273">
        <f t="shared" si="2"/>
        <v>7.1079056985982964E-2</v>
      </c>
      <c r="I9" s="272">
        <f>833832+321805</f>
        <v>1155637</v>
      </c>
      <c r="J9" s="273">
        <f t="shared" si="6"/>
        <v>25.104397364948163</v>
      </c>
      <c r="K9" s="243" t="str">
        <f>A7</f>
        <v>Portland</v>
      </c>
      <c r="L9" s="275">
        <f>G7-G9</f>
        <v>0.70805341790988041</v>
      </c>
      <c r="M9" s="276">
        <f>H7-H9</f>
        <v>4.690088142809816E-2</v>
      </c>
      <c r="N9" s="277">
        <f>D7-D9</f>
        <v>2.1966513335469475</v>
      </c>
      <c r="O9" s="278">
        <f>J7-J9</f>
        <v>7.482222089467939</v>
      </c>
      <c r="P9" s="277">
        <f>SUM(M9,N9:O9)</f>
        <v>9.7257743044429841</v>
      </c>
      <c r="Q9" s="278">
        <f>L9*100000/3412*80%</f>
        <v>16.601486938098017</v>
      </c>
      <c r="R9" s="279">
        <f t="shared" si="3"/>
        <v>1.7025551775967092</v>
      </c>
      <c r="S9" s="280">
        <f t="shared" si="7"/>
        <v>4.1554429669689537</v>
      </c>
      <c r="T9" s="281">
        <f t="shared" si="4"/>
        <v>0.13895261450834587</v>
      </c>
      <c r="U9" s="280">
        <f t="shared" si="5"/>
        <v>3.2697400161940129</v>
      </c>
      <c r="V9" s="280">
        <f t="shared" si="8"/>
        <v>9.1277381607596766</v>
      </c>
    </row>
    <row r="10" spans="1:22">
      <c r="A10" s="462" t="s">
        <v>397</v>
      </c>
      <c r="B10" s="235" t="s">
        <v>426</v>
      </c>
      <c r="C10" s="251">
        <f>552371+7233</f>
        <v>559604</v>
      </c>
      <c r="D10" s="252">
        <f t="shared" si="0"/>
        <v>12.156517299995112</v>
      </c>
      <c r="E10" s="236">
        <v>8423</v>
      </c>
      <c r="F10" s="251">
        <v>129706</v>
      </c>
      <c r="G10" s="252">
        <f t="shared" si="1"/>
        <v>2.8176589747628071</v>
      </c>
      <c r="H10" s="252">
        <f t="shared" si="2"/>
        <v>0.18297643551128803</v>
      </c>
      <c r="I10" s="251">
        <f>1435187+342425</f>
        <v>1777612</v>
      </c>
      <c r="J10" s="252">
        <f>I10/$B$4</f>
        <v>38.615826603596311</v>
      </c>
      <c r="K10" s="243"/>
      <c r="L10" s="254"/>
      <c r="M10" s="255"/>
      <c r="N10" s="256"/>
      <c r="O10" s="255"/>
      <c r="P10" s="256"/>
      <c r="Q10" s="255"/>
      <c r="R10" s="257">
        <f t="shared" si="3"/>
        <v>2.012225730127795</v>
      </c>
      <c r="S10" s="258">
        <f>I10/$B$2</f>
        <v>6.3919425246851871</v>
      </c>
      <c r="T10" s="259">
        <f t="shared" si="4"/>
        <v>0.466397221163458</v>
      </c>
      <c r="U10" s="258">
        <f t="shared" si="5"/>
        <v>10.965743982217157</v>
      </c>
      <c r="V10" s="258">
        <f t="shared" si="8"/>
        <v>19.369912237030139</v>
      </c>
    </row>
    <row r="11" spans="1:22">
      <c r="A11" s="462"/>
      <c r="B11" s="260" t="s">
        <v>427</v>
      </c>
      <c r="C11" s="261">
        <f>518583+6876</f>
        <v>525459</v>
      </c>
      <c r="D11" s="262">
        <f t="shared" si="0"/>
        <v>11.414770844987048</v>
      </c>
      <c r="E11" s="263">
        <v>6113</v>
      </c>
      <c r="F11" s="261">
        <v>84012</v>
      </c>
      <c r="G11" s="262">
        <f t="shared" si="1"/>
        <v>1.8250286477709048</v>
      </c>
      <c r="H11" s="262">
        <f t="shared" si="2"/>
        <v>0.13279531642888565</v>
      </c>
      <c r="I11" s="261">
        <f>1235476+336523</f>
        <v>1571999</v>
      </c>
      <c r="J11" s="262">
        <f t="shared" si="6"/>
        <v>34.149207366414494</v>
      </c>
      <c r="K11" s="243"/>
      <c r="L11" s="264">
        <f>G10-G11</f>
        <v>0.99263032699190235</v>
      </c>
      <c r="M11" s="265">
        <f>H10-H11</f>
        <v>5.0181119082402387E-2</v>
      </c>
      <c r="N11" s="266">
        <f>D10-D11</f>
        <v>0.74174645500806413</v>
      </c>
      <c r="O11" s="267">
        <f>J10-J11</f>
        <v>4.466619237181817</v>
      </c>
      <c r="P11" s="266">
        <f>SUM(M11,N11:O11)</f>
        <v>5.258546811272284</v>
      </c>
      <c r="Q11" s="267">
        <f>80%*L11*100000/3412</f>
        <v>23.273864642248586</v>
      </c>
      <c r="R11" s="268">
        <f t="shared" si="3"/>
        <v>1.8894470374179257</v>
      </c>
      <c r="S11" s="269">
        <f t="shared" ref="S11:S12" si="9">I11/$B$2</f>
        <v>5.6525986868127518</v>
      </c>
      <c r="T11" s="270">
        <f t="shared" si="4"/>
        <v>0.30209059985185294</v>
      </c>
      <c r="U11" s="269">
        <f t="shared" si="5"/>
        <v>7.1049963804638789</v>
      </c>
      <c r="V11" s="269">
        <f t="shared" si="8"/>
        <v>14.647042104694556</v>
      </c>
    </row>
    <row r="12" spans="1:22">
      <c r="A12" s="462"/>
      <c r="B12" s="271" t="s">
        <v>428</v>
      </c>
      <c r="C12" s="272">
        <f>449082+5704</f>
        <v>454786</v>
      </c>
      <c r="D12" s="273">
        <f t="shared" si="0"/>
        <v>9.8795110056317981</v>
      </c>
      <c r="E12" s="274">
        <v>5549</v>
      </c>
      <c r="F12" s="272">
        <v>78830</v>
      </c>
      <c r="G12" s="262">
        <f t="shared" si="1"/>
        <v>1.7124578429721995</v>
      </c>
      <c r="H12" s="282">
        <f t="shared" si="2"/>
        <v>0.12054330293863674</v>
      </c>
      <c r="I12" s="272">
        <f>1052057+324008</f>
        <v>1376065</v>
      </c>
      <c r="J12" s="273">
        <f t="shared" si="6"/>
        <v>29.892849190530757</v>
      </c>
      <c r="K12" s="243" t="str">
        <f>A10</f>
        <v>Spokane</v>
      </c>
      <c r="L12" s="275">
        <f>G10-G12</f>
        <v>1.1052011317906076</v>
      </c>
      <c r="M12" s="276">
        <f>H10-H12</f>
        <v>6.243313257265129E-2</v>
      </c>
      <c r="N12" s="277">
        <f>D10-D12</f>
        <v>2.2770062943633143</v>
      </c>
      <c r="O12" s="278">
        <f>J10-J12</f>
        <v>8.7229774130655535</v>
      </c>
      <c r="P12" s="277">
        <f>SUM(M12,N12:O12)</f>
        <v>11.06241684000152</v>
      </c>
      <c r="Q12" s="278">
        <f>L12*100000/3412*80%</f>
        <v>25.913273898959147</v>
      </c>
      <c r="R12" s="279">
        <f t="shared" si="3"/>
        <v>1.6353208534997949</v>
      </c>
      <c r="S12" s="280">
        <f t="shared" si="9"/>
        <v>4.9480586259717656</v>
      </c>
      <c r="T12" s="281">
        <f t="shared" si="4"/>
        <v>0.28345714881590206</v>
      </c>
      <c r="U12" s="280">
        <f t="shared" si="5"/>
        <v>6.6660761779249844</v>
      </c>
      <c r="V12" s="280">
        <f t="shared" si="8"/>
        <v>13.249455657396545</v>
      </c>
    </row>
    <row r="13" spans="1:22">
      <c r="A13" s="462" t="s">
        <v>398</v>
      </c>
      <c r="B13" s="235" t="s">
        <v>426</v>
      </c>
      <c r="C13" s="261">
        <f>519666+7241</f>
        <v>526907</v>
      </c>
      <c r="D13" s="252">
        <f t="shared" si="0"/>
        <v>11.446226368983289</v>
      </c>
      <c r="E13" s="263">
        <v>8165</v>
      </c>
      <c r="F13" s="261">
        <v>125114</v>
      </c>
      <c r="G13" s="252">
        <f t="shared" si="1"/>
        <v>2.7179049925868801</v>
      </c>
      <c r="H13" s="253">
        <f t="shared" si="2"/>
        <v>0.17737179104234438</v>
      </c>
      <c r="I13" s="251">
        <f>1372520+335904</f>
        <v>1708424</v>
      </c>
      <c r="J13" s="252">
        <f>I13/$B$4</f>
        <v>37.112826055079751</v>
      </c>
      <c r="K13" s="243"/>
      <c r="L13" s="254"/>
      <c r="M13" s="255"/>
      <c r="N13" s="256"/>
      <c r="O13" s="255"/>
      <c r="P13" s="256"/>
      <c r="Q13" s="255"/>
      <c r="R13" s="257">
        <f t="shared" si="3"/>
        <v>1.8946537601311748</v>
      </c>
      <c r="S13" s="258">
        <f>I13/$B$2</f>
        <v>6.1431561081905199</v>
      </c>
      <c r="T13" s="259">
        <f t="shared" si="4"/>
        <v>0.44988529388497744</v>
      </c>
      <c r="U13" s="258">
        <f t="shared" si="5"/>
        <v>10.577666739175704</v>
      </c>
      <c r="V13" s="269">
        <f t="shared" si="8"/>
        <v>18.615476607497399</v>
      </c>
    </row>
    <row r="14" spans="1:22">
      <c r="A14" s="462"/>
      <c r="B14" s="260" t="s">
        <v>427</v>
      </c>
      <c r="C14" s="261">
        <f>429818+6928</f>
        <v>436746</v>
      </c>
      <c r="D14" s="262">
        <f t="shared" si="0"/>
        <v>9.4876203613692276</v>
      </c>
      <c r="E14" s="263">
        <v>6063</v>
      </c>
      <c r="F14" s="261">
        <v>83408</v>
      </c>
      <c r="G14" s="262">
        <f t="shared" si="1"/>
        <v>1.8119076971536878</v>
      </c>
      <c r="H14" s="262">
        <f t="shared" si="2"/>
        <v>0.13170914502017564</v>
      </c>
      <c r="I14" s="261">
        <f>1217713+330516</f>
        <v>1548229</v>
      </c>
      <c r="J14" s="262">
        <f t="shared" si="6"/>
        <v>33.632841478713758</v>
      </c>
      <c r="K14" s="243"/>
      <c r="L14" s="264">
        <f>G13-G14</f>
        <v>0.9059972954331923</v>
      </c>
      <c r="M14" s="265">
        <f>H13-H14</f>
        <v>4.566264602216874E-2</v>
      </c>
      <c r="N14" s="266">
        <f>D13-D14</f>
        <v>1.9586060076140619</v>
      </c>
      <c r="O14" s="267">
        <f>J13-J14</f>
        <v>3.4799845763659931</v>
      </c>
      <c r="P14" s="266">
        <f>SUM(M14,N14:O14)</f>
        <v>5.4842532300022242</v>
      </c>
      <c r="Q14" s="267">
        <f>80%*L14*100000/3412</f>
        <v>21.24260950605375</v>
      </c>
      <c r="R14" s="268">
        <f t="shared" si="3"/>
        <v>1.5704525677629071</v>
      </c>
      <c r="S14" s="269">
        <f t="shared" ref="S14:S15" si="10">I14/$B$2</f>
        <v>5.5671264500075512</v>
      </c>
      <c r="T14" s="270">
        <f t="shared" si="4"/>
        <v>0.29991873485267995</v>
      </c>
      <c r="U14" s="269">
        <f t="shared" si="5"/>
        <v>7.0538936126086575</v>
      </c>
      <c r="V14" s="269">
        <f t="shared" si="8"/>
        <v>14.191472630379117</v>
      </c>
    </row>
    <row r="15" spans="1:22">
      <c r="A15" s="462"/>
      <c r="B15" s="271" t="s">
        <v>428</v>
      </c>
      <c r="C15" s="272">
        <f>423954+5764</f>
        <v>429718</v>
      </c>
      <c r="D15" s="273">
        <f t="shared" si="0"/>
        <v>9.3349481081609493</v>
      </c>
      <c r="E15" s="274">
        <v>5374</v>
      </c>
      <c r="F15" s="272">
        <v>76122</v>
      </c>
      <c r="G15" s="273">
        <f t="shared" si="1"/>
        <v>1.6536307994764654</v>
      </c>
      <c r="H15" s="273">
        <f t="shared" si="2"/>
        <v>0.11674170300815172</v>
      </c>
      <c r="I15" s="272">
        <f>1017967+317345</f>
        <v>1335312</v>
      </c>
      <c r="J15" s="273">
        <f t="shared" si="6"/>
        <v>29.007554322147577</v>
      </c>
      <c r="K15" s="243" t="str">
        <f>A13</f>
        <v>Missoula</v>
      </c>
      <c r="L15" s="275">
        <f>G13-G15</f>
        <v>1.0642741931104147</v>
      </c>
      <c r="M15" s="276">
        <f>H13-H15</f>
        <v>6.0630088034192661E-2</v>
      </c>
      <c r="N15" s="277">
        <f>D13-D15</f>
        <v>2.1112782608223402</v>
      </c>
      <c r="O15" s="278">
        <f>J13-J15</f>
        <v>8.1052717329321737</v>
      </c>
      <c r="P15" s="277">
        <f>SUM(M15,N15:O15)</f>
        <v>10.277180081788707</v>
      </c>
      <c r="Q15" s="278">
        <f>L15*100000/3412*80%</f>
        <v>24.953673929904216</v>
      </c>
      <c r="R15" s="279">
        <f t="shared" si="3"/>
        <v>1.5451812644281595</v>
      </c>
      <c r="S15" s="280">
        <f t="shared" si="10"/>
        <v>4.8015188671782294</v>
      </c>
      <c r="T15" s="281">
        <f t="shared" si="4"/>
        <v>0.27371971434941139</v>
      </c>
      <c r="U15" s="280">
        <f t="shared" si="5"/>
        <v>6.4371366083828185</v>
      </c>
      <c r="V15" s="280">
        <f t="shared" si="8"/>
        <v>12.783836739989209</v>
      </c>
    </row>
    <row r="16" spans="1:22">
      <c r="A16" s="462" t="s">
        <v>429</v>
      </c>
      <c r="B16" s="235" t="s">
        <v>426</v>
      </c>
      <c r="C16" s="261">
        <f>544382+9031</f>
        <v>553413</v>
      </c>
      <c r="D16" s="252">
        <f t="shared" si="0"/>
        <v>12.02202755616864</v>
      </c>
      <c r="E16" s="263">
        <v>3423</v>
      </c>
      <c r="F16" s="261">
        <v>37179</v>
      </c>
      <c r="G16" s="252">
        <f t="shared" si="1"/>
        <v>0.80765533608858819</v>
      </c>
      <c r="H16" s="253">
        <f t="shared" si="2"/>
        <v>7.4359294640287177E-2</v>
      </c>
      <c r="I16" s="251">
        <f>963166+351211</f>
        <v>1314377</v>
      </c>
      <c r="J16" s="252">
        <f>I16/$B$4</f>
        <v>28.552774353320697</v>
      </c>
      <c r="K16" s="243"/>
      <c r="L16" s="254"/>
      <c r="M16" s="255"/>
      <c r="N16" s="256"/>
      <c r="O16" s="255"/>
      <c r="P16" s="256"/>
      <c r="Q16" s="255"/>
      <c r="R16" s="257">
        <f t="shared" si="3"/>
        <v>1.989964113886272</v>
      </c>
      <c r="S16" s="258">
        <f>I16/$B$2</f>
        <v>4.7262407318178221</v>
      </c>
      <c r="T16" s="259">
        <f t="shared" si="4"/>
        <v>0.13368835894743655</v>
      </c>
      <c r="U16" s="258">
        <f t="shared" si="5"/>
        <v>3.1468537782020873</v>
      </c>
      <c r="V16" s="258">
        <f t="shared" si="8"/>
        <v>9.8630586239061824</v>
      </c>
    </row>
    <row r="17" spans="1:22">
      <c r="A17" s="462"/>
      <c r="B17" s="260" t="s">
        <v>427</v>
      </c>
      <c r="C17" s="261">
        <f>541577+9123</f>
        <v>550700</v>
      </c>
      <c r="D17" s="262">
        <f t="shared" si="0"/>
        <v>11.963091895532035</v>
      </c>
      <c r="E17" s="263">
        <v>2490</v>
      </c>
      <c r="F17" s="261">
        <v>24914</v>
      </c>
      <c r="G17" s="262">
        <f t="shared" si="1"/>
        <v>0.54121748953202309</v>
      </c>
      <c r="H17" s="262">
        <f t="shared" si="2"/>
        <v>5.4091336153758426E-2</v>
      </c>
      <c r="I17" s="261">
        <f>841691+349258</f>
        <v>1190949</v>
      </c>
      <c r="J17" s="262">
        <f t="shared" si="6"/>
        <v>25.871495060635517</v>
      </c>
      <c r="K17" s="243"/>
      <c r="L17" s="264">
        <f>G16-G17</f>
        <v>0.26643784655656511</v>
      </c>
      <c r="M17" s="265">
        <f>H16-H17</f>
        <v>2.026795848652875E-2</v>
      </c>
      <c r="N17" s="266">
        <f>D16-D17</f>
        <v>5.8935660636604936E-2</v>
      </c>
      <c r="O17" s="267">
        <f>J16-J17</f>
        <v>2.6812792926851792</v>
      </c>
      <c r="P17" s="266">
        <f>SUM(M17,N17:O17)</f>
        <v>2.760482911808313</v>
      </c>
      <c r="Q17" s="267">
        <f>80%*L17*100000/3412</f>
        <v>6.2470772932371661</v>
      </c>
      <c r="R17" s="268">
        <f t="shared" si="3"/>
        <v>1.9802087004048874</v>
      </c>
      <c r="S17" s="269">
        <f t="shared" ref="S17:S18" si="11">I17/$B$2</f>
        <v>4.2824179617550397</v>
      </c>
      <c r="T17" s="270">
        <f t="shared" si="4"/>
        <v>8.9585835412906059E-2</v>
      </c>
      <c r="U17" s="269">
        <f t="shared" si="5"/>
        <v>2.1094420702355507</v>
      </c>
      <c r="V17" s="269">
        <f t="shared" si="8"/>
        <v>8.3720687323954781</v>
      </c>
    </row>
    <row r="18" spans="1:22">
      <c r="A18" s="462"/>
      <c r="B18" s="271" t="s">
        <v>428</v>
      </c>
      <c r="C18" s="272">
        <f>460116+7509</f>
        <v>467625</v>
      </c>
      <c r="D18" s="273">
        <f t="shared" si="0"/>
        <v>10.158418099960354</v>
      </c>
      <c r="E18" s="274">
        <v>2115</v>
      </c>
      <c r="F18" s="272">
        <v>21192</v>
      </c>
      <c r="G18" s="273">
        <f t="shared" si="1"/>
        <v>0.46036288986765</v>
      </c>
      <c r="H18" s="273">
        <f t="shared" si="2"/>
        <v>4.5945050588433359E-2</v>
      </c>
      <c r="I18" s="272">
        <f>690976+334210</f>
        <v>1025186</v>
      </c>
      <c r="J18" s="273">
        <f t="shared" si="6"/>
        <v>22.270554436195575</v>
      </c>
      <c r="K18" s="243"/>
      <c r="L18" s="275">
        <f>G16-G18</f>
        <v>0.34729244622093819</v>
      </c>
      <c r="M18" s="276">
        <f>H16-H18</f>
        <v>2.8414244051853818E-2</v>
      </c>
      <c r="N18" s="277">
        <f>D16-D18</f>
        <v>1.8636094562082857</v>
      </c>
      <c r="O18" s="278">
        <f>J16-J18</f>
        <v>6.2822199171251221</v>
      </c>
      <c r="P18" s="277">
        <f>SUM(M18,N18:O18)</f>
        <v>8.1742436173852617</v>
      </c>
      <c r="Q18" s="278">
        <f>L18*100000/3412*80%</f>
        <v>8.142847508111096</v>
      </c>
      <c r="R18" s="279">
        <f t="shared" si="3"/>
        <v>1.6814873679441356</v>
      </c>
      <c r="S18" s="280">
        <f t="shared" si="11"/>
        <v>3.6863668725863175</v>
      </c>
      <c r="T18" s="281">
        <f t="shared" si="4"/>
        <v>7.6202256725949477E-2</v>
      </c>
      <c r="U18" s="280">
        <f t="shared" si="5"/>
        <v>1.7942934404384074</v>
      </c>
      <c r="V18" s="280">
        <f t="shared" si="8"/>
        <v>7.16214768096886</v>
      </c>
    </row>
    <row r="20" spans="1:22">
      <c r="C20" s="233"/>
      <c r="F20" s="232"/>
    </row>
    <row r="21" spans="1:22">
      <c r="C21" s="233"/>
      <c r="F21" s="232"/>
    </row>
    <row r="22" spans="1:22">
      <c r="C22" s="233"/>
      <c r="F22" s="232"/>
    </row>
    <row r="23" spans="1:22">
      <c r="C23" s="233"/>
      <c r="F23" s="232"/>
    </row>
    <row r="24" spans="1:22">
      <c r="C24" s="233"/>
    </row>
    <row r="25" spans="1:22">
      <c r="C25" s="233"/>
    </row>
    <row r="26" spans="1:22">
      <c r="C26" s="233"/>
    </row>
    <row r="27" spans="1:22">
      <c r="C27" s="233"/>
    </row>
  </sheetData>
  <mergeCells count="12">
    <mergeCell ref="A16:A18"/>
    <mergeCell ref="A1:H1"/>
    <mergeCell ref="D2:H2"/>
    <mergeCell ref="D3:H3"/>
    <mergeCell ref="D4:H4"/>
    <mergeCell ref="A5:H5"/>
    <mergeCell ref="R5:V5"/>
    <mergeCell ref="A6:B6"/>
    <mergeCell ref="A7:A9"/>
    <mergeCell ref="A10:A12"/>
    <mergeCell ref="A13:A15"/>
    <mergeCell ref="L5:Q5"/>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dimension ref="A1"/>
  <sheetViews>
    <sheetView workbookViewId="0">
      <selection activeCell="R38" sqref="R38"/>
    </sheetView>
  </sheetViews>
  <sheetFormatPr defaultRowHeight="15"/>
  <cols>
    <col min="1" max="16384" width="9.140625" style="231"/>
  </cols>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dimension ref="A3:AS210"/>
  <sheetViews>
    <sheetView workbookViewId="0">
      <selection activeCell="AC65" sqref="AC65:AC87"/>
    </sheetView>
  </sheetViews>
  <sheetFormatPr defaultRowHeight="12.75"/>
  <cols>
    <col min="1" max="1" width="26.28515625" style="117" customWidth="1"/>
    <col min="2" max="32" width="9.140625" style="117"/>
    <col min="33" max="33" width="36.5703125" style="117" customWidth="1"/>
    <col min="34" max="256" width="9.140625" style="117"/>
    <col min="257" max="257" width="26.28515625" style="117" customWidth="1"/>
    <col min="258" max="288" width="9.140625" style="117"/>
    <col min="289" max="289" width="36.5703125" style="117" customWidth="1"/>
    <col min="290" max="512" width="9.140625" style="117"/>
    <col min="513" max="513" width="26.28515625" style="117" customWidth="1"/>
    <col min="514" max="544" width="9.140625" style="117"/>
    <col min="545" max="545" width="36.5703125" style="117" customWidth="1"/>
    <col min="546" max="768" width="9.140625" style="117"/>
    <col min="769" max="769" width="26.28515625" style="117" customWidth="1"/>
    <col min="770" max="800" width="9.140625" style="117"/>
    <col min="801" max="801" width="36.5703125" style="117" customWidth="1"/>
    <col min="802" max="1024" width="9.140625" style="117"/>
    <col min="1025" max="1025" width="26.28515625" style="117" customWidth="1"/>
    <col min="1026" max="1056" width="9.140625" style="117"/>
    <col min="1057" max="1057" width="36.5703125" style="117" customWidth="1"/>
    <col min="1058" max="1280" width="9.140625" style="117"/>
    <col min="1281" max="1281" width="26.28515625" style="117" customWidth="1"/>
    <col min="1282" max="1312" width="9.140625" style="117"/>
    <col min="1313" max="1313" width="36.5703125" style="117" customWidth="1"/>
    <col min="1314" max="1536" width="9.140625" style="117"/>
    <col min="1537" max="1537" width="26.28515625" style="117" customWidth="1"/>
    <col min="1538" max="1568" width="9.140625" style="117"/>
    <col min="1569" max="1569" width="36.5703125" style="117" customWidth="1"/>
    <col min="1570" max="1792" width="9.140625" style="117"/>
    <col min="1793" max="1793" width="26.28515625" style="117" customWidth="1"/>
    <col min="1794" max="1824" width="9.140625" style="117"/>
    <col min="1825" max="1825" width="36.5703125" style="117" customWidth="1"/>
    <col min="1826" max="2048" width="9.140625" style="117"/>
    <col min="2049" max="2049" width="26.28515625" style="117" customWidth="1"/>
    <col min="2050" max="2080" width="9.140625" style="117"/>
    <col min="2081" max="2081" width="36.5703125" style="117" customWidth="1"/>
    <col min="2082" max="2304" width="9.140625" style="117"/>
    <col min="2305" max="2305" width="26.28515625" style="117" customWidth="1"/>
    <col min="2306" max="2336" width="9.140625" style="117"/>
    <col min="2337" max="2337" width="36.5703125" style="117" customWidth="1"/>
    <col min="2338" max="2560" width="9.140625" style="117"/>
    <col min="2561" max="2561" width="26.28515625" style="117" customWidth="1"/>
    <col min="2562" max="2592" width="9.140625" style="117"/>
    <col min="2593" max="2593" width="36.5703125" style="117" customWidth="1"/>
    <col min="2594" max="2816" width="9.140625" style="117"/>
    <col min="2817" max="2817" width="26.28515625" style="117" customWidth="1"/>
    <col min="2818" max="2848" width="9.140625" style="117"/>
    <col min="2849" max="2849" width="36.5703125" style="117" customWidth="1"/>
    <col min="2850" max="3072" width="9.140625" style="117"/>
    <col min="3073" max="3073" width="26.28515625" style="117" customWidth="1"/>
    <col min="3074" max="3104" width="9.140625" style="117"/>
    <col min="3105" max="3105" width="36.5703125" style="117" customWidth="1"/>
    <col min="3106" max="3328" width="9.140625" style="117"/>
    <col min="3329" max="3329" width="26.28515625" style="117" customWidth="1"/>
    <col min="3330" max="3360" width="9.140625" style="117"/>
    <col min="3361" max="3361" width="36.5703125" style="117" customWidth="1"/>
    <col min="3362" max="3584" width="9.140625" style="117"/>
    <col min="3585" max="3585" width="26.28515625" style="117" customWidth="1"/>
    <col min="3586" max="3616" width="9.140625" style="117"/>
    <col min="3617" max="3617" width="36.5703125" style="117" customWidth="1"/>
    <col min="3618" max="3840" width="9.140625" style="117"/>
    <col min="3841" max="3841" width="26.28515625" style="117" customWidth="1"/>
    <col min="3842" max="3872" width="9.140625" style="117"/>
    <col min="3873" max="3873" width="36.5703125" style="117" customWidth="1"/>
    <col min="3874" max="4096" width="9.140625" style="117"/>
    <col min="4097" max="4097" width="26.28515625" style="117" customWidth="1"/>
    <col min="4098" max="4128" width="9.140625" style="117"/>
    <col min="4129" max="4129" width="36.5703125" style="117" customWidth="1"/>
    <col min="4130" max="4352" width="9.140625" style="117"/>
    <col min="4353" max="4353" width="26.28515625" style="117" customWidth="1"/>
    <col min="4354" max="4384" width="9.140625" style="117"/>
    <col min="4385" max="4385" width="36.5703125" style="117" customWidth="1"/>
    <col min="4386" max="4608" width="9.140625" style="117"/>
    <col min="4609" max="4609" width="26.28515625" style="117" customWidth="1"/>
    <col min="4610" max="4640" width="9.140625" style="117"/>
    <col min="4641" max="4641" width="36.5703125" style="117" customWidth="1"/>
    <col min="4642" max="4864" width="9.140625" style="117"/>
    <col min="4865" max="4865" width="26.28515625" style="117" customWidth="1"/>
    <col min="4866" max="4896" width="9.140625" style="117"/>
    <col min="4897" max="4897" width="36.5703125" style="117" customWidth="1"/>
    <col min="4898" max="5120" width="9.140625" style="117"/>
    <col min="5121" max="5121" width="26.28515625" style="117" customWidth="1"/>
    <col min="5122" max="5152" width="9.140625" style="117"/>
    <col min="5153" max="5153" width="36.5703125" style="117" customWidth="1"/>
    <col min="5154" max="5376" width="9.140625" style="117"/>
    <col min="5377" max="5377" width="26.28515625" style="117" customWidth="1"/>
    <col min="5378" max="5408" width="9.140625" style="117"/>
    <col min="5409" max="5409" width="36.5703125" style="117" customWidth="1"/>
    <col min="5410" max="5632" width="9.140625" style="117"/>
    <col min="5633" max="5633" width="26.28515625" style="117" customWidth="1"/>
    <col min="5634" max="5664" width="9.140625" style="117"/>
    <col min="5665" max="5665" width="36.5703125" style="117" customWidth="1"/>
    <col min="5666" max="5888" width="9.140625" style="117"/>
    <col min="5889" max="5889" width="26.28515625" style="117" customWidth="1"/>
    <col min="5890" max="5920" width="9.140625" style="117"/>
    <col min="5921" max="5921" width="36.5703125" style="117" customWidth="1"/>
    <col min="5922" max="6144" width="9.140625" style="117"/>
    <col min="6145" max="6145" width="26.28515625" style="117" customWidth="1"/>
    <col min="6146" max="6176" width="9.140625" style="117"/>
    <col min="6177" max="6177" width="36.5703125" style="117" customWidth="1"/>
    <col min="6178" max="6400" width="9.140625" style="117"/>
    <col min="6401" max="6401" width="26.28515625" style="117" customWidth="1"/>
    <col min="6402" max="6432" width="9.140625" style="117"/>
    <col min="6433" max="6433" width="36.5703125" style="117" customWidth="1"/>
    <col min="6434" max="6656" width="9.140625" style="117"/>
    <col min="6657" max="6657" width="26.28515625" style="117" customWidth="1"/>
    <col min="6658" max="6688" width="9.140625" style="117"/>
    <col min="6689" max="6689" width="36.5703125" style="117" customWidth="1"/>
    <col min="6690" max="6912" width="9.140625" style="117"/>
    <col min="6913" max="6913" width="26.28515625" style="117" customWidth="1"/>
    <col min="6914" max="6944" width="9.140625" style="117"/>
    <col min="6945" max="6945" width="36.5703125" style="117" customWidth="1"/>
    <col min="6946" max="7168" width="9.140625" style="117"/>
    <col min="7169" max="7169" width="26.28515625" style="117" customWidth="1"/>
    <col min="7170" max="7200" width="9.140625" style="117"/>
    <col min="7201" max="7201" width="36.5703125" style="117" customWidth="1"/>
    <col min="7202" max="7424" width="9.140625" style="117"/>
    <col min="7425" max="7425" width="26.28515625" style="117" customWidth="1"/>
    <col min="7426" max="7456" width="9.140625" style="117"/>
    <col min="7457" max="7457" width="36.5703125" style="117" customWidth="1"/>
    <col min="7458" max="7680" width="9.140625" style="117"/>
    <col min="7681" max="7681" width="26.28515625" style="117" customWidth="1"/>
    <col min="7682" max="7712" width="9.140625" style="117"/>
    <col min="7713" max="7713" width="36.5703125" style="117" customWidth="1"/>
    <col min="7714" max="7936" width="9.140625" style="117"/>
    <col min="7937" max="7937" width="26.28515625" style="117" customWidth="1"/>
    <col min="7938" max="7968" width="9.140625" style="117"/>
    <col min="7969" max="7969" width="36.5703125" style="117" customWidth="1"/>
    <col min="7970" max="8192" width="9.140625" style="117"/>
    <col min="8193" max="8193" width="26.28515625" style="117" customWidth="1"/>
    <col min="8194" max="8224" width="9.140625" style="117"/>
    <col min="8225" max="8225" width="36.5703125" style="117" customWidth="1"/>
    <col min="8226" max="8448" width="9.140625" style="117"/>
    <col min="8449" max="8449" width="26.28515625" style="117" customWidth="1"/>
    <col min="8450" max="8480" width="9.140625" style="117"/>
    <col min="8481" max="8481" width="36.5703125" style="117" customWidth="1"/>
    <col min="8482" max="8704" width="9.140625" style="117"/>
    <col min="8705" max="8705" width="26.28515625" style="117" customWidth="1"/>
    <col min="8706" max="8736" width="9.140625" style="117"/>
    <col min="8737" max="8737" width="36.5703125" style="117" customWidth="1"/>
    <col min="8738" max="8960" width="9.140625" style="117"/>
    <col min="8961" max="8961" width="26.28515625" style="117" customWidth="1"/>
    <col min="8962" max="8992" width="9.140625" style="117"/>
    <col min="8993" max="8993" width="36.5703125" style="117" customWidth="1"/>
    <col min="8994" max="9216" width="9.140625" style="117"/>
    <col min="9217" max="9217" width="26.28515625" style="117" customWidth="1"/>
    <col min="9218" max="9248" width="9.140625" style="117"/>
    <col min="9249" max="9249" width="36.5703125" style="117" customWidth="1"/>
    <col min="9250" max="9472" width="9.140625" style="117"/>
    <col min="9473" max="9473" width="26.28515625" style="117" customWidth="1"/>
    <col min="9474" max="9504" width="9.140625" style="117"/>
    <col min="9505" max="9505" width="36.5703125" style="117" customWidth="1"/>
    <col min="9506" max="9728" width="9.140625" style="117"/>
    <col min="9729" max="9729" width="26.28515625" style="117" customWidth="1"/>
    <col min="9730" max="9760" width="9.140625" style="117"/>
    <col min="9761" max="9761" width="36.5703125" style="117" customWidth="1"/>
    <col min="9762" max="9984" width="9.140625" style="117"/>
    <col min="9985" max="9985" width="26.28515625" style="117" customWidth="1"/>
    <col min="9986" max="10016" width="9.140625" style="117"/>
    <col min="10017" max="10017" width="36.5703125" style="117" customWidth="1"/>
    <col min="10018" max="10240" width="9.140625" style="117"/>
    <col min="10241" max="10241" width="26.28515625" style="117" customWidth="1"/>
    <col min="10242" max="10272" width="9.140625" style="117"/>
    <col min="10273" max="10273" width="36.5703125" style="117" customWidth="1"/>
    <col min="10274" max="10496" width="9.140625" style="117"/>
    <col min="10497" max="10497" width="26.28515625" style="117" customWidth="1"/>
    <col min="10498" max="10528" width="9.140625" style="117"/>
    <col min="10529" max="10529" width="36.5703125" style="117" customWidth="1"/>
    <col min="10530" max="10752" width="9.140625" style="117"/>
    <col min="10753" max="10753" width="26.28515625" style="117" customWidth="1"/>
    <col min="10754" max="10784" width="9.140625" style="117"/>
    <col min="10785" max="10785" width="36.5703125" style="117" customWidth="1"/>
    <col min="10786" max="11008" width="9.140625" style="117"/>
    <col min="11009" max="11009" width="26.28515625" style="117" customWidth="1"/>
    <col min="11010" max="11040" width="9.140625" style="117"/>
    <col min="11041" max="11041" width="36.5703125" style="117" customWidth="1"/>
    <col min="11042" max="11264" width="9.140625" style="117"/>
    <col min="11265" max="11265" width="26.28515625" style="117" customWidth="1"/>
    <col min="11266" max="11296" width="9.140625" style="117"/>
    <col min="11297" max="11297" width="36.5703125" style="117" customWidth="1"/>
    <col min="11298" max="11520" width="9.140625" style="117"/>
    <col min="11521" max="11521" width="26.28515625" style="117" customWidth="1"/>
    <col min="11522" max="11552" width="9.140625" style="117"/>
    <col min="11553" max="11553" width="36.5703125" style="117" customWidth="1"/>
    <col min="11554" max="11776" width="9.140625" style="117"/>
    <col min="11777" max="11777" width="26.28515625" style="117" customWidth="1"/>
    <col min="11778" max="11808" width="9.140625" style="117"/>
    <col min="11809" max="11809" width="36.5703125" style="117" customWidth="1"/>
    <col min="11810" max="12032" width="9.140625" style="117"/>
    <col min="12033" max="12033" width="26.28515625" style="117" customWidth="1"/>
    <col min="12034" max="12064" width="9.140625" style="117"/>
    <col min="12065" max="12065" width="36.5703125" style="117" customWidth="1"/>
    <col min="12066" max="12288" width="9.140625" style="117"/>
    <col min="12289" max="12289" width="26.28515625" style="117" customWidth="1"/>
    <col min="12290" max="12320" width="9.140625" style="117"/>
    <col min="12321" max="12321" width="36.5703125" style="117" customWidth="1"/>
    <col min="12322" max="12544" width="9.140625" style="117"/>
    <col min="12545" max="12545" width="26.28515625" style="117" customWidth="1"/>
    <col min="12546" max="12576" width="9.140625" style="117"/>
    <col min="12577" max="12577" width="36.5703125" style="117" customWidth="1"/>
    <col min="12578" max="12800" width="9.140625" style="117"/>
    <col min="12801" max="12801" width="26.28515625" style="117" customWidth="1"/>
    <col min="12802" max="12832" width="9.140625" style="117"/>
    <col min="12833" max="12833" width="36.5703125" style="117" customWidth="1"/>
    <col min="12834" max="13056" width="9.140625" style="117"/>
    <col min="13057" max="13057" width="26.28515625" style="117" customWidth="1"/>
    <col min="13058" max="13088" width="9.140625" style="117"/>
    <col min="13089" max="13089" width="36.5703125" style="117" customWidth="1"/>
    <col min="13090" max="13312" width="9.140625" style="117"/>
    <col min="13313" max="13313" width="26.28515625" style="117" customWidth="1"/>
    <col min="13314" max="13344" width="9.140625" style="117"/>
    <col min="13345" max="13345" width="36.5703125" style="117" customWidth="1"/>
    <col min="13346" max="13568" width="9.140625" style="117"/>
    <col min="13569" max="13569" width="26.28515625" style="117" customWidth="1"/>
    <col min="13570" max="13600" width="9.140625" style="117"/>
    <col min="13601" max="13601" width="36.5703125" style="117" customWidth="1"/>
    <col min="13602" max="13824" width="9.140625" style="117"/>
    <col min="13825" max="13825" width="26.28515625" style="117" customWidth="1"/>
    <col min="13826" max="13856" width="9.140625" style="117"/>
    <col min="13857" max="13857" width="36.5703125" style="117" customWidth="1"/>
    <col min="13858" max="14080" width="9.140625" style="117"/>
    <col min="14081" max="14081" width="26.28515625" style="117" customWidth="1"/>
    <col min="14082" max="14112" width="9.140625" style="117"/>
    <col min="14113" max="14113" width="36.5703125" style="117" customWidth="1"/>
    <col min="14114" max="14336" width="9.140625" style="117"/>
    <col min="14337" max="14337" width="26.28515625" style="117" customWidth="1"/>
    <col min="14338" max="14368" width="9.140625" style="117"/>
    <col min="14369" max="14369" width="36.5703125" style="117" customWidth="1"/>
    <col min="14370" max="14592" width="9.140625" style="117"/>
    <col min="14593" max="14593" width="26.28515625" style="117" customWidth="1"/>
    <col min="14594" max="14624" width="9.140625" style="117"/>
    <col min="14625" max="14625" width="36.5703125" style="117" customWidth="1"/>
    <col min="14626" max="14848" width="9.140625" style="117"/>
    <col min="14849" max="14849" width="26.28515625" style="117" customWidth="1"/>
    <col min="14850" max="14880" width="9.140625" style="117"/>
    <col min="14881" max="14881" width="36.5703125" style="117" customWidth="1"/>
    <col min="14882" max="15104" width="9.140625" style="117"/>
    <col min="15105" max="15105" width="26.28515625" style="117" customWidth="1"/>
    <col min="15106" max="15136" width="9.140625" style="117"/>
    <col min="15137" max="15137" width="36.5703125" style="117" customWidth="1"/>
    <col min="15138" max="15360" width="9.140625" style="117"/>
    <col min="15361" max="15361" width="26.28515625" style="117" customWidth="1"/>
    <col min="15362" max="15392" width="9.140625" style="117"/>
    <col min="15393" max="15393" width="36.5703125" style="117" customWidth="1"/>
    <col min="15394" max="15616" width="9.140625" style="117"/>
    <col min="15617" max="15617" width="26.28515625" style="117" customWidth="1"/>
    <col min="15618" max="15648" width="9.140625" style="117"/>
    <col min="15649" max="15649" width="36.5703125" style="117" customWidth="1"/>
    <col min="15650" max="15872" width="9.140625" style="117"/>
    <col min="15873" max="15873" width="26.28515625" style="117" customWidth="1"/>
    <col min="15874" max="15904" width="9.140625" style="117"/>
    <col min="15905" max="15905" width="36.5703125" style="117" customWidth="1"/>
    <col min="15906" max="16128" width="9.140625" style="117"/>
    <col min="16129" max="16129" width="26.28515625" style="117" customWidth="1"/>
    <col min="16130" max="16160" width="9.140625" style="117"/>
    <col min="16161" max="16161" width="36.5703125" style="117" customWidth="1"/>
    <col min="16162" max="16384" width="9.140625" style="117"/>
  </cols>
  <sheetData>
    <row r="3" spans="1:45">
      <c r="A3" s="117" t="s">
        <v>259</v>
      </c>
      <c r="B3" s="118" t="s">
        <v>260</v>
      </c>
    </row>
    <row r="5" spans="1:45">
      <c r="B5" s="119"/>
      <c r="C5" s="119"/>
      <c r="D5" s="120"/>
      <c r="E5" s="119"/>
      <c r="F5" s="119"/>
      <c r="G5" s="119"/>
      <c r="H5" s="121"/>
      <c r="I5" s="121"/>
      <c r="J5" s="121"/>
      <c r="K5" s="121"/>
      <c r="L5" s="121"/>
      <c r="M5" s="121"/>
      <c r="N5" s="121"/>
      <c r="O5" s="121"/>
      <c r="P5" s="121"/>
      <c r="Q5" s="121"/>
      <c r="R5" s="121"/>
      <c r="S5" s="121"/>
      <c r="T5" s="121"/>
      <c r="U5" s="121"/>
      <c r="V5" s="121"/>
      <c r="W5" s="121"/>
      <c r="X5" s="121"/>
      <c r="Y5" s="121"/>
      <c r="Z5" s="121"/>
      <c r="AA5" s="121"/>
      <c r="AB5" s="121"/>
      <c r="AC5" s="121"/>
    </row>
    <row r="6" spans="1:45">
      <c r="A6" s="121"/>
      <c r="B6" s="121" t="s">
        <v>261</v>
      </c>
      <c r="C6" s="121" t="s">
        <v>261</v>
      </c>
      <c r="D6" s="121" t="s">
        <v>261</v>
      </c>
      <c r="E6" s="121" t="s">
        <v>261</v>
      </c>
      <c r="F6" s="121" t="s">
        <v>261</v>
      </c>
      <c r="G6" s="121" t="s">
        <v>261</v>
      </c>
      <c r="H6" s="121" t="s">
        <v>261</v>
      </c>
      <c r="I6" s="121" t="s">
        <v>261</v>
      </c>
      <c r="J6" s="121" t="s">
        <v>261</v>
      </c>
      <c r="K6" s="121"/>
      <c r="L6" s="121" t="s">
        <v>262</v>
      </c>
      <c r="M6" s="121" t="s">
        <v>262</v>
      </c>
      <c r="N6" s="121" t="s">
        <v>262</v>
      </c>
      <c r="O6" s="121" t="s">
        <v>262</v>
      </c>
      <c r="P6" s="121" t="s">
        <v>262</v>
      </c>
      <c r="Q6" s="121" t="s">
        <v>262</v>
      </c>
      <c r="R6" s="121" t="s">
        <v>262</v>
      </c>
      <c r="S6" s="121" t="s">
        <v>262</v>
      </c>
      <c r="T6" s="121" t="s">
        <v>262</v>
      </c>
      <c r="U6" s="121"/>
      <c r="V6" s="121" t="s">
        <v>262</v>
      </c>
      <c r="W6" s="121" t="s">
        <v>262</v>
      </c>
      <c r="X6" s="121" t="s">
        <v>262</v>
      </c>
      <c r="Y6" s="121" t="s">
        <v>262</v>
      </c>
      <c r="Z6" s="121" t="s">
        <v>262</v>
      </c>
      <c r="AA6" s="121" t="s">
        <v>262</v>
      </c>
      <c r="AB6" s="121" t="s">
        <v>262</v>
      </c>
      <c r="AC6" s="121" t="s">
        <v>262</v>
      </c>
    </row>
    <row r="7" spans="1:45">
      <c r="A7" s="121"/>
      <c r="B7" s="121" t="s">
        <v>263</v>
      </c>
      <c r="C7" s="121" t="s">
        <v>263</v>
      </c>
      <c r="D7" s="121" t="s">
        <v>263</v>
      </c>
      <c r="E7" s="121" t="s">
        <v>263</v>
      </c>
      <c r="F7" s="121" t="s">
        <v>263</v>
      </c>
      <c r="G7" s="121" t="s">
        <v>263</v>
      </c>
      <c r="H7" s="121" t="s">
        <v>263</v>
      </c>
      <c r="I7" s="121" t="s">
        <v>263</v>
      </c>
      <c r="J7" s="121" t="s">
        <v>263</v>
      </c>
      <c r="K7" s="121"/>
      <c r="L7" s="121" t="s">
        <v>263</v>
      </c>
      <c r="M7" s="121" t="s">
        <v>263</v>
      </c>
      <c r="N7" s="121" t="s">
        <v>263</v>
      </c>
      <c r="O7" s="121" t="s">
        <v>263</v>
      </c>
      <c r="P7" s="121" t="s">
        <v>263</v>
      </c>
      <c r="Q7" s="121" t="s">
        <v>263</v>
      </c>
      <c r="R7" s="121" t="s">
        <v>263</v>
      </c>
      <c r="S7" s="121" t="s">
        <v>263</v>
      </c>
      <c r="T7" s="121" t="s">
        <v>263</v>
      </c>
      <c r="U7" s="121"/>
      <c r="V7" s="121" t="s">
        <v>263</v>
      </c>
      <c r="W7" s="121" t="s">
        <v>263</v>
      </c>
      <c r="X7" s="121" t="s">
        <v>263</v>
      </c>
      <c r="Y7" s="121" t="s">
        <v>263</v>
      </c>
      <c r="Z7" s="121" t="s">
        <v>263</v>
      </c>
      <c r="AA7" s="121" t="s">
        <v>263</v>
      </c>
      <c r="AB7" s="121" t="s">
        <v>263</v>
      </c>
      <c r="AC7" s="121" t="s">
        <v>263</v>
      </c>
    </row>
    <row r="8" spans="1:45">
      <c r="A8" s="122">
        <v>1</v>
      </c>
      <c r="B8" s="122">
        <v>2</v>
      </c>
      <c r="C8" s="122">
        <v>3</v>
      </c>
      <c r="D8" s="122">
        <v>4</v>
      </c>
      <c r="E8" s="122">
        <v>5</v>
      </c>
      <c r="F8" s="122">
        <v>6</v>
      </c>
      <c r="G8" s="122">
        <v>7</v>
      </c>
      <c r="H8" s="122">
        <v>8</v>
      </c>
      <c r="I8" s="122">
        <v>9</v>
      </c>
      <c r="J8" s="122">
        <v>10</v>
      </c>
      <c r="K8" s="122">
        <v>11</v>
      </c>
      <c r="L8" s="122">
        <v>12</v>
      </c>
      <c r="M8" s="122">
        <v>13</v>
      </c>
      <c r="N8" s="122">
        <v>14</v>
      </c>
      <c r="O8" s="122">
        <v>15</v>
      </c>
      <c r="P8" s="122">
        <v>16</v>
      </c>
      <c r="Q8" s="122">
        <v>17</v>
      </c>
      <c r="R8" s="122">
        <v>18</v>
      </c>
      <c r="S8" s="122">
        <v>19</v>
      </c>
      <c r="T8" s="122">
        <v>20</v>
      </c>
      <c r="U8" s="122">
        <v>21</v>
      </c>
      <c r="V8" s="122">
        <v>22</v>
      </c>
      <c r="W8" s="122">
        <v>23</v>
      </c>
      <c r="X8" s="122">
        <v>24</v>
      </c>
      <c r="Y8" s="122">
        <v>25</v>
      </c>
      <c r="Z8" s="122">
        <v>26</v>
      </c>
      <c r="AA8" s="122">
        <v>27</v>
      </c>
      <c r="AB8" s="122">
        <v>28</v>
      </c>
      <c r="AC8" s="122">
        <v>29</v>
      </c>
      <c r="AD8" s="122">
        <v>30</v>
      </c>
      <c r="AE8" s="122">
        <v>31</v>
      </c>
      <c r="AF8" s="122">
        <v>32</v>
      </c>
      <c r="AG8" s="122">
        <v>33</v>
      </c>
      <c r="AH8" s="122">
        <v>34</v>
      </c>
      <c r="AI8" s="122">
        <v>35</v>
      </c>
      <c r="AJ8" s="122">
        <v>36</v>
      </c>
      <c r="AK8" s="122">
        <v>37</v>
      </c>
      <c r="AL8" s="122">
        <v>38</v>
      </c>
      <c r="AM8" s="122">
        <v>39</v>
      </c>
      <c r="AN8" s="122">
        <v>40</v>
      </c>
      <c r="AO8" s="122">
        <v>41</v>
      </c>
      <c r="AP8" s="122">
        <v>42</v>
      </c>
      <c r="AQ8" s="122">
        <v>43</v>
      </c>
      <c r="AR8" s="122">
        <v>44</v>
      </c>
      <c r="AS8" s="122">
        <v>45</v>
      </c>
    </row>
    <row r="9" spans="1:45">
      <c r="A9" s="121"/>
      <c r="B9" s="472" t="s">
        <v>264</v>
      </c>
      <c r="C9" s="472"/>
      <c r="D9" s="472"/>
      <c r="E9" s="472"/>
      <c r="F9" s="472"/>
      <c r="G9" s="472"/>
      <c r="H9" s="472"/>
      <c r="I9" s="472"/>
      <c r="J9" s="472"/>
      <c r="K9" s="121"/>
      <c r="L9" s="472" t="s">
        <v>265</v>
      </c>
      <c r="M9" s="473"/>
      <c r="N9" s="473"/>
      <c r="O9" s="473"/>
      <c r="P9" s="473"/>
      <c r="Q9" s="473"/>
      <c r="R9" s="473"/>
      <c r="S9" s="473"/>
      <c r="T9" s="473"/>
      <c r="U9" s="121"/>
      <c r="V9" s="472" t="s">
        <v>265</v>
      </c>
      <c r="W9" s="473"/>
      <c r="X9" s="473"/>
      <c r="Y9" s="473"/>
      <c r="Z9" s="473"/>
      <c r="AA9" s="473"/>
      <c r="AB9" s="473"/>
      <c r="AC9" s="473"/>
    </row>
    <row r="10" spans="1:45">
      <c r="B10" s="474" t="s">
        <v>266</v>
      </c>
      <c r="C10" s="474"/>
      <c r="D10" s="474"/>
      <c r="E10" s="474"/>
      <c r="F10" s="474" t="s">
        <v>267</v>
      </c>
      <c r="G10" s="474"/>
      <c r="H10" s="474"/>
      <c r="I10" s="474"/>
      <c r="J10" s="474"/>
      <c r="K10" s="121"/>
      <c r="L10" s="474" t="s">
        <v>266</v>
      </c>
      <c r="M10" s="474"/>
      <c r="N10" s="474"/>
      <c r="O10" s="474"/>
      <c r="P10" s="474" t="s">
        <v>267</v>
      </c>
      <c r="Q10" s="474"/>
      <c r="R10" s="474"/>
      <c r="S10" s="474"/>
      <c r="T10" s="474"/>
      <c r="U10" s="121"/>
      <c r="V10" s="474" t="s">
        <v>268</v>
      </c>
      <c r="W10" s="474"/>
      <c r="X10" s="474"/>
      <c r="Y10" s="474"/>
      <c r="Z10" s="474" t="s">
        <v>269</v>
      </c>
      <c r="AA10" s="474"/>
      <c r="AB10" s="474"/>
      <c r="AC10" s="474"/>
    </row>
    <row r="11" spans="1:45" ht="129.75">
      <c r="A11" s="123"/>
      <c r="B11" s="124" t="s">
        <v>270</v>
      </c>
      <c r="C11" s="124" t="s">
        <v>271</v>
      </c>
      <c r="D11" s="124" t="s">
        <v>272</v>
      </c>
      <c r="E11" s="125" t="s">
        <v>273</v>
      </c>
      <c r="F11" s="124" t="s">
        <v>274</v>
      </c>
      <c r="G11" s="124" t="s">
        <v>275</v>
      </c>
      <c r="H11" s="124" t="s">
        <v>276</v>
      </c>
      <c r="I11" s="125" t="s">
        <v>277</v>
      </c>
      <c r="J11" s="125" t="s">
        <v>278</v>
      </c>
      <c r="K11" s="123"/>
      <c r="L11" s="124" t="s">
        <v>270</v>
      </c>
      <c r="M11" s="124" t="s">
        <v>271</v>
      </c>
      <c r="N11" s="124" t="s">
        <v>272</v>
      </c>
      <c r="O11" s="125" t="s">
        <v>273</v>
      </c>
      <c r="P11" s="124" t="s">
        <v>274</v>
      </c>
      <c r="Q11" s="124" t="s">
        <v>275</v>
      </c>
      <c r="R11" s="124" t="s">
        <v>276</v>
      </c>
      <c r="S11" s="125" t="s">
        <v>277</v>
      </c>
      <c r="T11" s="125" t="s">
        <v>278</v>
      </c>
      <c r="U11" s="123"/>
      <c r="V11" s="125" t="s">
        <v>279</v>
      </c>
      <c r="W11" s="125" t="s">
        <v>280</v>
      </c>
      <c r="X11" s="125" t="s">
        <v>281</v>
      </c>
      <c r="Y11" s="125" t="s">
        <v>282</v>
      </c>
      <c r="Z11" s="125" t="s">
        <v>283</v>
      </c>
      <c r="AA11" s="125" t="s">
        <v>284</v>
      </c>
      <c r="AB11" s="125" t="s">
        <v>285</v>
      </c>
      <c r="AC11" s="125" t="s">
        <v>286</v>
      </c>
      <c r="AG11" s="126" t="s">
        <v>287</v>
      </c>
    </row>
    <row r="12" spans="1:45">
      <c r="A12" s="127" t="s">
        <v>288</v>
      </c>
      <c r="B12" s="128"/>
      <c r="C12" s="129"/>
      <c r="D12" s="129"/>
      <c r="E12" s="130"/>
      <c r="F12" s="128"/>
      <c r="G12" s="129"/>
      <c r="H12" s="129"/>
      <c r="I12" s="129"/>
      <c r="J12" s="130"/>
      <c r="K12" s="131"/>
      <c r="L12" s="128"/>
      <c r="M12" s="129"/>
      <c r="N12" s="129"/>
      <c r="O12" s="130"/>
      <c r="P12" s="128"/>
      <c r="Q12" s="129"/>
      <c r="R12" s="129"/>
      <c r="S12" s="129"/>
      <c r="T12" s="130"/>
      <c r="U12" s="131"/>
      <c r="V12" s="128"/>
      <c r="W12" s="129"/>
      <c r="X12" s="129"/>
      <c r="Y12" s="130"/>
      <c r="Z12" s="128"/>
      <c r="AA12" s="129"/>
      <c r="AB12" s="129"/>
      <c r="AC12" s="130"/>
      <c r="AG12" s="132" t="s">
        <v>289</v>
      </c>
    </row>
    <row r="13" spans="1:45">
      <c r="A13" s="133" t="s">
        <v>238</v>
      </c>
      <c r="B13" s="134">
        <v>1E-4</v>
      </c>
      <c r="C13" s="134">
        <v>1E-4</v>
      </c>
      <c r="D13" s="134">
        <v>1E-4</v>
      </c>
      <c r="E13" s="134">
        <v>1E-4</v>
      </c>
      <c r="F13" s="135">
        <v>0.186</v>
      </c>
      <c r="G13" s="136">
        <v>0.14000000000000001</v>
      </c>
      <c r="H13" s="136">
        <v>0.14000000000000001</v>
      </c>
      <c r="I13" s="136">
        <v>0.23300000000000001</v>
      </c>
      <c r="J13" s="137">
        <v>0.23300000000000001</v>
      </c>
      <c r="K13" s="138"/>
      <c r="L13" s="135">
        <v>2.3E-2</v>
      </c>
      <c r="M13" s="136">
        <v>2.3E-2</v>
      </c>
      <c r="N13" s="134">
        <v>1E-4</v>
      </c>
      <c r="O13" s="134">
        <v>1E-4</v>
      </c>
      <c r="P13" s="135">
        <v>0.186</v>
      </c>
      <c r="Q13" s="136">
        <v>0.186</v>
      </c>
      <c r="R13" s="136">
        <v>0.20899999999999999</v>
      </c>
      <c r="S13" s="136">
        <v>0.27900000000000003</v>
      </c>
      <c r="T13" s="137">
        <v>0.23300000000000001</v>
      </c>
      <c r="U13" s="138"/>
      <c r="V13" s="135">
        <v>3.9855454545454552</v>
      </c>
      <c r="W13" s="136">
        <v>3.9976363636363641</v>
      </c>
      <c r="X13" s="136">
        <v>4.0216363636363637</v>
      </c>
      <c r="Y13" s="137">
        <v>3.9874545454545456</v>
      </c>
      <c r="Z13" s="135">
        <v>0.81399999999999995</v>
      </c>
      <c r="AA13" s="136">
        <v>0.81399999999999995</v>
      </c>
      <c r="AB13" s="136">
        <v>0.79100000000000004</v>
      </c>
      <c r="AC13" s="137">
        <v>0.81399999999999995</v>
      </c>
      <c r="AG13" s="132" t="s">
        <v>290</v>
      </c>
    </row>
    <row r="14" spans="1:45">
      <c r="A14" s="133" t="s">
        <v>291</v>
      </c>
      <c r="B14" s="135">
        <v>0.151</v>
      </c>
      <c r="C14" s="136">
        <v>9.219999999999999E-2</v>
      </c>
      <c r="D14" s="136">
        <v>2.7999999999999997E-2</v>
      </c>
      <c r="E14" s="137">
        <v>5.1400000000000001E-2</v>
      </c>
      <c r="F14" s="135">
        <v>0.78040000000000009</v>
      </c>
      <c r="G14" s="136">
        <v>0.71760000000000002</v>
      </c>
      <c r="H14" s="136">
        <v>0.65900000000000003</v>
      </c>
      <c r="I14" s="136">
        <v>0.91659999999999997</v>
      </c>
      <c r="J14" s="137">
        <v>0.87599999999999989</v>
      </c>
      <c r="K14" s="138"/>
      <c r="L14" s="135">
        <v>0.28300000000000003</v>
      </c>
      <c r="M14" s="136">
        <v>0.15439999999999998</v>
      </c>
      <c r="N14" s="136">
        <v>3.4600000000000006E-2</v>
      </c>
      <c r="O14" s="137">
        <v>8.4199999999999997E-2</v>
      </c>
      <c r="P14" s="135">
        <v>1.3206000000000002</v>
      </c>
      <c r="Q14" s="136">
        <v>1.1876000000000002</v>
      </c>
      <c r="R14" s="136">
        <v>1.0666</v>
      </c>
      <c r="S14" s="136">
        <v>1.5596000000000001</v>
      </c>
      <c r="T14" s="137">
        <v>1.4650000000000001</v>
      </c>
      <c r="U14" s="138"/>
      <c r="V14" s="135">
        <v>3.59</v>
      </c>
      <c r="W14" s="136">
        <v>3.5342000000000002</v>
      </c>
      <c r="X14" s="136">
        <v>3.4180000000000001</v>
      </c>
      <c r="Y14" s="137">
        <v>3.7170000000000005</v>
      </c>
      <c r="Z14" s="135">
        <v>5.4096000000000002</v>
      </c>
      <c r="AA14" s="136">
        <v>5.2795999999999994</v>
      </c>
      <c r="AB14" s="136">
        <v>5.1583999999999994</v>
      </c>
      <c r="AC14" s="137">
        <v>5.5219999999999994</v>
      </c>
      <c r="AG14" s="132" t="s">
        <v>292</v>
      </c>
    </row>
    <row r="15" spans="1:45">
      <c r="A15" s="133" t="s">
        <v>250</v>
      </c>
      <c r="B15" s="135">
        <v>0.79900000000000004</v>
      </c>
      <c r="C15" s="136">
        <v>0.54</v>
      </c>
      <c r="D15" s="136">
        <v>0.2</v>
      </c>
      <c r="E15" s="137">
        <v>0.3</v>
      </c>
      <c r="F15" s="135">
        <v>0.85899999999999999</v>
      </c>
      <c r="G15" s="136">
        <v>0.56000000000000005</v>
      </c>
      <c r="H15" s="136">
        <v>0.26</v>
      </c>
      <c r="I15" s="136">
        <v>1.139</v>
      </c>
      <c r="J15" s="137">
        <v>0.89900000000000002</v>
      </c>
      <c r="K15" s="138"/>
      <c r="L15" s="135">
        <v>0.08</v>
      </c>
      <c r="M15" s="136">
        <v>0.06</v>
      </c>
      <c r="N15" s="136">
        <v>0.04</v>
      </c>
      <c r="O15" s="137">
        <v>-2.0625000000000001E-2</v>
      </c>
      <c r="P15" s="135">
        <v>1.2216666666666667</v>
      </c>
      <c r="Q15" s="136">
        <v>1.215888888888889</v>
      </c>
      <c r="R15" s="136">
        <v>1.2188888888888889</v>
      </c>
      <c r="S15" s="136">
        <v>1.3351249999999999</v>
      </c>
      <c r="T15" s="137">
        <v>1.3472499999999998</v>
      </c>
      <c r="U15" s="138"/>
      <c r="V15" s="135">
        <v>6.7350000000000003</v>
      </c>
      <c r="W15" s="136">
        <v>6.7149999999999999</v>
      </c>
      <c r="X15" s="136">
        <v>6.6950000000000003</v>
      </c>
      <c r="Y15" s="137">
        <v>6.7949999999999999</v>
      </c>
      <c r="Z15" s="135">
        <v>6.7949999999999999</v>
      </c>
      <c r="AA15" s="136">
        <v>6.915</v>
      </c>
      <c r="AB15" s="136">
        <v>7.0149999999999997</v>
      </c>
      <c r="AC15" s="137">
        <v>6.6550000000000002</v>
      </c>
      <c r="AG15" s="132" t="s">
        <v>293</v>
      </c>
    </row>
    <row r="16" spans="1:45">
      <c r="A16" s="133" t="s">
        <v>294</v>
      </c>
      <c r="B16" s="135">
        <v>0.1525</v>
      </c>
      <c r="C16" s="136">
        <v>9.4499999999999987E-2</v>
      </c>
      <c r="D16" s="136">
        <v>2.2999999999999996E-2</v>
      </c>
      <c r="E16" s="137">
        <v>5.5E-2</v>
      </c>
      <c r="F16" s="135">
        <v>1.2010000000000001</v>
      </c>
      <c r="G16" s="136">
        <v>1.1294999999999999</v>
      </c>
      <c r="H16" s="136">
        <v>1.0774999999999999</v>
      </c>
      <c r="I16" s="136">
        <v>1.3885000000000001</v>
      </c>
      <c r="J16" s="137">
        <v>1.3414999999999999</v>
      </c>
      <c r="K16" s="138"/>
      <c r="L16" s="135">
        <v>0.25700000000000001</v>
      </c>
      <c r="M16" s="136">
        <v>0.1225</v>
      </c>
      <c r="N16" s="136">
        <v>2.1499999999999998E-2</v>
      </c>
      <c r="O16" s="137">
        <v>7.2499999999999995E-2</v>
      </c>
      <c r="P16" s="135">
        <v>1.7350000000000001</v>
      </c>
      <c r="Q16" s="136">
        <v>1.605</v>
      </c>
      <c r="R16" s="136">
        <v>1.4875</v>
      </c>
      <c r="S16" s="136">
        <v>2.0209999999999999</v>
      </c>
      <c r="T16" s="137">
        <v>1.9369999999999998</v>
      </c>
      <c r="U16" s="138"/>
      <c r="V16" s="135">
        <v>4.7335000000000003</v>
      </c>
      <c r="W16" s="136">
        <v>4.6920000000000002</v>
      </c>
      <c r="X16" s="136">
        <v>4.59</v>
      </c>
      <c r="Y16" s="137">
        <v>4.8449999999999998</v>
      </c>
      <c r="Z16" s="135">
        <v>6.9104999999999999</v>
      </c>
      <c r="AA16" s="136">
        <v>6.7694999999999999</v>
      </c>
      <c r="AB16" s="136">
        <v>6.6609999999999996</v>
      </c>
      <c r="AC16" s="137">
        <v>7.0109999999999992</v>
      </c>
      <c r="AG16" s="132" t="s">
        <v>295</v>
      </c>
    </row>
    <row r="17" spans="1:33">
      <c r="A17" s="133" t="s">
        <v>296</v>
      </c>
      <c r="B17" s="135">
        <v>6.6666666666666638E-2</v>
      </c>
      <c r="C17" s="136">
        <v>5.2083333333333336E-2</v>
      </c>
      <c r="D17" s="136">
        <v>1.5833333333333338E-2</v>
      </c>
      <c r="E17" s="137">
        <v>2.6749999999999996E-2</v>
      </c>
      <c r="F17" s="135">
        <v>0.92425000000000002</v>
      </c>
      <c r="G17" s="136">
        <v>0.88766666666666649</v>
      </c>
      <c r="H17" s="136">
        <v>0.86966666666666659</v>
      </c>
      <c r="I17" s="136">
        <v>1.0988333333333333</v>
      </c>
      <c r="J17" s="137">
        <v>1.079</v>
      </c>
      <c r="K17" s="138"/>
      <c r="L17" s="135">
        <v>-1.2249999999999997E-2</v>
      </c>
      <c r="M17" s="136">
        <v>-1.2583333333333339E-2</v>
      </c>
      <c r="N17" s="136">
        <v>-8.0000000000000002E-3</v>
      </c>
      <c r="O17" s="137">
        <v>-2.0625000000000001E-2</v>
      </c>
      <c r="P17" s="135">
        <v>1.2216666666666667</v>
      </c>
      <c r="Q17" s="136">
        <v>1.2158888888888888</v>
      </c>
      <c r="R17" s="136">
        <v>1.2188888888888887</v>
      </c>
      <c r="S17" s="136">
        <v>1.3351249999999999</v>
      </c>
      <c r="T17" s="137">
        <v>1.3472499999999996</v>
      </c>
      <c r="U17" s="138"/>
      <c r="V17" s="135">
        <v>3.9855454545454547</v>
      </c>
      <c r="W17" s="136">
        <v>3.9976363636363641</v>
      </c>
      <c r="X17" s="136">
        <v>4.0216363636363637</v>
      </c>
      <c r="Y17" s="137">
        <v>3.9874545454545451</v>
      </c>
      <c r="Z17" s="135">
        <v>4.6520000000000001</v>
      </c>
      <c r="AA17" s="136">
        <v>4.6527500000000002</v>
      </c>
      <c r="AB17" s="136">
        <v>4.6639999999999997</v>
      </c>
      <c r="AC17" s="137">
        <v>4.6646666666666663</v>
      </c>
      <c r="AG17" s="132" t="s">
        <v>290</v>
      </c>
    </row>
    <row r="18" spans="1:33">
      <c r="A18" s="133" t="s">
        <v>297</v>
      </c>
      <c r="B18" s="135">
        <v>-0.11600000000000001</v>
      </c>
      <c r="C18" s="136">
        <v>-9.8000000000000004E-2</v>
      </c>
      <c r="D18" s="136">
        <v>-5.8000000000000003E-2</v>
      </c>
      <c r="E18" s="137">
        <v>-4.9000000000000002E-2</v>
      </c>
      <c r="F18" s="135">
        <v>1.1080000000000001</v>
      </c>
      <c r="G18" s="136">
        <v>1.111</v>
      </c>
      <c r="H18" s="136">
        <v>1.1839999999999999</v>
      </c>
      <c r="I18" s="136">
        <v>1.196</v>
      </c>
      <c r="J18" s="137">
        <v>1.2609999999999999</v>
      </c>
      <c r="K18" s="138"/>
      <c r="L18" s="135">
        <v>0.35499999999999998</v>
      </c>
      <c r="M18" s="136">
        <v>0.14099999999999999</v>
      </c>
      <c r="N18" s="134">
        <v>1E-4</v>
      </c>
      <c r="O18" s="137">
        <v>0.08</v>
      </c>
      <c r="P18" s="135">
        <v>2.5670000000000002</v>
      </c>
      <c r="Q18" s="136">
        <v>2.3679999999999999</v>
      </c>
      <c r="R18" s="136">
        <v>2.206</v>
      </c>
      <c r="S18" s="136">
        <v>2.992</v>
      </c>
      <c r="T18" s="137">
        <v>2.8849999999999998</v>
      </c>
      <c r="U18" s="138"/>
      <c r="V18" s="135">
        <v>7.0010000000000003</v>
      </c>
      <c r="W18" s="136">
        <v>6.9790000000000001</v>
      </c>
      <c r="X18" s="136">
        <v>6.8419999999999996</v>
      </c>
      <c r="Y18" s="137">
        <v>7.1509999999999998</v>
      </c>
      <c r="Z18" s="135">
        <v>10.039</v>
      </c>
      <c r="AA18" s="136">
        <v>9.8249999999999993</v>
      </c>
      <c r="AB18" s="136">
        <v>9.6839999999999993</v>
      </c>
      <c r="AC18" s="137">
        <v>10.151999999999999</v>
      </c>
      <c r="AG18" s="132" t="s">
        <v>298</v>
      </c>
    </row>
    <row r="19" spans="1:33">
      <c r="A19" s="133" t="s">
        <v>299</v>
      </c>
      <c r="B19" s="135">
        <v>6.6666666666666638E-2</v>
      </c>
      <c r="C19" s="136">
        <v>5.2083333333333336E-2</v>
      </c>
      <c r="D19" s="136">
        <v>1.5833333333333338E-2</v>
      </c>
      <c r="E19" s="137">
        <v>2.6749999999999996E-2</v>
      </c>
      <c r="F19" s="135">
        <v>0.92425000000000002</v>
      </c>
      <c r="G19" s="136">
        <v>0.88766666666666649</v>
      </c>
      <c r="H19" s="136">
        <v>0.86966666666666659</v>
      </c>
      <c r="I19" s="136">
        <v>1.0988333333333333</v>
      </c>
      <c r="J19" s="137">
        <v>1.079</v>
      </c>
      <c r="K19" s="138"/>
      <c r="L19" s="135">
        <v>-1.2249999999999997E-2</v>
      </c>
      <c r="M19" s="136">
        <v>-1.2583333333333339E-2</v>
      </c>
      <c r="N19" s="136">
        <v>-8.0000000000000002E-3</v>
      </c>
      <c r="O19" s="137">
        <v>-2.0625000000000001E-2</v>
      </c>
      <c r="P19" s="135">
        <v>1.2216666666666667</v>
      </c>
      <c r="Q19" s="136">
        <v>1.2158888888888888</v>
      </c>
      <c r="R19" s="136">
        <v>1.2188888888888887</v>
      </c>
      <c r="S19" s="136">
        <v>1.3351249999999999</v>
      </c>
      <c r="T19" s="137">
        <v>1.3472499999999996</v>
      </c>
      <c r="U19" s="138"/>
      <c r="V19" s="135">
        <v>3.9855454545454547</v>
      </c>
      <c r="W19" s="136">
        <v>3.9976363636363641</v>
      </c>
      <c r="X19" s="136">
        <v>4.0216363636363637</v>
      </c>
      <c r="Y19" s="137">
        <v>3.9874545454545451</v>
      </c>
      <c r="Z19" s="135">
        <v>4.6520000000000001</v>
      </c>
      <c r="AA19" s="136">
        <v>4.6527500000000002</v>
      </c>
      <c r="AB19" s="136">
        <v>4.6639999999999997</v>
      </c>
      <c r="AC19" s="137">
        <v>4.6646666666666663</v>
      </c>
      <c r="AG19" s="132" t="s">
        <v>300</v>
      </c>
    </row>
    <row r="20" spans="1:33">
      <c r="A20" s="133" t="s">
        <v>301</v>
      </c>
      <c r="B20" s="135">
        <v>6.6666666666666638E-2</v>
      </c>
      <c r="C20" s="136">
        <v>5.2083333333333336E-2</v>
      </c>
      <c r="D20" s="136">
        <v>1.5833333333333338E-2</v>
      </c>
      <c r="E20" s="137">
        <v>2.6749999999999996E-2</v>
      </c>
      <c r="F20" s="135">
        <v>0.92425000000000002</v>
      </c>
      <c r="G20" s="136">
        <v>0.88766666666666649</v>
      </c>
      <c r="H20" s="136">
        <v>0.86966666666666659</v>
      </c>
      <c r="I20" s="136">
        <v>1.0988333333333333</v>
      </c>
      <c r="J20" s="137">
        <v>1.079</v>
      </c>
      <c r="K20" s="138"/>
      <c r="L20" s="135">
        <v>-1.2249999999999997E-2</v>
      </c>
      <c r="M20" s="136">
        <v>-1.2583333333333339E-2</v>
      </c>
      <c r="N20" s="136">
        <v>-8.0000000000000002E-3</v>
      </c>
      <c r="O20" s="137">
        <v>-2.0625000000000001E-2</v>
      </c>
      <c r="P20" s="135">
        <v>1.2216666666666667</v>
      </c>
      <c r="Q20" s="136">
        <v>1.2158888888888888</v>
      </c>
      <c r="R20" s="136">
        <v>1.2188888888888887</v>
      </c>
      <c r="S20" s="136">
        <v>1.3351249999999999</v>
      </c>
      <c r="T20" s="137">
        <v>1.3472499999999996</v>
      </c>
      <c r="U20" s="138"/>
      <c r="V20" s="135">
        <v>3.9855454545454547</v>
      </c>
      <c r="W20" s="136">
        <v>3.9976363636363641</v>
      </c>
      <c r="X20" s="136">
        <v>4.0216363636363637</v>
      </c>
      <c r="Y20" s="137">
        <v>3.9874545454545451</v>
      </c>
      <c r="Z20" s="135">
        <v>4.6520000000000001</v>
      </c>
      <c r="AA20" s="136">
        <v>4.6527500000000002</v>
      </c>
      <c r="AB20" s="136">
        <v>4.6639999999999997</v>
      </c>
      <c r="AC20" s="137">
        <v>4.6646666666666663</v>
      </c>
      <c r="AG20" s="132" t="s">
        <v>302</v>
      </c>
    </row>
    <row r="21" spans="1:33" s="142" customFormat="1">
      <c r="A21" s="139" t="s">
        <v>303</v>
      </c>
      <c r="B21" s="140">
        <v>-0.11600000000000001</v>
      </c>
      <c r="C21" s="134">
        <v>-9.8000000000000004E-2</v>
      </c>
      <c r="D21" s="134">
        <v>-5.8000000000000003E-2</v>
      </c>
      <c r="E21" s="141">
        <v>-4.9000000000000002E-2</v>
      </c>
      <c r="F21" s="140">
        <v>1.1080000000000001</v>
      </c>
      <c r="G21" s="134">
        <v>1.111</v>
      </c>
      <c r="H21" s="134">
        <v>1.1839999999999999</v>
      </c>
      <c r="I21" s="134">
        <v>1.196</v>
      </c>
      <c r="J21" s="141">
        <v>1.2609999999999999</v>
      </c>
      <c r="K21" s="134"/>
      <c r="L21" s="140">
        <v>0.35499999999999998</v>
      </c>
      <c r="M21" s="134">
        <v>0.14099999999999999</v>
      </c>
      <c r="N21" s="134">
        <v>1E-4</v>
      </c>
      <c r="O21" s="141">
        <v>0.08</v>
      </c>
      <c r="P21" s="140">
        <v>2.5670000000000002</v>
      </c>
      <c r="Q21" s="134">
        <v>2.3679999999999999</v>
      </c>
      <c r="R21" s="134">
        <v>2.206</v>
      </c>
      <c r="S21" s="134">
        <v>2.992</v>
      </c>
      <c r="T21" s="141">
        <v>2.8849999999999998</v>
      </c>
      <c r="U21" s="134"/>
      <c r="V21" s="140">
        <v>7.0010000000000003</v>
      </c>
      <c r="W21" s="134">
        <v>6.9790000000000001</v>
      </c>
      <c r="X21" s="134">
        <v>6.8419999999999996</v>
      </c>
      <c r="Y21" s="141">
        <v>7.1509999999999998</v>
      </c>
      <c r="Z21" s="140">
        <v>10.039</v>
      </c>
      <c r="AA21" s="134">
        <v>9.8249999999999993</v>
      </c>
      <c r="AB21" s="134">
        <v>9.6839999999999993</v>
      </c>
      <c r="AC21" s="141">
        <v>10.151999999999999</v>
      </c>
      <c r="AG21" s="132" t="s">
        <v>290</v>
      </c>
    </row>
    <row r="22" spans="1:33">
      <c r="A22" s="133" t="s">
        <v>304</v>
      </c>
      <c r="B22" s="135">
        <v>-0.316</v>
      </c>
      <c r="C22" s="136">
        <v>-0.158</v>
      </c>
      <c r="D22" s="136">
        <v>-7.9000000000000001E-2</v>
      </c>
      <c r="E22" s="137">
        <v>-7.9000000000000001E-2</v>
      </c>
      <c r="F22" s="135">
        <v>1.7370000000000001</v>
      </c>
      <c r="G22" s="136">
        <v>1.8160000000000001</v>
      </c>
      <c r="H22" s="136">
        <v>1.974</v>
      </c>
      <c r="I22" s="136">
        <v>1.8160000000000001</v>
      </c>
      <c r="J22" s="137">
        <v>1.974</v>
      </c>
      <c r="K22" s="138"/>
      <c r="L22" s="135">
        <v>-0.35499999999999998</v>
      </c>
      <c r="M22" s="136">
        <v>-0.19700000000000001</v>
      </c>
      <c r="N22" s="136">
        <v>-7.9000000000000001E-2</v>
      </c>
      <c r="O22" s="137">
        <v>-7.9000000000000001E-2</v>
      </c>
      <c r="P22" s="135">
        <v>1.974</v>
      </c>
      <c r="Q22" s="136">
        <v>2.0529999999999999</v>
      </c>
      <c r="R22" s="136">
        <v>2.2109999999999999</v>
      </c>
      <c r="S22" s="136">
        <v>2.0529999999999999</v>
      </c>
      <c r="T22" s="137">
        <v>2.2109999999999999</v>
      </c>
      <c r="U22" s="138"/>
      <c r="V22" s="135">
        <v>5.0940000000000003</v>
      </c>
      <c r="W22" s="136">
        <v>5.2119999999999997</v>
      </c>
      <c r="X22" s="136">
        <v>5.3310000000000004</v>
      </c>
      <c r="Y22" s="137">
        <v>4.9359999999999999</v>
      </c>
      <c r="Z22" s="135">
        <v>5.8049999999999997</v>
      </c>
      <c r="AA22" s="136">
        <v>5.923</v>
      </c>
      <c r="AB22" s="136">
        <v>6.0419999999999998</v>
      </c>
      <c r="AC22" s="137">
        <v>5.6470000000000002</v>
      </c>
      <c r="AG22" s="132" t="s">
        <v>298</v>
      </c>
    </row>
    <row r="23" spans="1:33">
      <c r="A23" s="133" t="s">
        <v>305</v>
      </c>
      <c r="B23" s="135">
        <v>6.5000000000000002E-2</v>
      </c>
      <c r="C23" s="136">
        <v>6.5000000000000002E-2</v>
      </c>
      <c r="D23" s="134">
        <v>1E-4</v>
      </c>
      <c r="E23" s="137">
        <v>3.3000000000000002E-2</v>
      </c>
      <c r="F23" s="135">
        <v>1.498</v>
      </c>
      <c r="G23" s="136">
        <v>1.4319999999999999</v>
      </c>
      <c r="H23" s="136">
        <v>1.4319999999999999</v>
      </c>
      <c r="I23" s="136">
        <v>1.6279999999999999</v>
      </c>
      <c r="J23" s="137">
        <v>1.53</v>
      </c>
      <c r="K23" s="138"/>
      <c r="L23" s="135">
        <v>3.3000000000000002E-2</v>
      </c>
      <c r="M23" s="136">
        <v>3.3000000000000002E-2</v>
      </c>
      <c r="N23" s="136">
        <v>1.6E-2</v>
      </c>
      <c r="O23" s="137">
        <v>-2.0625000000000001E-2</v>
      </c>
      <c r="P23" s="135">
        <v>1.302</v>
      </c>
      <c r="Q23" s="136">
        <v>1.302</v>
      </c>
      <c r="R23" s="136">
        <v>1.302</v>
      </c>
      <c r="S23" s="136">
        <v>1.3351249999999999</v>
      </c>
      <c r="T23" s="137">
        <v>1.3472499999999998</v>
      </c>
      <c r="U23" s="138"/>
      <c r="V23" s="135">
        <v>3.907</v>
      </c>
      <c r="W23" s="136">
        <v>3.8420000000000001</v>
      </c>
      <c r="X23" s="136">
        <v>3.8420000000000001</v>
      </c>
      <c r="Y23" s="137">
        <v>3.907</v>
      </c>
      <c r="Z23" s="135">
        <v>4.7859999999999996</v>
      </c>
      <c r="AA23" s="136">
        <v>4.7859999999999996</v>
      </c>
      <c r="AB23" s="136">
        <v>4.8179999999999996</v>
      </c>
      <c r="AC23" s="137">
        <v>5.1109999999999998</v>
      </c>
      <c r="AG23" s="132" t="s">
        <v>306</v>
      </c>
    </row>
    <row r="24" spans="1:33">
      <c r="A24" s="133" t="s">
        <v>307</v>
      </c>
      <c r="B24" s="135">
        <v>-0.34</v>
      </c>
      <c r="C24" s="136">
        <v>-0.20399999999999999</v>
      </c>
      <c r="D24" s="136">
        <v>-6.8000000000000005E-2</v>
      </c>
      <c r="E24" s="137">
        <v>-0.13600000000000001</v>
      </c>
      <c r="F24" s="135">
        <v>0.88400000000000001</v>
      </c>
      <c r="G24" s="136">
        <v>1.02</v>
      </c>
      <c r="H24" s="136">
        <v>1.1559999999999999</v>
      </c>
      <c r="I24" s="136">
        <v>0.88400000000000001</v>
      </c>
      <c r="J24" s="137">
        <v>1.02</v>
      </c>
      <c r="K24" s="138"/>
      <c r="L24" s="135">
        <v>-0.56100000000000005</v>
      </c>
      <c r="M24" s="136">
        <v>-0.39100000000000001</v>
      </c>
      <c r="N24" s="136">
        <v>-0.153</v>
      </c>
      <c r="O24" s="137">
        <v>-0.13600000000000001</v>
      </c>
      <c r="P24" s="135">
        <v>1.224</v>
      </c>
      <c r="Q24" s="136">
        <v>1.224</v>
      </c>
      <c r="R24" s="136">
        <v>1.4279999999999999</v>
      </c>
      <c r="S24" s="136">
        <v>1.1559999999999999</v>
      </c>
      <c r="T24" s="137">
        <v>1.292</v>
      </c>
      <c r="U24" s="138"/>
      <c r="V24" s="135">
        <v>2.7189999999999999</v>
      </c>
      <c r="W24" s="136">
        <v>2.923</v>
      </c>
      <c r="X24" s="136">
        <v>3.1949999999999998</v>
      </c>
      <c r="Y24" s="137">
        <v>2.4129999999999998</v>
      </c>
      <c r="Z24" s="135">
        <v>2.5150000000000001</v>
      </c>
      <c r="AA24" s="136">
        <v>2.6509999999999998</v>
      </c>
      <c r="AB24" s="136">
        <v>2.855</v>
      </c>
      <c r="AC24" s="137">
        <v>2.3109999999999999</v>
      </c>
      <c r="AG24" s="132" t="s">
        <v>308</v>
      </c>
    </row>
    <row r="25" spans="1:33">
      <c r="A25" s="133" t="s">
        <v>309</v>
      </c>
      <c r="B25" s="135">
        <v>0.217</v>
      </c>
      <c r="C25" s="136">
        <v>0.16300000000000001</v>
      </c>
      <c r="D25" s="136">
        <v>5.3999999999999999E-2</v>
      </c>
      <c r="E25" s="137">
        <v>7.1999999999999995E-2</v>
      </c>
      <c r="F25" s="135">
        <v>2.7490000000000001</v>
      </c>
      <c r="G25" s="136">
        <v>2.6589999999999998</v>
      </c>
      <c r="H25" s="136">
        <v>2.5680000000000001</v>
      </c>
      <c r="I25" s="136">
        <v>3.165</v>
      </c>
      <c r="J25" s="137">
        <v>3.0750000000000002</v>
      </c>
      <c r="K25" s="138"/>
      <c r="L25" s="135">
        <v>0.17499999999999999</v>
      </c>
      <c r="M25" s="136">
        <v>0.109</v>
      </c>
      <c r="N25" s="136">
        <v>0.03</v>
      </c>
      <c r="O25" s="137">
        <v>-2.0625000000000001E-2</v>
      </c>
      <c r="P25" s="135">
        <v>1.2216666666666667</v>
      </c>
      <c r="Q25" s="136">
        <v>1.215888888888889</v>
      </c>
      <c r="R25" s="136">
        <v>1.2188888888888889</v>
      </c>
      <c r="S25" s="136">
        <v>1.3351249999999999</v>
      </c>
      <c r="T25" s="137">
        <v>1.3472499999999998</v>
      </c>
      <c r="U25" s="138"/>
      <c r="V25" s="135">
        <v>7.1980000000000004</v>
      </c>
      <c r="W25" s="136">
        <v>7.09</v>
      </c>
      <c r="X25" s="136">
        <v>7.0359999999999996</v>
      </c>
      <c r="Y25" s="137">
        <v>7.2889999999999997</v>
      </c>
      <c r="Z25" s="135">
        <v>9.7669999999999995</v>
      </c>
      <c r="AA25" s="136">
        <v>9.6940000000000008</v>
      </c>
      <c r="AB25" s="136">
        <v>9.6219999999999999</v>
      </c>
      <c r="AC25" s="137">
        <v>9.8390000000000004</v>
      </c>
      <c r="AG25" s="132" t="s">
        <v>290</v>
      </c>
    </row>
    <row r="26" spans="1:33">
      <c r="A26" s="133" t="s">
        <v>310</v>
      </c>
      <c r="B26" s="135">
        <v>-0.21299999999999999</v>
      </c>
      <c r="C26" s="136">
        <v>-0.155</v>
      </c>
      <c r="D26" s="136">
        <v>-3.9E-2</v>
      </c>
      <c r="E26" s="137">
        <v>-7.6999999999999999E-2</v>
      </c>
      <c r="F26" s="135">
        <v>0.57999999999999996</v>
      </c>
      <c r="G26" s="136">
        <v>0.65700000000000003</v>
      </c>
      <c r="H26" s="136">
        <v>0.77300000000000002</v>
      </c>
      <c r="I26" s="136">
        <v>0.54100000000000004</v>
      </c>
      <c r="J26" s="137">
        <v>0.61799999999999999</v>
      </c>
      <c r="K26" s="138"/>
      <c r="L26" s="135">
        <v>-0.21299999999999999</v>
      </c>
      <c r="M26" s="136">
        <v>-0.11</v>
      </c>
      <c r="N26" s="136">
        <v>-5.8000000000000003E-2</v>
      </c>
      <c r="O26" s="137">
        <v>-7.6999999999999999E-2</v>
      </c>
      <c r="P26" s="135">
        <v>0.81200000000000006</v>
      </c>
      <c r="Q26" s="136">
        <v>0.92800000000000005</v>
      </c>
      <c r="R26" s="136">
        <v>0.79200000000000004</v>
      </c>
      <c r="S26" s="136">
        <v>0.79200000000000004</v>
      </c>
      <c r="T26" s="137">
        <v>0.90800000000000003</v>
      </c>
      <c r="U26" s="138"/>
      <c r="V26" s="135">
        <v>1.4690000000000001</v>
      </c>
      <c r="W26" s="136">
        <v>1.643</v>
      </c>
      <c r="X26" s="136">
        <v>1.7969999999999999</v>
      </c>
      <c r="Y26" s="137">
        <v>1.5649999999999999</v>
      </c>
      <c r="Z26" s="135">
        <v>1.9039999999999999</v>
      </c>
      <c r="AA26" s="136">
        <v>1.9710000000000001</v>
      </c>
      <c r="AB26" s="136">
        <v>1.9710000000000001</v>
      </c>
      <c r="AC26" s="137">
        <v>1.8360000000000001</v>
      </c>
      <c r="AG26" s="132" t="s">
        <v>298</v>
      </c>
    </row>
    <row r="27" spans="1:33">
      <c r="A27" s="133" t="s">
        <v>311</v>
      </c>
      <c r="B27" s="135">
        <v>0.42099999999999999</v>
      </c>
      <c r="C27" s="136">
        <v>0.28699999999999998</v>
      </c>
      <c r="D27" s="136">
        <v>0.104</v>
      </c>
      <c r="E27" s="137">
        <v>0.159</v>
      </c>
      <c r="F27" s="135">
        <v>1.294</v>
      </c>
      <c r="G27" s="136">
        <v>1.1479999999999999</v>
      </c>
      <c r="H27" s="136">
        <v>0.97099999999999997</v>
      </c>
      <c r="I27" s="136">
        <v>1.581</v>
      </c>
      <c r="J27" s="137">
        <v>1.4219999999999999</v>
      </c>
      <c r="K27" s="138"/>
      <c r="L27" s="135">
        <v>0.159</v>
      </c>
      <c r="M27" s="136">
        <v>0.104</v>
      </c>
      <c r="N27" s="136">
        <v>4.2999999999999997E-2</v>
      </c>
      <c r="O27" s="137">
        <v>6.5000000000000002E-2</v>
      </c>
      <c r="P27" s="135">
        <v>0.90300000000000002</v>
      </c>
      <c r="Q27" s="136">
        <v>0.84199999999999997</v>
      </c>
      <c r="R27" s="136">
        <v>0.76900000000000002</v>
      </c>
      <c r="S27" s="136">
        <v>1.05</v>
      </c>
      <c r="T27" s="137">
        <v>0.98899999999999999</v>
      </c>
      <c r="U27" s="138"/>
      <c r="V27" s="135">
        <v>2.4660000000000002</v>
      </c>
      <c r="W27" s="136">
        <v>2.4049999999999998</v>
      </c>
      <c r="X27" s="136">
        <v>2.3380000000000001</v>
      </c>
      <c r="Y27" s="137">
        <v>2.5390000000000001</v>
      </c>
      <c r="Z27" s="135">
        <v>3.782</v>
      </c>
      <c r="AA27" s="136">
        <v>3.714</v>
      </c>
      <c r="AB27" s="136">
        <v>3.6379999999999999</v>
      </c>
      <c r="AC27" s="137">
        <v>3.87</v>
      </c>
      <c r="AG27" s="132" t="s">
        <v>312</v>
      </c>
    </row>
    <row r="28" spans="1:33">
      <c r="A28" s="133" t="s">
        <v>313</v>
      </c>
      <c r="B28" s="135">
        <v>0.14149999999999999</v>
      </c>
      <c r="C28" s="136">
        <v>9.2499999999999999E-2</v>
      </c>
      <c r="D28" s="136">
        <v>3.7999999999999999E-2</v>
      </c>
      <c r="E28" s="137">
        <v>4.9000000000000002E-2</v>
      </c>
      <c r="F28" s="135">
        <v>9.8000000000000004E-2</v>
      </c>
      <c r="G28" s="136">
        <v>5.45E-2</v>
      </c>
      <c r="H28" s="136">
        <v>-1.0999999999999999E-2</v>
      </c>
      <c r="I28" s="136">
        <v>0.1525</v>
      </c>
      <c r="J28" s="137">
        <v>0.109</v>
      </c>
      <c r="K28" s="138"/>
      <c r="L28" s="135">
        <v>0.13650000000000001</v>
      </c>
      <c r="M28" s="136">
        <v>9.6500000000000002E-2</v>
      </c>
      <c r="N28" s="136">
        <v>3.2500000000000001E-2</v>
      </c>
      <c r="O28" s="137">
        <v>4.9000000000000002E-2</v>
      </c>
      <c r="P28" s="135">
        <v>0.14149999999999999</v>
      </c>
      <c r="Q28" s="136">
        <v>0.09</v>
      </c>
      <c r="R28" s="136">
        <v>3.7999999999999999E-2</v>
      </c>
      <c r="S28" s="136">
        <v>0.191</v>
      </c>
      <c r="T28" s="137">
        <v>0.14149999999999999</v>
      </c>
      <c r="U28" s="138"/>
      <c r="V28" s="135">
        <v>0.3705</v>
      </c>
      <c r="W28" s="136">
        <v>0.32700000000000001</v>
      </c>
      <c r="X28" s="136">
        <v>0.26700000000000002</v>
      </c>
      <c r="Y28" s="137">
        <v>0.436</v>
      </c>
      <c r="Z28" s="135">
        <v>0.79700000000000004</v>
      </c>
      <c r="AA28" s="136">
        <v>0.75849999999999995</v>
      </c>
      <c r="AB28" s="136">
        <v>0.69650000000000001</v>
      </c>
      <c r="AC28" s="137">
        <v>0.85899999999999999</v>
      </c>
      <c r="AG28" s="132"/>
    </row>
    <row r="29" spans="1:33">
      <c r="A29" s="133" t="s">
        <v>314</v>
      </c>
      <c r="B29" s="135">
        <v>0.14149999999999999</v>
      </c>
      <c r="C29" s="136">
        <v>9.2499999999999999E-2</v>
      </c>
      <c r="D29" s="136">
        <v>3.7999999999999999E-2</v>
      </c>
      <c r="E29" s="137">
        <v>4.9000000000000002E-2</v>
      </c>
      <c r="F29" s="135">
        <v>9.8000000000000004E-2</v>
      </c>
      <c r="G29" s="136">
        <v>5.45E-2</v>
      </c>
      <c r="H29" s="136">
        <v>-1.0999999999999999E-2</v>
      </c>
      <c r="I29" s="136">
        <v>0.1525</v>
      </c>
      <c r="J29" s="137">
        <v>0.109</v>
      </c>
      <c r="K29" s="138"/>
      <c r="L29" s="135">
        <v>0.13650000000000001</v>
      </c>
      <c r="M29" s="136">
        <v>9.6500000000000002E-2</v>
      </c>
      <c r="N29" s="136">
        <v>3.2500000000000001E-2</v>
      </c>
      <c r="O29" s="137">
        <v>4.9000000000000002E-2</v>
      </c>
      <c r="P29" s="135">
        <v>0.14149999999999999</v>
      </c>
      <c r="Q29" s="136">
        <v>0.09</v>
      </c>
      <c r="R29" s="136">
        <v>3.7999999999999999E-2</v>
      </c>
      <c r="S29" s="136">
        <v>0.191</v>
      </c>
      <c r="T29" s="137">
        <v>0.14149999999999999</v>
      </c>
      <c r="U29" s="138"/>
      <c r="V29" s="135">
        <v>0.3705</v>
      </c>
      <c r="W29" s="136">
        <v>0.32700000000000001</v>
      </c>
      <c r="X29" s="136">
        <v>0.26700000000000002</v>
      </c>
      <c r="Y29" s="137">
        <v>0.436</v>
      </c>
      <c r="Z29" s="135">
        <v>0.79700000000000004</v>
      </c>
      <c r="AA29" s="136">
        <v>0.75849999999999995</v>
      </c>
      <c r="AB29" s="136">
        <v>0.69650000000000001</v>
      </c>
      <c r="AC29" s="137">
        <v>0.85899999999999999</v>
      </c>
      <c r="AG29" s="132"/>
    </row>
    <row r="30" spans="1:33">
      <c r="A30" s="133" t="s">
        <v>315</v>
      </c>
      <c r="B30" s="134">
        <v>1E-4</v>
      </c>
      <c r="C30" s="134">
        <v>1E-4</v>
      </c>
      <c r="D30" s="134">
        <v>1E-4</v>
      </c>
      <c r="E30" s="134">
        <v>1E-4</v>
      </c>
      <c r="F30" s="134">
        <v>1E-4</v>
      </c>
      <c r="G30" s="134">
        <v>1E-4</v>
      </c>
      <c r="H30" s="134">
        <v>1E-4</v>
      </c>
      <c r="I30" s="136">
        <v>0.69799999999999995</v>
      </c>
      <c r="J30" s="137">
        <v>0.69799999999999995</v>
      </c>
      <c r="K30" s="138"/>
      <c r="L30" s="134">
        <v>1E-4</v>
      </c>
      <c r="M30" s="134">
        <v>1E-4</v>
      </c>
      <c r="N30" s="134">
        <v>1E-4</v>
      </c>
      <c r="O30" s="137">
        <v>-2.0625000000000001E-2</v>
      </c>
      <c r="P30" s="135">
        <v>1.2216666666666667</v>
      </c>
      <c r="Q30" s="136">
        <v>1.215888888888889</v>
      </c>
      <c r="R30" s="136">
        <v>1.2188888888888889</v>
      </c>
      <c r="S30" s="136">
        <v>1.3351249999999999</v>
      </c>
      <c r="T30" s="137">
        <v>1.3472499999999998</v>
      </c>
      <c r="U30" s="138"/>
      <c r="V30" s="135">
        <v>0.69799999999999995</v>
      </c>
      <c r="W30" s="136">
        <v>0.69799999999999995</v>
      </c>
      <c r="X30" s="136">
        <v>0.69799999999999995</v>
      </c>
      <c r="Y30" s="137">
        <v>0.69799999999999995</v>
      </c>
      <c r="Z30" s="135">
        <v>1.744</v>
      </c>
      <c r="AA30" s="136">
        <v>1.744</v>
      </c>
      <c r="AB30" s="136">
        <v>1.744</v>
      </c>
      <c r="AC30" s="137">
        <v>1.744</v>
      </c>
      <c r="AG30" s="132" t="s">
        <v>316</v>
      </c>
    </row>
    <row r="31" spans="1:33">
      <c r="A31" s="133" t="s">
        <v>317</v>
      </c>
      <c r="B31" s="135">
        <v>0.42099999999999999</v>
      </c>
      <c r="C31" s="136">
        <v>0.28699999999999998</v>
      </c>
      <c r="D31" s="136">
        <v>0.104</v>
      </c>
      <c r="E31" s="137">
        <v>0.159</v>
      </c>
      <c r="F31" s="135">
        <v>1.294</v>
      </c>
      <c r="G31" s="136">
        <v>1.1479999999999999</v>
      </c>
      <c r="H31" s="136">
        <v>0.97099999999999997</v>
      </c>
      <c r="I31" s="136">
        <v>1.581</v>
      </c>
      <c r="J31" s="137">
        <v>1.4219999999999999</v>
      </c>
      <c r="K31" s="138"/>
      <c r="L31" s="135">
        <v>0.159</v>
      </c>
      <c r="M31" s="136">
        <v>0.104</v>
      </c>
      <c r="N31" s="136">
        <v>4.2999999999999997E-2</v>
      </c>
      <c r="O31" s="137">
        <v>6.5000000000000002E-2</v>
      </c>
      <c r="P31" s="135">
        <v>0.90300000000000002</v>
      </c>
      <c r="Q31" s="136">
        <v>0.84199999999999997</v>
      </c>
      <c r="R31" s="136">
        <v>0.76900000000000002</v>
      </c>
      <c r="S31" s="136">
        <v>1.05</v>
      </c>
      <c r="T31" s="137">
        <v>0.98899999999999999</v>
      </c>
      <c r="U31" s="138"/>
      <c r="V31" s="135">
        <v>2.4660000000000002</v>
      </c>
      <c r="W31" s="136">
        <v>2.4049999999999998</v>
      </c>
      <c r="X31" s="136">
        <v>2.3380000000000001</v>
      </c>
      <c r="Y31" s="137">
        <v>2.5390000000000001</v>
      </c>
      <c r="Z31" s="135">
        <v>3.782</v>
      </c>
      <c r="AA31" s="136">
        <v>3.714</v>
      </c>
      <c r="AB31" s="136">
        <v>3.6379999999999999</v>
      </c>
      <c r="AC31" s="137">
        <v>3.87</v>
      </c>
      <c r="AG31" s="132" t="s">
        <v>290</v>
      </c>
    </row>
    <row r="32" spans="1:33">
      <c r="A32" s="133" t="s">
        <v>258</v>
      </c>
      <c r="B32" s="134">
        <v>1E-4</v>
      </c>
      <c r="C32" s="134">
        <v>1E-4</v>
      </c>
      <c r="D32" s="134">
        <v>1E-4</v>
      </c>
      <c r="E32" s="134">
        <v>1E-4</v>
      </c>
      <c r="F32" s="134">
        <v>1E-4</v>
      </c>
      <c r="G32" s="134">
        <v>1E-4</v>
      </c>
      <c r="H32" s="134">
        <v>1E-4</v>
      </c>
      <c r="I32" s="134">
        <v>1E-4</v>
      </c>
      <c r="J32" s="134">
        <v>1E-4</v>
      </c>
      <c r="K32" s="138"/>
      <c r="L32" s="135">
        <v>-0.11600000000000001</v>
      </c>
      <c r="M32" s="136">
        <v>-0.11600000000000001</v>
      </c>
      <c r="N32" s="134">
        <v>1E-4</v>
      </c>
      <c r="O32" s="137">
        <v>-0.11600000000000001</v>
      </c>
      <c r="P32" s="135">
        <v>1.744</v>
      </c>
      <c r="Q32" s="136">
        <v>1.86</v>
      </c>
      <c r="R32" s="136">
        <v>1.9770000000000001</v>
      </c>
      <c r="S32" s="136">
        <v>1.9770000000000001</v>
      </c>
      <c r="T32" s="137">
        <v>1.9770000000000001</v>
      </c>
      <c r="U32" s="138"/>
      <c r="V32" s="135">
        <v>5.8129999999999997</v>
      </c>
      <c r="W32" s="136">
        <v>5.8129999999999997</v>
      </c>
      <c r="X32" s="136">
        <v>5.93</v>
      </c>
      <c r="Y32" s="137">
        <v>5.6970000000000001</v>
      </c>
      <c r="Z32" s="135">
        <v>6.2789999999999999</v>
      </c>
      <c r="AA32" s="136">
        <v>6.2789999999999999</v>
      </c>
      <c r="AB32" s="136">
        <v>6.3949999999999996</v>
      </c>
      <c r="AC32" s="137">
        <v>6.2789999999999999</v>
      </c>
      <c r="AG32" s="132" t="s">
        <v>318</v>
      </c>
    </row>
    <row r="33" spans="1:33">
      <c r="A33" s="133" t="s">
        <v>248</v>
      </c>
      <c r="B33" s="143">
        <v>6.6666666666666638E-2</v>
      </c>
      <c r="C33" s="144">
        <v>5.2083333333333336E-2</v>
      </c>
      <c r="D33" s="144">
        <v>1.5833333333333338E-2</v>
      </c>
      <c r="E33" s="145">
        <v>2.6749999999999996E-2</v>
      </c>
      <c r="F33" s="143">
        <v>0.92425000000000002</v>
      </c>
      <c r="G33" s="144">
        <v>0.88766666666666649</v>
      </c>
      <c r="H33" s="144">
        <v>0.86966666666666659</v>
      </c>
      <c r="I33" s="144">
        <v>1.0988333333333333</v>
      </c>
      <c r="J33" s="145">
        <v>1.079</v>
      </c>
      <c r="K33" s="138"/>
      <c r="L33" s="143">
        <v>-1.2249999999999997E-2</v>
      </c>
      <c r="M33" s="144">
        <v>-1.2583333333333339E-2</v>
      </c>
      <c r="N33" s="144">
        <v>-8.0000000000000002E-3</v>
      </c>
      <c r="O33" s="145">
        <v>-2.0625000000000001E-2</v>
      </c>
      <c r="P33" s="143">
        <v>1.2216666666666667</v>
      </c>
      <c r="Q33" s="144">
        <v>1.2158888888888888</v>
      </c>
      <c r="R33" s="144">
        <v>1.2188888888888887</v>
      </c>
      <c r="S33" s="144">
        <v>1.3351249999999999</v>
      </c>
      <c r="T33" s="145">
        <v>1.3472499999999996</v>
      </c>
      <c r="U33" s="138"/>
      <c r="V33" s="143">
        <v>3.9855454545454547</v>
      </c>
      <c r="W33" s="144">
        <v>3.9976363636363641</v>
      </c>
      <c r="X33" s="144">
        <v>4.0216363636363637</v>
      </c>
      <c r="Y33" s="145">
        <v>3.9874545454545451</v>
      </c>
      <c r="Z33" s="143">
        <v>4.6520000000000001</v>
      </c>
      <c r="AA33" s="144">
        <v>4.6527500000000002</v>
      </c>
      <c r="AB33" s="144">
        <v>4.6639999999999997</v>
      </c>
      <c r="AC33" s="145">
        <v>4.6646666666666663</v>
      </c>
      <c r="AG33" s="132" t="s">
        <v>319</v>
      </c>
    </row>
    <row r="34" spans="1:33">
      <c r="AG34" s="132" t="s">
        <v>320</v>
      </c>
    </row>
    <row r="35" spans="1:33">
      <c r="AG35" s="132" t="s">
        <v>290</v>
      </c>
    </row>
    <row r="36" spans="1:33" ht="81.75">
      <c r="A36" s="123"/>
      <c r="B36" s="125" t="s">
        <v>321</v>
      </c>
      <c r="C36" s="125" t="s">
        <v>322</v>
      </c>
      <c r="D36" s="125" t="s">
        <v>323</v>
      </c>
      <c r="E36" s="125" t="s">
        <v>273</v>
      </c>
      <c r="F36" s="125" t="s">
        <v>324</v>
      </c>
      <c r="G36" s="125" t="s">
        <v>325</v>
      </c>
      <c r="H36" s="125" t="s">
        <v>326</v>
      </c>
      <c r="I36" s="125" t="s">
        <v>277</v>
      </c>
      <c r="J36" s="125" t="s">
        <v>278</v>
      </c>
      <c r="K36" s="125"/>
      <c r="L36" s="125" t="s">
        <v>321</v>
      </c>
      <c r="M36" s="125" t="s">
        <v>322</v>
      </c>
      <c r="N36" s="125" t="s">
        <v>323</v>
      </c>
      <c r="O36" s="125" t="s">
        <v>273</v>
      </c>
      <c r="P36" s="125" t="s">
        <v>324</v>
      </c>
      <c r="Q36" s="125" t="s">
        <v>325</v>
      </c>
      <c r="R36" s="125" t="s">
        <v>326</v>
      </c>
      <c r="S36" s="125" t="s">
        <v>277</v>
      </c>
      <c r="T36" s="125" t="s">
        <v>278</v>
      </c>
      <c r="U36" s="146"/>
      <c r="V36" s="125" t="s">
        <v>279</v>
      </c>
      <c r="W36" s="125" t="s">
        <v>280</v>
      </c>
      <c r="X36" s="125" t="s">
        <v>281</v>
      </c>
      <c r="Y36" s="125" t="s">
        <v>282</v>
      </c>
      <c r="Z36" s="125" t="s">
        <v>283</v>
      </c>
      <c r="AA36" s="125" t="s">
        <v>284</v>
      </c>
      <c r="AB36" s="125" t="s">
        <v>285</v>
      </c>
      <c r="AC36" s="125" t="s">
        <v>286</v>
      </c>
      <c r="AG36" s="132" t="s">
        <v>318</v>
      </c>
    </row>
    <row r="37" spans="1:33">
      <c r="A37" s="147" t="s">
        <v>327</v>
      </c>
      <c r="B37" s="148"/>
      <c r="C37" s="149"/>
      <c r="D37" s="149"/>
      <c r="E37" s="150"/>
      <c r="F37" s="148"/>
      <c r="G37" s="149"/>
      <c r="H37" s="149"/>
      <c r="I37" s="149"/>
      <c r="J37" s="150"/>
      <c r="K37" s="151"/>
      <c r="L37" s="148"/>
      <c r="M37" s="149"/>
      <c r="N37" s="149"/>
      <c r="O37" s="150"/>
      <c r="P37" s="148"/>
      <c r="Q37" s="149"/>
      <c r="R37" s="149"/>
      <c r="S37" s="149"/>
      <c r="T37" s="150"/>
      <c r="U37" s="152"/>
      <c r="V37" s="148"/>
      <c r="W37" s="149"/>
      <c r="X37" s="149"/>
      <c r="Y37" s="150"/>
      <c r="Z37" s="148"/>
      <c r="AA37" s="149"/>
      <c r="AB37" s="149"/>
      <c r="AC37" s="150"/>
      <c r="AG37" s="132" t="s">
        <v>300</v>
      </c>
    </row>
    <row r="38" spans="1:33">
      <c r="A38" s="153" t="s">
        <v>238</v>
      </c>
      <c r="B38" s="154">
        <v>9.5000000000000001E-2</v>
      </c>
      <c r="C38" s="155">
        <v>6.2E-2</v>
      </c>
      <c r="D38" s="155">
        <v>2.4E-2</v>
      </c>
      <c r="E38" s="156">
        <v>0.03</v>
      </c>
      <c r="F38" s="154">
        <v>2.1000000000000001E-2</v>
      </c>
      <c r="G38" s="155">
        <v>-1.0999999999999999E-2</v>
      </c>
      <c r="H38" s="155">
        <v>-4.9000000000000002E-2</v>
      </c>
      <c r="I38" s="155">
        <v>5.0999999999999997E-2</v>
      </c>
      <c r="J38" s="156">
        <v>2.1000000000000001E-2</v>
      </c>
      <c r="K38" s="153"/>
      <c r="L38" s="154">
        <v>7.2999999999999995E-2</v>
      </c>
      <c r="M38" s="155">
        <v>4.8000000000000001E-2</v>
      </c>
      <c r="N38" s="155">
        <v>1.7000000000000001E-2</v>
      </c>
      <c r="O38" s="156">
        <v>2.1000000000000001E-2</v>
      </c>
      <c r="P38" s="154">
        <v>2.5000000000000001E-2</v>
      </c>
      <c r="Q38" s="155">
        <v>-2E-3</v>
      </c>
      <c r="R38" s="155">
        <v>-3.3000000000000002E-2</v>
      </c>
      <c r="S38" s="155">
        <v>4.5999999999999999E-2</v>
      </c>
      <c r="T38" s="156">
        <v>2.4E-2</v>
      </c>
      <c r="U38" s="152"/>
      <c r="V38" s="154">
        <v>0.38581818181818189</v>
      </c>
      <c r="W38" s="155">
        <v>0.33472727272727265</v>
      </c>
      <c r="X38" s="155">
        <v>0.27272727272727271</v>
      </c>
      <c r="Y38" s="156">
        <v>0.4514545454545455</v>
      </c>
      <c r="Z38" s="154">
        <v>0.14599999999999999</v>
      </c>
      <c r="AA38" s="155">
        <v>0.121</v>
      </c>
      <c r="AB38" s="155">
        <v>0.09</v>
      </c>
      <c r="AC38" s="156">
        <v>0.17699999999999999</v>
      </c>
      <c r="AG38" s="132" t="s">
        <v>328</v>
      </c>
    </row>
    <row r="39" spans="1:33">
      <c r="A39" s="153" t="s">
        <v>291</v>
      </c>
      <c r="B39" s="154">
        <v>0.17460000000000001</v>
      </c>
      <c r="C39" s="155">
        <v>0.1144</v>
      </c>
      <c r="D39" s="155">
        <v>4.1599999999999998E-2</v>
      </c>
      <c r="E39" s="156">
        <v>0.06</v>
      </c>
      <c r="F39" s="154">
        <v>0.15079999999999999</v>
      </c>
      <c r="G39" s="155">
        <v>8.9200000000000015E-2</v>
      </c>
      <c r="H39" s="155">
        <v>1.6600000000000004E-2</v>
      </c>
      <c r="I39" s="155">
        <v>0.22020000000000001</v>
      </c>
      <c r="J39" s="156">
        <v>0.16160000000000002</v>
      </c>
      <c r="K39" s="153"/>
      <c r="L39" s="154">
        <v>0.18380000000000002</v>
      </c>
      <c r="M39" s="155">
        <v>0.11960000000000001</v>
      </c>
      <c r="N39" s="155">
        <v>4.1200000000000001E-2</v>
      </c>
      <c r="O39" s="156">
        <v>6.4799999999999996E-2</v>
      </c>
      <c r="P39" s="154">
        <v>0.18440000000000001</v>
      </c>
      <c r="Q39" s="155">
        <v>0.11680000000000001</v>
      </c>
      <c r="R39" s="155">
        <v>3.9399999999999998E-2</v>
      </c>
      <c r="S39" s="155">
        <v>0.26460000000000006</v>
      </c>
      <c r="T39" s="156">
        <v>0.19840000000000002</v>
      </c>
      <c r="U39" s="152"/>
      <c r="V39" s="154">
        <v>0.64300000000000002</v>
      </c>
      <c r="W39" s="155">
        <v>0.57420000000000004</v>
      </c>
      <c r="X39" s="155">
        <v>0.48280000000000001</v>
      </c>
      <c r="Y39" s="156">
        <v>0.73760000000000003</v>
      </c>
      <c r="Z39" s="154">
        <v>1.2836000000000001</v>
      </c>
      <c r="AA39" s="155">
        <v>1.2085999999999999</v>
      </c>
      <c r="AB39" s="155">
        <v>1.1168</v>
      </c>
      <c r="AC39" s="156">
        <v>1.3763999999999998</v>
      </c>
      <c r="AG39" s="132" t="s">
        <v>290</v>
      </c>
    </row>
    <row r="40" spans="1:33">
      <c r="A40" s="153" t="s">
        <v>250</v>
      </c>
      <c r="B40" s="154">
        <v>0.10100000000000001</v>
      </c>
      <c r="C40" s="155">
        <v>6.6000000000000003E-2</v>
      </c>
      <c r="D40" s="155">
        <v>2.5000000000000001E-2</v>
      </c>
      <c r="E40" s="156">
        <v>3.5000000000000003E-2</v>
      </c>
      <c r="F40" s="154">
        <v>3.4000000000000002E-2</v>
      </c>
      <c r="G40" s="157">
        <v>1E-4</v>
      </c>
      <c r="H40" s="155">
        <v>-4.2000000000000003E-2</v>
      </c>
      <c r="I40" s="155">
        <v>7.0000000000000007E-2</v>
      </c>
      <c r="J40" s="156">
        <v>3.3000000000000002E-2</v>
      </c>
      <c r="K40" s="153"/>
      <c r="L40" s="154">
        <v>0.104</v>
      </c>
      <c r="M40" s="155">
        <v>6.9000000000000006E-2</v>
      </c>
      <c r="N40" s="155">
        <v>2.5000000000000001E-2</v>
      </c>
      <c r="O40" s="156">
        <v>5.1999999999999998E-2</v>
      </c>
      <c r="P40" s="154">
        <v>0.10211111111111111</v>
      </c>
      <c r="Q40" s="155">
        <v>5.2333333333333336E-2</v>
      </c>
      <c r="R40" s="155">
        <v>-3.555555555555557E-3</v>
      </c>
      <c r="S40" s="155">
        <v>0.16875000000000001</v>
      </c>
      <c r="T40" s="156">
        <v>0.11712500000000001</v>
      </c>
      <c r="U40" s="152"/>
      <c r="V40" s="154">
        <v>0.26900000000000002</v>
      </c>
      <c r="W40" s="155">
        <v>0.23300000000000001</v>
      </c>
      <c r="X40" s="155">
        <v>0.19</v>
      </c>
      <c r="Y40" s="156">
        <v>0.314</v>
      </c>
      <c r="Z40" s="154">
        <v>0.42399999999999999</v>
      </c>
      <c r="AA40" s="155">
        <v>0.39600000000000002</v>
      </c>
      <c r="AB40" s="155">
        <v>0.36299999999999999</v>
      </c>
      <c r="AC40" s="156">
        <v>0.45800000000000002</v>
      </c>
      <c r="AG40" s="132" t="s">
        <v>318</v>
      </c>
    </row>
    <row r="41" spans="1:33">
      <c r="A41" s="153" t="s">
        <v>294</v>
      </c>
      <c r="B41" s="154">
        <v>0.17099999999999999</v>
      </c>
      <c r="C41" s="155">
        <v>0.11199999999999999</v>
      </c>
      <c r="D41" s="155">
        <v>4.0499999999999994E-2</v>
      </c>
      <c r="E41" s="156">
        <v>5.8499999999999996E-2</v>
      </c>
      <c r="F41" s="154">
        <v>0.16949999999999998</v>
      </c>
      <c r="G41" s="155">
        <v>0.10850000000000001</v>
      </c>
      <c r="H41" s="155">
        <v>3.6500000000000005E-2</v>
      </c>
      <c r="I41" s="155">
        <v>0.24</v>
      </c>
      <c r="J41" s="156">
        <v>0.18099999999999999</v>
      </c>
      <c r="K41" s="153"/>
      <c r="L41" s="154">
        <v>0.191</v>
      </c>
      <c r="M41" s="155">
        <v>0.123</v>
      </c>
      <c r="N41" s="155">
        <v>4.1999999999999996E-2</v>
      </c>
      <c r="O41" s="156">
        <v>6.5500000000000003E-2</v>
      </c>
      <c r="P41" s="154">
        <v>0.216</v>
      </c>
      <c r="Q41" s="155">
        <v>0.14499999999999999</v>
      </c>
      <c r="R41" s="155">
        <v>6.4000000000000001E-2</v>
      </c>
      <c r="S41" s="155">
        <v>0.29800000000000004</v>
      </c>
      <c r="T41" s="156">
        <v>0.23100000000000001</v>
      </c>
      <c r="U41" s="152"/>
      <c r="V41" s="154">
        <v>0.69900000000000007</v>
      </c>
      <c r="W41" s="155">
        <v>0.63450000000000006</v>
      </c>
      <c r="X41" s="155">
        <v>0.54949999999999999</v>
      </c>
      <c r="Y41" s="156">
        <v>0.78549999999999998</v>
      </c>
      <c r="Z41" s="154">
        <v>1.39</v>
      </c>
      <c r="AA41" s="155">
        <v>1.3155000000000001</v>
      </c>
      <c r="AB41" s="155">
        <v>1.2269999999999999</v>
      </c>
      <c r="AC41" s="156">
        <v>1.4794999999999998</v>
      </c>
      <c r="AG41" s="132" t="s">
        <v>306</v>
      </c>
    </row>
    <row r="42" spans="1:33">
      <c r="A42" s="153" t="s">
        <v>296</v>
      </c>
      <c r="B42" s="154">
        <v>0.12341666666666666</v>
      </c>
      <c r="C42" s="155">
        <v>8.2000000000000003E-2</v>
      </c>
      <c r="D42" s="155">
        <v>3.0416666666666665E-2</v>
      </c>
      <c r="E42" s="156">
        <v>4.1083333333333333E-2</v>
      </c>
      <c r="F42" s="154">
        <v>8.1833333333333327E-2</v>
      </c>
      <c r="G42" s="155">
        <v>3.783333333333333E-2</v>
      </c>
      <c r="H42" s="155">
        <v>-1.4333333333333332E-2</v>
      </c>
      <c r="I42" s="155">
        <v>0.12858333333333333</v>
      </c>
      <c r="J42" s="156">
        <v>8.5500000000000007E-2</v>
      </c>
      <c r="K42" s="153"/>
      <c r="L42" s="154">
        <v>0.13016666666666665</v>
      </c>
      <c r="M42" s="155">
        <v>8.458333333333333E-2</v>
      </c>
      <c r="N42" s="155">
        <v>3.1416666666666662E-2</v>
      </c>
      <c r="O42" s="156">
        <v>5.2000000000000005E-2</v>
      </c>
      <c r="P42" s="154">
        <v>0.10211111111111111</v>
      </c>
      <c r="Q42" s="155">
        <v>5.2333333333333329E-2</v>
      </c>
      <c r="R42" s="155">
        <v>-3.5555555555555553E-3</v>
      </c>
      <c r="S42" s="155">
        <v>0.16875000000000001</v>
      </c>
      <c r="T42" s="156">
        <v>0.11712500000000001</v>
      </c>
      <c r="U42" s="152"/>
      <c r="V42" s="154">
        <v>0.38581818181818178</v>
      </c>
      <c r="W42" s="155">
        <v>0.33472727272727276</v>
      </c>
      <c r="X42" s="155">
        <v>0.27272727272727271</v>
      </c>
      <c r="Y42" s="156">
        <v>0.45145454545454539</v>
      </c>
      <c r="Z42" s="154">
        <v>0.73916666666666642</v>
      </c>
      <c r="AA42" s="155">
        <v>0.69083333333333341</v>
      </c>
      <c r="AB42" s="155">
        <v>0.63416666666666666</v>
      </c>
      <c r="AC42" s="156">
        <v>0.80016666666666647</v>
      </c>
      <c r="AG42" s="132" t="s">
        <v>329</v>
      </c>
    </row>
    <row r="43" spans="1:33">
      <c r="A43" s="153" t="s">
        <v>297</v>
      </c>
      <c r="B43" s="154">
        <v>0.16500000000000001</v>
      </c>
      <c r="C43" s="155">
        <v>0.106</v>
      </c>
      <c r="D43" s="155">
        <v>3.6999999999999998E-2</v>
      </c>
      <c r="E43" s="156">
        <v>5.7000000000000002E-2</v>
      </c>
      <c r="F43" s="154">
        <v>0.17899999999999999</v>
      </c>
      <c r="G43" s="155">
        <v>0.11700000000000001</v>
      </c>
      <c r="H43" s="155">
        <v>4.8000000000000001E-2</v>
      </c>
      <c r="I43" s="155">
        <v>0.249</v>
      </c>
      <c r="J43" s="156">
        <v>0.192</v>
      </c>
      <c r="K43" s="153"/>
      <c r="L43" s="154">
        <v>0.17100000000000001</v>
      </c>
      <c r="M43" s="155">
        <v>0.106</v>
      </c>
      <c r="N43" s="155">
        <v>3.2000000000000001E-2</v>
      </c>
      <c r="O43" s="156">
        <v>5.7000000000000002E-2</v>
      </c>
      <c r="P43" s="154">
        <v>0.184</v>
      </c>
      <c r="Q43" s="155">
        <v>0.114</v>
      </c>
      <c r="R43" s="155">
        <v>3.9E-2</v>
      </c>
      <c r="S43" s="155">
        <v>0.25700000000000001</v>
      </c>
      <c r="T43" s="156">
        <v>0.19600000000000001</v>
      </c>
      <c r="U43" s="152"/>
      <c r="V43" s="154">
        <v>0.61499999999999999</v>
      </c>
      <c r="W43" s="155">
        <v>0.56200000000000006</v>
      </c>
      <c r="X43" s="155">
        <v>0.48499999999999999</v>
      </c>
      <c r="Y43" s="156">
        <v>0.69299999999999995</v>
      </c>
      <c r="Z43" s="154">
        <v>1.212</v>
      </c>
      <c r="AA43" s="155">
        <v>1.1419999999999999</v>
      </c>
      <c r="AB43" s="155">
        <v>1.0620000000000001</v>
      </c>
      <c r="AC43" s="156">
        <v>1.2889999999999999</v>
      </c>
      <c r="AG43" s="132" t="s">
        <v>290</v>
      </c>
    </row>
    <row r="44" spans="1:33">
      <c r="A44" s="153" t="s">
        <v>299</v>
      </c>
      <c r="B44" s="154">
        <v>0.12341666666666666</v>
      </c>
      <c r="C44" s="155">
        <v>8.2000000000000003E-2</v>
      </c>
      <c r="D44" s="155">
        <v>3.0416666666666665E-2</v>
      </c>
      <c r="E44" s="156">
        <v>4.1083333333333333E-2</v>
      </c>
      <c r="F44" s="154">
        <v>8.1833333333333327E-2</v>
      </c>
      <c r="G44" s="155">
        <v>3.783333333333333E-2</v>
      </c>
      <c r="H44" s="155">
        <v>-1.4333333333333332E-2</v>
      </c>
      <c r="I44" s="155">
        <v>0.12858333333333333</v>
      </c>
      <c r="J44" s="156">
        <v>8.5500000000000007E-2</v>
      </c>
      <c r="K44" s="153"/>
      <c r="L44" s="154">
        <v>0.13016666666666665</v>
      </c>
      <c r="M44" s="155">
        <v>8.458333333333333E-2</v>
      </c>
      <c r="N44" s="155">
        <v>3.1416666666666662E-2</v>
      </c>
      <c r="O44" s="156">
        <v>5.2000000000000005E-2</v>
      </c>
      <c r="P44" s="154">
        <v>0.10211111111111111</v>
      </c>
      <c r="Q44" s="155">
        <v>5.2333333333333329E-2</v>
      </c>
      <c r="R44" s="155">
        <v>-3.5555555555555553E-3</v>
      </c>
      <c r="S44" s="155">
        <v>0.16875000000000001</v>
      </c>
      <c r="T44" s="156">
        <v>0.11712500000000001</v>
      </c>
      <c r="U44" s="152"/>
      <c r="V44" s="154">
        <v>0.38581818181818178</v>
      </c>
      <c r="W44" s="155">
        <v>0.33472727272727276</v>
      </c>
      <c r="X44" s="155">
        <v>0.27272727272727271</v>
      </c>
      <c r="Y44" s="156">
        <v>0.45145454545454539</v>
      </c>
      <c r="Z44" s="154">
        <v>0.73916666666666642</v>
      </c>
      <c r="AA44" s="155">
        <v>0.69083333333333341</v>
      </c>
      <c r="AB44" s="155">
        <v>0.63416666666666666</v>
      </c>
      <c r="AC44" s="156">
        <v>0.80016666666666647</v>
      </c>
      <c r="AG44" s="132" t="s">
        <v>318</v>
      </c>
    </row>
    <row r="45" spans="1:33">
      <c r="A45" s="153" t="s">
        <v>301</v>
      </c>
      <c r="B45" s="154">
        <v>0.12341666666666666</v>
      </c>
      <c r="C45" s="155">
        <v>8.2000000000000003E-2</v>
      </c>
      <c r="D45" s="155">
        <v>3.0416666666666665E-2</v>
      </c>
      <c r="E45" s="156">
        <v>4.1083333333333333E-2</v>
      </c>
      <c r="F45" s="154">
        <v>8.1833333333333327E-2</v>
      </c>
      <c r="G45" s="155">
        <v>3.783333333333333E-2</v>
      </c>
      <c r="H45" s="155">
        <v>-1.4333333333333332E-2</v>
      </c>
      <c r="I45" s="155">
        <v>0.12858333333333333</v>
      </c>
      <c r="J45" s="156">
        <v>8.5500000000000007E-2</v>
      </c>
      <c r="K45" s="153"/>
      <c r="L45" s="154">
        <v>0.13016666666666665</v>
      </c>
      <c r="M45" s="155">
        <v>8.458333333333333E-2</v>
      </c>
      <c r="N45" s="155">
        <v>3.1416666666666662E-2</v>
      </c>
      <c r="O45" s="156">
        <v>5.2000000000000005E-2</v>
      </c>
      <c r="P45" s="154">
        <v>0.10211111111111111</v>
      </c>
      <c r="Q45" s="155">
        <v>5.2333333333333329E-2</v>
      </c>
      <c r="R45" s="155">
        <v>-3.5555555555555553E-3</v>
      </c>
      <c r="S45" s="155">
        <v>0.16875000000000001</v>
      </c>
      <c r="T45" s="156">
        <v>0.11712500000000001</v>
      </c>
      <c r="U45" s="152"/>
      <c r="V45" s="154">
        <v>0.38581818181818178</v>
      </c>
      <c r="W45" s="155">
        <v>0.33472727272727276</v>
      </c>
      <c r="X45" s="155">
        <v>0.27272727272727271</v>
      </c>
      <c r="Y45" s="156">
        <v>0.45145454545454539</v>
      </c>
      <c r="Z45" s="154">
        <v>0.73916666666666642</v>
      </c>
      <c r="AA45" s="155">
        <v>0.69083333333333341</v>
      </c>
      <c r="AB45" s="155">
        <v>0.63416666666666666</v>
      </c>
      <c r="AC45" s="156">
        <v>0.80016666666666647</v>
      </c>
      <c r="AG45" s="132" t="s">
        <v>312</v>
      </c>
    </row>
    <row r="46" spans="1:33" s="142" customFormat="1">
      <c r="A46" s="158" t="s">
        <v>303</v>
      </c>
      <c r="B46" s="158">
        <v>0.16500000000000001</v>
      </c>
      <c r="C46" s="159">
        <v>0.106</v>
      </c>
      <c r="D46" s="159">
        <v>3.6999999999999998E-2</v>
      </c>
      <c r="E46" s="160">
        <v>5.7000000000000002E-2</v>
      </c>
      <c r="F46" s="158">
        <v>0.17899999999999999</v>
      </c>
      <c r="G46" s="159">
        <v>0.11700000000000001</v>
      </c>
      <c r="H46" s="159">
        <v>4.8000000000000001E-2</v>
      </c>
      <c r="I46" s="159">
        <v>0.249</v>
      </c>
      <c r="J46" s="160">
        <v>0.192</v>
      </c>
      <c r="K46" s="159"/>
      <c r="L46" s="158">
        <v>0.17100000000000001</v>
      </c>
      <c r="M46" s="159">
        <v>0.106</v>
      </c>
      <c r="N46" s="159">
        <v>3.2000000000000001E-2</v>
      </c>
      <c r="O46" s="160">
        <v>5.7000000000000002E-2</v>
      </c>
      <c r="P46" s="158">
        <v>0.184</v>
      </c>
      <c r="Q46" s="159">
        <v>0.114</v>
      </c>
      <c r="R46" s="159">
        <v>3.9E-2</v>
      </c>
      <c r="S46" s="159">
        <v>0.25700000000000001</v>
      </c>
      <c r="T46" s="160">
        <v>0.19600000000000001</v>
      </c>
      <c r="U46" s="161"/>
      <c r="V46" s="158">
        <v>0.61499999999999999</v>
      </c>
      <c r="W46" s="159">
        <v>0.56200000000000006</v>
      </c>
      <c r="X46" s="159">
        <v>0.48499999999999999</v>
      </c>
      <c r="Y46" s="160">
        <v>0.69299999999999995</v>
      </c>
      <c r="Z46" s="158">
        <v>1.212</v>
      </c>
      <c r="AA46" s="159">
        <v>1.1419999999999999</v>
      </c>
      <c r="AB46" s="159">
        <v>1.0620000000000001</v>
      </c>
      <c r="AC46" s="160">
        <v>1.2889999999999999</v>
      </c>
      <c r="AG46" s="132"/>
    </row>
    <row r="47" spans="1:33">
      <c r="A47" s="153" t="s">
        <v>304</v>
      </c>
      <c r="B47" s="154">
        <v>0.151</v>
      </c>
      <c r="C47" s="155">
        <v>0.1</v>
      </c>
      <c r="D47" s="155">
        <v>3.7999999999999999E-2</v>
      </c>
      <c r="E47" s="156">
        <v>5.0999999999999997E-2</v>
      </c>
      <c r="F47" s="154">
        <v>8.5999999999999993E-2</v>
      </c>
      <c r="G47" s="155">
        <v>3.2000000000000001E-2</v>
      </c>
      <c r="H47" s="155">
        <v>-0.03</v>
      </c>
      <c r="I47" s="155">
        <v>0.14299999999999999</v>
      </c>
      <c r="J47" s="156">
        <v>8.8999999999999996E-2</v>
      </c>
      <c r="K47" s="153"/>
      <c r="L47" s="154">
        <v>0.16600000000000001</v>
      </c>
      <c r="M47" s="155">
        <v>0.111</v>
      </c>
      <c r="N47" s="155">
        <v>4.2000000000000003E-2</v>
      </c>
      <c r="O47" s="156">
        <v>5.7000000000000002E-2</v>
      </c>
      <c r="P47" s="154">
        <v>0.108</v>
      </c>
      <c r="Q47" s="155">
        <v>4.9000000000000002E-2</v>
      </c>
      <c r="R47" s="155">
        <v>-2.1999999999999999E-2</v>
      </c>
      <c r="S47" s="155">
        <v>0.17</v>
      </c>
      <c r="T47" s="156">
        <v>0.111</v>
      </c>
      <c r="U47" s="152"/>
      <c r="V47" s="154">
        <v>0.34399999999999997</v>
      </c>
      <c r="W47" s="155">
        <v>0.28799999999999998</v>
      </c>
      <c r="X47" s="155">
        <v>0.218</v>
      </c>
      <c r="Y47" s="156">
        <v>0.41599999999999998</v>
      </c>
      <c r="Z47" s="154">
        <v>0.80100000000000005</v>
      </c>
      <c r="AA47" s="155">
        <v>0.74399999999999999</v>
      </c>
      <c r="AB47" s="155">
        <v>0.67500000000000004</v>
      </c>
      <c r="AC47" s="156">
        <v>0.872</v>
      </c>
      <c r="AG47" s="132" t="s">
        <v>330</v>
      </c>
    </row>
    <row r="48" spans="1:33">
      <c r="A48" s="153" t="s">
        <v>305</v>
      </c>
      <c r="B48" s="154">
        <v>0.107</v>
      </c>
      <c r="C48" s="155">
        <v>7.0000000000000007E-2</v>
      </c>
      <c r="D48" s="155">
        <v>2.7E-2</v>
      </c>
      <c r="E48" s="156">
        <v>3.3000000000000002E-2</v>
      </c>
      <c r="F48" s="154">
        <v>4.2000000000000003E-2</v>
      </c>
      <c r="G48" s="155">
        <v>7.0000000000000001E-3</v>
      </c>
      <c r="H48" s="155">
        <v>-3.7999999999999999E-2</v>
      </c>
      <c r="I48" s="155">
        <v>7.0000000000000007E-2</v>
      </c>
      <c r="J48" s="156">
        <v>3.6999999999999998E-2</v>
      </c>
      <c r="K48" s="153"/>
      <c r="L48" s="154">
        <v>0.09</v>
      </c>
      <c r="M48" s="155">
        <v>5.8999999999999997E-2</v>
      </c>
      <c r="N48" s="155">
        <v>2.1000000000000001E-2</v>
      </c>
      <c r="O48" s="156">
        <v>5.1999999999999998E-2</v>
      </c>
      <c r="P48" s="154">
        <v>3.1E-2</v>
      </c>
      <c r="Q48" s="155">
        <v>2E-3</v>
      </c>
      <c r="R48" s="155">
        <v>-3.3000000000000002E-2</v>
      </c>
      <c r="S48" s="155">
        <v>0.16875000000000001</v>
      </c>
      <c r="T48" s="156">
        <v>0.11712500000000001</v>
      </c>
      <c r="U48" s="152"/>
      <c r="V48" s="154">
        <v>0.14399999999999999</v>
      </c>
      <c r="W48" s="155">
        <v>0.111</v>
      </c>
      <c r="X48" s="155">
        <v>6.9000000000000006E-2</v>
      </c>
      <c r="Y48" s="156">
        <v>0.191</v>
      </c>
      <c r="Z48" s="154">
        <v>0.32700000000000001</v>
      </c>
      <c r="AA48" s="155">
        <v>0.29599999999999999</v>
      </c>
      <c r="AB48" s="155">
        <v>0.25800000000000001</v>
      </c>
      <c r="AC48" s="156">
        <v>0.36699999999999999</v>
      </c>
      <c r="AG48" s="162" t="s">
        <v>331</v>
      </c>
    </row>
    <row r="49" spans="1:29">
      <c r="A49" s="153" t="s">
        <v>307</v>
      </c>
      <c r="B49" s="154">
        <v>0.186</v>
      </c>
      <c r="C49" s="155">
        <v>0.123</v>
      </c>
      <c r="D49" s="155">
        <v>4.5999999999999999E-2</v>
      </c>
      <c r="E49" s="156">
        <v>6.5000000000000002E-2</v>
      </c>
      <c r="F49" s="154">
        <v>8.7999999999999995E-2</v>
      </c>
      <c r="G49" s="155">
        <v>2.3E-2</v>
      </c>
      <c r="H49" s="155">
        <v>-5.6000000000000001E-2</v>
      </c>
      <c r="I49" s="155">
        <v>0.153</v>
      </c>
      <c r="J49" s="156">
        <v>0.09</v>
      </c>
      <c r="K49" s="153"/>
      <c r="L49" s="154">
        <v>0.17399999999999999</v>
      </c>
      <c r="M49" s="155">
        <v>0.115</v>
      </c>
      <c r="N49" s="155">
        <v>4.2000000000000003E-2</v>
      </c>
      <c r="O49" s="156">
        <v>6.3E-2</v>
      </c>
      <c r="P49" s="154">
        <v>8.4000000000000005E-2</v>
      </c>
      <c r="Q49" s="155">
        <v>2.3E-2</v>
      </c>
      <c r="R49" s="155">
        <v>-5.0999999999999997E-2</v>
      </c>
      <c r="S49" s="155">
        <v>0.14599999999999999</v>
      </c>
      <c r="T49" s="156">
        <v>8.4000000000000005E-2</v>
      </c>
      <c r="U49" s="152"/>
      <c r="V49" s="154">
        <v>0.33400000000000002</v>
      </c>
      <c r="W49" s="155">
        <v>0.26900000000000002</v>
      </c>
      <c r="X49" s="155">
        <v>0.193</v>
      </c>
      <c r="Y49" s="156">
        <v>0.41299999999999998</v>
      </c>
      <c r="Z49" s="154">
        <v>0.78900000000000003</v>
      </c>
      <c r="AA49" s="155">
        <v>0.72299999999999998</v>
      </c>
      <c r="AB49" s="155">
        <v>0.64400000000000002</v>
      </c>
      <c r="AC49" s="156">
        <v>0.872</v>
      </c>
    </row>
    <row r="50" spans="1:29">
      <c r="A50" s="153" t="s">
        <v>309</v>
      </c>
      <c r="B50" s="154">
        <v>0.1</v>
      </c>
      <c r="C50" s="155">
        <v>6.7000000000000004E-2</v>
      </c>
      <c r="D50" s="155">
        <v>2.5000000000000001E-2</v>
      </c>
      <c r="E50" s="156">
        <v>3.3000000000000002E-2</v>
      </c>
      <c r="F50" s="154">
        <v>0.13600000000000001</v>
      </c>
      <c r="G50" s="155">
        <v>0.10199999999999999</v>
      </c>
      <c r="H50" s="155">
        <v>6.0999999999999999E-2</v>
      </c>
      <c r="I50" s="155">
        <v>0.18</v>
      </c>
      <c r="J50" s="156">
        <v>0.14699999999999999</v>
      </c>
      <c r="K50" s="153"/>
      <c r="L50" s="154">
        <v>0.105</v>
      </c>
      <c r="M50" s="155">
        <v>6.9000000000000006E-2</v>
      </c>
      <c r="N50" s="155">
        <v>2.5999999999999999E-2</v>
      </c>
      <c r="O50" s="156">
        <v>5.1999999999999998E-2</v>
      </c>
      <c r="P50" s="154">
        <v>0.10211111111111111</v>
      </c>
      <c r="Q50" s="155">
        <v>5.2333333333333336E-2</v>
      </c>
      <c r="R50" s="155">
        <v>-3.555555555555557E-3</v>
      </c>
      <c r="S50" s="155">
        <v>0.16875000000000001</v>
      </c>
      <c r="T50" s="156">
        <v>0.11712500000000001</v>
      </c>
      <c r="U50" s="152"/>
      <c r="V50" s="154">
        <v>0.57899999999999996</v>
      </c>
      <c r="W50" s="155">
        <v>0.53500000000000003</v>
      </c>
      <c r="X50" s="155">
        <v>0.48199999999999998</v>
      </c>
      <c r="Y50" s="156">
        <v>0.63400000000000001</v>
      </c>
      <c r="Z50" s="154">
        <v>1.1220000000000001</v>
      </c>
      <c r="AA50" s="155">
        <v>1.077</v>
      </c>
      <c r="AB50" s="155">
        <v>1.022</v>
      </c>
      <c r="AC50" s="156">
        <v>1.1779999999999999</v>
      </c>
    </row>
    <row r="51" spans="1:29">
      <c r="A51" s="153" t="s">
        <v>310</v>
      </c>
      <c r="B51" s="154">
        <v>0.121</v>
      </c>
      <c r="C51" s="155">
        <v>0.08</v>
      </c>
      <c r="D51" s="155">
        <v>0.03</v>
      </c>
      <c r="E51" s="156">
        <v>4.2000000000000003E-2</v>
      </c>
      <c r="F51" s="154">
        <v>7.0000000000000007E-2</v>
      </c>
      <c r="G51" s="155">
        <v>2.8000000000000001E-2</v>
      </c>
      <c r="H51" s="155">
        <v>-2.4E-2</v>
      </c>
      <c r="I51" s="155">
        <v>0.115</v>
      </c>
      <c r="J51" s="156">
        <v>7.1999999999999995E-2</v>
      </c>
      <c r="K51" s="153"/>
      <c r="L51" s="154">
        <v>0.11</v>
      </c>
      <c r="M51" s="155">
        <v>7.1999999999999995E-2</v>
      </c>
      <c r="N51" s="155">
        <v>2.7E-2</v>
      </c>
      <c r="O51" s="156">
        <v>0.04</v>
      </c>
      <c r="P51" s="154">
        <v>6.2E-2</v>
      </c>
      <c r="Q51" s="155">
        <v>2.3E-2</v>
      </c>
      <c r="R51" s="155">
        <v>-2.4E-2</v>
      </c>
      <c r="S51" s="155">
        <v>0.105</v>
      </c>
      <c r="T51" s="156">
        <v>6.5000000000000002E-2</v>
      </c>
      <c r="U51" s="152"/>
      <c r="V51" s="154">
        <v>0.20599999999999999</v>
      </c>
      <c r="W51" s="155">
        <v>0.16700000000000001</v>
      </c>
      <c r="X51" s="155">
        <v>0.12</v>
      </c>
      <c r="Y51" s="156">
        <v>0.255</v>
      </c>
      <c r="Z51" s="154">
        <v>0.45400000000000001</v>
      </c>
      <c r="AA51" s="155">
        <v>0.41699999999999998</v>
      </c>
      <c r="AB51" s="155">
        <v>0.372</v>
      </c>
      <c r="AC51" s="156">
        <v>0.501</v>
      </c>
    </row>
    <row r="52" spans="1:29">
      <c r="A52" s="153" t="s">
        <v>311</v>
      </c>
      <c r="B52" s="154">
        <v>0.17699999999999999</v>
      </c>
      <c r="C52" s="155">
        <v>0.11799999999999999</v>
      </c>
      <c r="D52" s="155">
        <v>4.3999999999999997E-2</v>
      </c>
      <c r="E52" s="156">
        <v>0.06</v>
      </c>
      <c r="F52" s="154">
        <v>0.16</v>
      </c>
      <c r="G52" s="155">
        <v>0.1</v>
      </c>
      <c r="H52" s="155">
        <v>2.5000000000000001E-2</v>
      </c>
      <c r="I52" s="155">
        <v>0.23100000000000001</v>
      </c>
      <c r="J52" s="156">
        <v>0.17</v>
      </c>
      <c r="K52" s="153"/>
      <c r="L52" s="154">
        <v>0.21099999999999999</v>
      </c>
      <c r="M52" s="155">
        <v>0.14000000000000001</v>
      </c>
      <c r="N52" s="155">
        <v>5.1999999999999998E-2</v>
      </c>
      <c r="O52" s="156">
        <v>7.3999999999999996E-2</v>
      </c>
      <c r="P52" s="154">
        <v>0.248</v>
      </c>
      <c r="Q52" s="155">
        <v>0.17599999999999999</v>
      </c>
      <c r="R52" s="155">
        <v>8.8999999999999996E-2</v>
      </c>
      <c r="S52" s="155">
        <v>0.33900000000000002</v>
      </c>
      <c r="T52" s="156">
        <v>0.26600000000000001</v>
      </c>
      <c r="U52" s="152"/>
      <c r="V52" s="154">
        <v>0.78300000000000003</v>
      </c>
      <c r="W52" s="155">
        <v>0.70699999999999996</v>
      </c>
      <c r="X52" s="155">
        <v>0.61399999999999999</v>
      </c>
      <c r="Y52" s="156">
        <v>0.878</v>
      </c>
      <c r="Z52" s="154">
        <v>1.5680000000000001</v>
      </c>
      <c r="AA52" s="155">
        <v>1.4890000000000001</v>
      </c>
      <c r="AB52" s="155">
        <v>1.3919999999999999</v>
      </c>
      <c r="AC52" s="156">
        <v>1.67</v>
      </c>
    </row>
    <row r="53" spans="1:29">
      <c r="A53" s="153" t="s">
        <v>313</v>
      </c>
      <c r="B53" s="154">
        <v>9.1499999999999998E-2</v>
      </c>
      <c r="C53" s="155">
        <v>6.0499999999999998E-2</v>
      </c>
      <c r="D53" s="155">
        <v>2.2499999999999999E-2</v>
      </c>
      <c r="E53" s="156">
        <v>3.15E-2</v>
      </c>
      <c r="F53" s="154">
        <v>5.8999999999999997E-2</v>
      </c>
      <c r="G53" s="155">
        <v>2.8000000000000001E-2</v>
      </c>
      <c r="H53" s="155">
        <v>-9.4999999999999998E-3</v>
      </c>
      <c r="I53" s="155">
        <v>9.2999999999999999E-2</v>
      </c>
      <c r="J53" s="156">
        <v>6.3500000000000001E-2</v>
      </c>
      <c r="K53" s="153"/>
      <c r="L53" s="154">
        <v>9.1499999999999998E-2</v>
      </c>
      <c r="M53" s="155">
        <v>6.1499999999999999E-2</v>
      </c>
      <c r="N53" s="155">
        <v>2.2499999999999999E-2</v>
      </c>
      <c r="O53" s="156">
        <v>3.4000000000000002E-2</v>
      </c>
      <c r="P53" s="154">
        <v>7.6499999999999999E-2</v>
      </c>
      <c r="Q53" s="155">
        <v>4.4999999999999998E-2</v>
      </c>
      <c r="R53" s="155">
        <v>7.4999999999999997E-3</v>
      </c>
      <c r="S53" s="155">
        <v>0.11749999999999999</v>
      </c>
      <c r="T53" s="156">
        <v>8.3500000000000005E-2</v>
      </c>
      <c r="U53" s="152"/>
      <c r="V53" s="154">
        <v>0.30049999999999999</v>
      </c>
      <c r="W53" s="155">
        <v>0.26</v>
      </c>
      <c r="X53" s="155">
        <v>0.20749999999999999</v>
      </c>
      <c r="Y53" s="156">
        <v>0.35599999999999998</v>
      </c>
      <c r="Z53" s="154">
        <v>0.60650000000000004</v>
      </c>
      <c r="AA53" s="155">
        <v>0.5675</v>
      </c>
      <c r="AB53" s="155">
        <v>0.51700000000000002</v>
      </c>
      <c r="AC53" s="156">
        <v>0.65849999999999997</v>
      </c>
    </row>
    <row r="54" spans="1:29">
      <c r="A54" s="153" t="s">
        <v>314</v>
      </c>
      <c r="B54" s="154">
        <v>9.1499999999999998E-2</v>
      </c>
      <c r="C54" s="155">
        <v>6.0499999999999998E-2</v>
      </c>
      <c r="D54" s="155">
        <v>2.2499999999999999E-2</v>
      </c>
      <c r="E54" s="156">
        <v>3.15E-2</v>
      </c>
      <c r="F54" s="154">
        <v>5.8999999999999997E-2</v>
      </c>
      <c r="G54" s="155">
        <v>2.8000000000000001E-2</v>
      </c>
      <c r="H54" s="155">
        <v>-9.4999999999999998E-3</v>
      </c>
      <c r="I54" s="155">
        <v>9.2999999999999999E-2</v>
      </c>
      <c r="J54" s="156">
        <v>6.3500000000000001E-2</v>
      </c>
      <c r="K54" s="153"/>
      <c r="L54" s="154">
        <v>9.1499999999999998E-2</v>
      </c>
      <c r="M54" s="155">
        <v>6.1499999999999999E-2</v>
      </c>
      <c r="N54" s="155">
        <v>2.2499999999999999E-2</v>
      </c>
      <c r="O54" s="156">
        <v>3.4000000000000002E-2</v>
      </c>
      <c r="P54" s="154">
        <v>7.6499999999999999E-2</v>
      </c>
      <c r="Q54" s="155">
        <v>4.4999999999999998E-2</v>
      </c>
      <c r="R54" s="155">
        <v>7.4999999999999997E-3</v>
      </c>
      <c r="S54" s="155">
        <v>0.11749999999999999</v>
      </c>
      <c r="T54" s="156">
        <v>8.3500000000000005E-2</v>
      </c>
      <c r="U54" s="152"/>
      <c r="V54" s="154">
        <v>0.30049999999999999</v>
      </c>
      <c r="W54" s="155">
        <v>0.26</v>
      </c>
      <c r="X54" s="155">
        <v>0.20749999999999999</v>
      </c>
      <c r="Y54" s="156">
        <v>0.35599999999999998</v>
      </c>
      <c r="Z54" s="154">
        <v>0.60650000000000004</v>
      </c>
      <c r="AA54" s="155">
        <v>0.5675</v>
      </c>
      <c r="AB54" s="155">
        <v>0.51700000000000002</v>
      </c>
      <c r="AC54" s="156">
        <v>0.65849999999999997</v>
      </c>
    </row>
    <row r="55" spans="1:29">
      <c r="A55" s="153" t="s">
        <v>315</v>
      </c>
      <c r="B55" s="154">
        <v>9.5000000000000001E-2</v>
      </c>
      <c r="C55" s="155">
        <v>7.0999999999999994E-2</v>
      </c>
      <c r="D55" s="155">
        <v>2.4E-2</v>
      </c>
      <c r="E55" s="156">
        <v>2.4E-2</v>
      </c>
      <c r="F55" s="154">
        <v>4.8000000000000001E-2</v>
      </c>
      <c r="G55" s="157">
        <v>1E-4</v>
      </c>
      <c r="H55" s="155">
        <v>-4.8000000000000001E-2</v>
      </c>
      <c r="I55" s="155">
        <v>9.5000000000000001E-2</v>
      </c>
      <c r="J55" s="156">
        <v>4.8000000000000001E-2</v>
      </c>
      <c r="K55" s="153"/>
      <c r="L55" s="154">
        <v>0.11899999999999999</v>
      </c>
      <c r="M55" s="155">
        <v>7.0999999999999994E-2</v>
      </c>
      <c r="N55" s="155">
        <v>2.4E-2</v>
      </c>
      <c r="O55" s="156">
        <v>5.1999999999999998E-2</v>
      </c>
      <c r="P55" s="154">
        <v>0.10211111111111111</v>
      </c>
      <c r="Q55" s="155">
        <v>5.2333333333333336E-2</v>
      </c>
      <c r="R55" s="155">
        <v>-3.555555555555557E-3</v>
      </c>
      <c r="S55" s="155">
        <v>0.16875000000000001</v>
      </c>
      <c r="T55" s="156">
        <v>0.11712500000000001</v>
      </c>
      <c r="U55" s="152"/>
      <c r="V55" s="154">
        <v>0.17899999999999999</v>
      </c>
      <c r="W55" s="155">
        <v>0.13100000000000001</v>
      </c>
      <c r="X55" s="155">
        <v>9.5000000000000001E-2</v>
      </c>
      <c r="Y55" s="156">
        <v>0.22600000000000001</v>
      </c>
      <c r="Z55" s="154">
        <v>0.42899999999999999</v>
      </c>
      <c r="AA55" s="155">
        <v>0.39300000000000002</v>
      </c>
      <c r="AB55" s="155">
        <v>0.34499999999999997</v>
      </c>
      <c r="AC55" s="156">
        <v>0.47599999999999998</v>
      </c>
    </row>
    <row r="56" spans="1:29">
      <c r="A56" s="153" t="s">
        <v>317</v>
      </c>
      <c r="B56" s="154">
        <v>0.17699999999999999</v>
      </c>
      <c r="C56" s="155">
        <v>0.11799999999999999</v>
      </c>
      <c r="D56" s="155">
        <v>4.3999999999999997E-2</v>
      </c>
      <c r="E56" s="156">
        <v>0.06</v>
      </c>
      <c r="F56" s="154">
        <v>0.16</v>
      </c>
      <c r="G56" s="155">
        <v>0.1</v>
      </c>
      <c r="H56" s="155">
        <v>2.5000000000000001E-2</v>
      </c>
      <c r="I56" s="155">
        <v>0.23100000000000001</v>
      </c>
      <c r="J56" s="156">
        <v>0.17</v>
      </c>
      <c r="K56" s="153"/>
      <c r="L56" s="154">
        <v>0.21099999999999999</v>
      </c>
      <c r="M56" s="155">
        <v>0.14000000000000001</v>
      </c>
      <c r="N56" s="155">
        <v>5.1999999999999998E-2</v>
      </c>
      <c r="O56" s="156">
        <v>7.3999999999999996E-2</v>
      </c>
      <c r="P56" s="154">
        <v>0.248</v>
      </c>
      <c r="Q56" s="155">
        <v>0.17599999999999999</v>
      </c>
      <c r="R56" s="155">
        <v>8.8999999999999996E-2</v>
      </c>
      <c r="S56" s="155">
        <v>0.33900000000000002</v>
      </c>
      <c r="T56" s="156">
        <v>0.26600000000000001</v>
      </c>
      <c r="U56" s="152"/>
      <c r="V56" s="154">
        <v>0.78300000000000003</v>
      </c>
      <c r="W56" s="155">
        <v>0.70699999999999996</v>
      </c>
      <c r="X56" s="155">
        <v>0.61399999999999999</v>
      </c>
      <c r="Y56" s="156">
        <v>0.878</v>
      </c>
      <c r="Z56" s="154">
        <v>1.5680000000000001</v>
      </c>
      <c r="AA56" s="155">
        <v>1.4890000000000001</v>
      </c>
      <c r="AB56" s="155">
        <v>1.3919999999999999</v>
      </c>
      <c r="AC56" s="156">
        <v>1.67</v>
      </c>
    </row>
    <row r="57" spans="1:29">
      <c r="A57" s="153" t="s">
        <v>258</v>
      </c>
      <c r="B57" s="157">
        <v>1E-4</v>
      </c>
      <c r="C57" s="157">
        <v>1E-4</v>
      </c>
      <c r="D57" s="157">
        <v>1E-4</v>
      </c>
      <c r="E57" s="157">
        <v>1E-4</v>
      </c>
      <c r="F57" s="157">
        <v>1E-4</v>
      </c>
      <c r="G57" s="157">
        <v>1E-4</v>
      </c>
      <c r="H57" s="157">
        <v>1E-4</v>
      </c>
      <c r="I57" s="157">
        <v>1E-4</v>
      </c>
      <c r="J57" s="157">
        <v>1E-4</v>
      </c>
      <c r="K57" s="153"/>
      <c r="L57" s="154">
        <v>5.6000000000000001E-2</v>
      </c>
      <c r="M57" s="155">
        <v>3.2000000000000001E-2</v>
      </c>
      <c r="N57" s="155">
        <v>2.4E-2</v>
      </c>
      <c r="O57" s="156">
        <v>3.5999999999999997E-2</v>
      </c>
      <c r="P57" s="154">
        <v>2.4E-2</v>
      </c>
      <c r="Q57" s="155">
        <v>-4.0000000000000001E-3</v>
      </c>
      <c r="R57" s="155">
        <v>-1.2E-2</v>
      </c>
      <c r="S57" s="155">
        <v>5.1999999999999998E-2</v>
      </c>
      <c r="T57" s="156">
        <v>2.4E-2</v>
      </c>
      <c r="U57" s="152"/>
      <c r="V57" s="154">
        <v>0.19</v>
      </c>
      <c r="W57" s="155">
        <v>0.159</v>
      </c>
      <c r="X57" s="155">
        <v>0.11899999999999999</v>
      </c>
      <c r="Y57" s="156">
        <v>0.23400000000000001</v>
      </c>
      <c r="Z57" s="154">
        <v>0.38500000000000001</v>
      </c>
      <c r="AA57" s="155">
        <v>0.35699999999999998</v>
      </c>
      <c r="AB57" s="155">
        <v>0.35299999999999998</v>
      </c>
      <c r="AC57" s="156">
        <v>0.42499999999999999</v>
      </c>
    </row>
    <row r="58" spans="1:29">
      <c r="A58" s="153" t="s">
        <v>248</v>
      </c>
      <c r="B58" s="154">
        <v>0.12341666666666666</v>
      </c>
      <c r="C58" s="155">
        <v>8.2000000000000003E-2</v>
      </c>
      <c r="D58" s="155">
        <v>3.0416666666666665E-2</v>
      </c>
      <c r="E58" s="156">
        <v>4.1083333333333333E-2</v>
      </c>
      <c r="F58" s="154">
        <v>8.1833333333333327E-2</v>
      </c>
      <c r="G58" s="155">
        <v>3.783333333333333E-2</v>
      </c>
      <c r="H58" s="155">
        <v>-1.4333333333333332E-2</v>
      </c>
      <c r="I58" s="155">
        <v>0.12858333333333333</v>
      </c>
      <c r="J58" s="156">
        <v>8.5500000000000007E-2</v>
      </c>
      <c r="K58" s="153"/>
      <c r="L58" s="154">
        <v>0.13016666666666665</v>
      </c>
      <c r="M58" s="155">
        <v>8.458333333333333E-2</v>
      </c>
      <c r="N58" s="155">
        <v>3.1416666666666662E-2</v>
      </c>
      <c r="O58" s="156">
        <v>5.2000000000000005E-2</v>
      </c>
      <c r="P58" s="154">
        <v>0.10211111111111111</v>
      </c>
      <c r="Q58" s="155">
        <v>5.2333333333333329E-2</v>
      </c>
      <c r="R58" s="155">
        <v>-3.5555555555555553E-3</v>
      </c>
      <c r="S58" s="155">
        <v>0.16875000000000001</v>
      </c>
      <c r="T58" s="156">
        <v>0.11712500000000001</v>
      </c>
      <c r="U58" s="152"/>
      <c r="V58" s="154">
        <v>0.38581818181818178</v>
      </c>
      <c r="W58" s="155">
        <v>0.33472727272727276</v>
      </c>
      <c r="X58" s="155">
        <v>0.27272727272727271</v>
      </c>
      <c r="Y58" s="156">
        <v>0.45145454545454539</v>
      </c>
      <c r="Z58" s="154">
        <v>0.73916666666666642</v>
      </c>
      <c r="AA58" s="155">
        <v>0.69083333333333341</v>
      </c>
      <c r="AB58" s="155">
        <v>0.63416666666666666</v>
      </c>
      <c r="AC58" s="156">
        <v>0.80016666666666647</v>
      </c>
    </row>
    <row r="59" spans="1:29">
      <c r="A59" s="153" t="s">
        <v>332</v>
      </c>
      <c r="B59" s="154">
        <v>0.12341666666666666</v>
      </c>
      <c r="C59" s="155">
        <v>8.2000000000000003E-2</v>
      </c>
      <c r="D59" s="155">
        <v>3.0416666666666665E-2</v>
      </c>
      <c r="E59" s="156">
        <v>4.1083333333333333E-2</v>
      </c>
      <c r="F59" s="154">
        <v>8.1833333333333327E-2</v>
      </c>
      <c r="G59" s="155">
        <v>3.783333333333333E-2</v>
      </c>
      <c r="H59" s="155">
        <v>-1.4333333333333332E-2</v>
      </c>
      <c r="I59" s="155">
        <v>0.12858333333333333</v>
      </c>
      <c r="J59" s="156">
        <v>8.5500000000000007E-2</v>
      </c>
      <c r="K59" s="153"/>
      <c r="L59" s="154">
        <v>0.13016666666666665</v>
      </c>
      <c r="M59" s="155">
        <v>8.458333333333333E-2</v>
      </c>
      <c r="N59" s="155">
        <v>3.1416666666666662E-2</v>
      </c>
      <c r="O59" s="156">
        <v>5.2000000000000005E-2</v>
      </c>
      <c r="P59" s="154">
        <v>0.10211111111111111</v>
      </c>
      <c r="Q59" s="155">
        <v>5.2333333333333329E-2</v>
      </c>
      <c r="R59" s="155">
        <v>-3.5555555555555553E-3</v>
      </c>
      <c r="S59" s="155">
        <v>0.16875000000000001</v>
      </c>
      <c r="T59" s="156">
        <v>0.11712500000000001</v>
      </c>
      <c r="U59" s="152"/>
      <c r="V59" s="154">
        <v>0.38581818181818178</v>
      </c>
      <c r="W59" s="155">
        <v>0.33472727272727276</v>
      </c>
      <c r="X59" s="155">
        <v>0.27272727272727271</v>
      </c>
      <c r="Y59" s="156">
        <v>0.45145454545454539</v>
      </c>
      <c r="Z59" s="154">
        <v>0.73916666666666642</v>
      </c>
      <c r="AA59" s="155">
        <v>0.69083333333333341</v>
      </c>
      <c r="AB59" s="155">
        <v>0.63416666666666666</v>
      </c>
      <c r="AC59" s="156">
        <v>0.80016666666666647</v>
      </c>
    </row>
    <row r="60" spans="1:29">
      <c r="A60" s="153" t="s">
        <v>333</v>
      </c>
      <c r="B60" s="163">
        <v>0.12341666666666666</v>
      </c>
      <c r="C60" s="164">
        <v>8.2000000000000003E-2</v>
      </c>
      <c r="D60" s="164">
        <v>3.0416666666666665E-2</v>
      </c>
      <c r="E60" s="165">
        <v>4.1083333333333333E-2</v>
      </c>
      <c r="F60" s="163">
        <v>8.1833333333333327E-2</v>
      </c>
      <c r="G60" s="164">
        <v>3.783333333333333E-2</v>
      </c>
      <c r="H60" s="164">
        <v>-1.4333333333333332E-2</v>
      </c>
      <c r="I60" s="164">
        <v>0.12858333333333333</v>
      </c>
      <c r="J60" s="165">
        <v>8.5500000000000007E-2</v>
      </c>
      <c r="K60" s="153"/>
      <c r="L60" s="163">
        <v>0.13016666666666665</v>
      </c>
      <c r="M60" s="164">
        <v>8.458333333333333E-2</v>
      </c>
      <c r="N60" s="164">
        <v>3.1416666666666662E-2</v>
      </c>
      <c r="O60" s="165">
        <v>5.2000000000000005E-2</v>
      </c>
      <c r="P60" s="163">
        <v>0.10211111111111111</v>
      </c>
      <c r="Q60" s="164">
        <v>5.2333333333333329E-2</v>
      </c>
      <c r="R60" s="164">
        <v>-3.5555555555555553E-3</v>
      </c>
      <c r="S60" s="164">
        <v>0.16875000000000001</v>
      </c>
      <c r="T60" s="165">
        <v>0.11712500000000001</v>
      </c>
      <c r="U60" s="152"/>
      <c r="V60" s="163">
        <v>0.38581818181818178</v>
      </c>
      <c r="W60" s="164">
        <v>0.33472727272727276</v>
      </c>
      <c r="X60" s="164">
        <v>0.27272727272727271</v>
      </c>
      <c r="Y60" s="165">
        <v>0.45145454545454539</v>
      </c>
      <c r="Z60" s="163">
        <v>0.73916666666666642</v>
      </c>
      <c r="AA60" s="164">
        <v>0.69083333333333341</v>
      </c>
      <c r="AB60" s="164">
        <v>0.63416666666666666</v>
      </c>
      <c r="AC60" s="165">
        <v>0.80016666666666647</v>
      </c>
    </row>
    <row r="63" spans="1:29" ht="81.75">
      <c r="A63" s="166">
        <v>0.8</v>
      </c>
      <c r="B63" s="125" t="s">
        <v>321</v>
      </c>
      <c r="C63" s="125" t="s">
        <v>322</v>
      </c>
      <c r="D63" s="125" t="s">
        <v>323</v>
      </c>
      <c r="E63" s="125" t="s">
        <v>273</v>
      </c>
      <c r="F63" s="125" t="s">
        <v>324</v>
      </c>
      <c r="G63" s="125" t="s">
        <v>325</v>
      </c>
      <c r="H63" s="125" t="s">
        <v>326</v>
      </c>
      <c r="I63" s="125" t="s">
        <v>277</v>
      </c>
      <c r="J63" s="125" t="s">
        <v>278</v>
      </c>
      <c r="K63" s="125"/>
      <c r="L63" s="125" t="s">
        <v>321</v>
      </c>
      <c r="M63" s="125" t="s">
        <v>322</v>
      </c>
      <c r="N63" s="125" t="s">
        <v>323</v>
      </c>
      <c r="O63" s="125" t="s">
        <v>273</v>
      </c>
      <c r="P63" s="125" t="s">
        <v>324</v>
      </c>
      <c r="Q63" s="125" t="s">
        <v>325</v>
      </c>
      <c r="R63" s="125" t="s">
        <v>326</v>
      </c>
      <c r="S63" s="125" t="s">
        <v>277</v>
      </c>
      <c r="T63" s="125" t="s">
        <v>278</v>
      </c>
      <c r="U63" s="146"/>
      <c r="V63" s="125" t="s">
        <v>279</v>
      </c>
      <c r="W63" s="125" t="s">
        <v>280</v>
      </c>
      <c r="X63" s="125" t="s">
        <v>281</v>
      </c>
      <c r="Y63" s="125" t="s">
        <v>282</v>
      </c>
      <c r="Z63" s="125" t="s">
        <v>283</v>
      </c>
      <c r="AA63" s="125" t="s">
        <v>284</v>
      </c>
      <c r="AB63" s="125" t="s">
        <v>285</v>
      </c>
      <c r="AC63" s="125" t="s">
        <v>286</v>
      </c>
    </row>
    <row r="64" spans="1:29">
      <c r="A64" s="167" t="s">
        <v>334</v>
      </c>
      <c r="B64" s="168"/>
      <c r="C64" s="169"/>
      <c r="D64" s="169"/>
      <c r="E64" s="170"/>
      <c r="F64" s="168"/>
      <c r="G64" s="169"/>
      <c r="H64" s="169"/>
      <c r="I64" s="169"/>
      <c r="J64" s="170"/>
      <c r="K64" s="171"/>
      <c r="L64" s="168"/>
      <c r="M64" s="169"/>
      <c r="N64" s="169"/>
      <c r="O64" s="170"/>
      <c r="P64" s="168"/>
      <c r="Q64" s="169"/>
      <c r="R64" s="169"/>
      <c r="S64" s="169"/>
      <c r="T64" s="170"/>
      <c r="U64" s="172"/>
      <c r="V64" s="168"/>
      <c r="W64" s="169"/>
      <c r="X64" s="169"/>
      <c r="Y64" s="170"/>
      <c r="Z64" s="168"/>
      <c r="AA64" s="169"/>
      <c r="AB64" s="169"/>
      <c r="AC64" s="170"/>
    </row>
    <row r="65" spans="1:29">
      <c r="A65" s="173" t="s">
        <v>238</v>
      </c>
      <c r="B65" s="174">
        <f t="shared" ref="B65:J80" si="0">B38*100000/3412*$A$63</f>
        <v>2.2274325908558033</v>
      </c>
      <c r="C65" s="175">
        <f t="shared" si="0"/>
        <v>1.4536928487690506</v>
      </c>
      <c r="D65" s="175">
        <f t="shared" si="0"/>
        <v>0.56271981242672919</v>
      </c>
      <c r="E65" s="176">
        <f t="shared" si="0"/>
        <v>0.70339976553341155</v>
      </c>
      <c r="F65" s="177">
        <f t="shared" si="0"/>
        <v>0.49237983587338807</v>
      </c>
      <c r="G65" s="178">
        <f t="shared" si="0"/>
        <v>-0.25791324736225091</v>
      </c>
      <c r="H65" s="178">
        <f t="shared" si="0"/>
        <v>-1.1488862837045721</v>
      </c>
      <c r="I65" s="178">
        <f t="shared" si="0"/>
        <v>1.1957796014067996</v>
      </c>
      <c r="J65" s="176">
        <f t="shared" si="0"/>
        <v>0.49237983587338807</v>
      </c>
      <c r="K65" s="173"/>
      <c r="L65" s="177">
        <f t="shared" ref="L65:T65" si="1">L38*100000/3412</f>
        <v>2.1395076201641263</v>
      </c>
      <c r="M65" s="178">
        <f t="shared" si="1"/>
        <v>1.4067995310668229</v>
      </c>
      <c r="N65" s="178">
        <f t="shared" si="1"/>
        <v>0.49824150058616656</v>
      </c>
      <c r="O65" s="176">
        <f t="shared" si="1"/>
        <v>0.61547479484173506</v>
      </c>
      <c r="P65" s="177">
        <f t="shared" si="1"/>
        <v>0.73270808909730367</v>
      </c>
      <c r="Q65" s="178">
        <f t="shared" si="1"/>
        <v>-5.8616647127784291E-2</v>
      </c>
      <c r="R65" s="178">
        <f t="shared" si="1"/>
        <v>-0.96717467760844078</v>
      </c>
      <c r="S65" s="178">
        <f t="shared" si="1"/>
        <v>1.3481828839390386</v>
      </c>
      <c r="T65" s="176">
        <f t="shared" si="1"/>
        <v>0.70339976553341144</v>
      </c>
      <c r="U65" s="172"/>
      <c r="V65" s="177">
        <f t="shared" ref="V65:AC65" si="2">V38*100000/3412</f>
        <v>11.307684109559846</v>
      </c>
      <c r="W65" s="178">
        <f t="shared" si="2"/>
        <v>9.8102952147500773</v>
      </c>
      <c r="X65" s="178">
        <f t="shared" si="2"/>
        <v>7.9931791537887671</v>
      </c>
      <c r="Y65" s="176">
        <f t="shared" si="2"/>
        <v>13.231375892571673</v>
      </c>
      <c r="Z65" s="177">
        <f t="shared" si="2"/>
        <v>4.2790152403282526</v>
      </c>
      <c r="AA65" s="178">
        <f t="shared" si="2"/>
        <v>3.5463071512309496</v>
      </c>
      <c r="AB65" s="178">
        <f t="shared" si="2"/>
        <v>2.6377491207502932</v>
      </c>
      <c r="AC65" s="176">
        <f t="shared" si="2"/>
        <v>5.18757327080891</v>
      </c>
    </row>
    <row r="66" spans="1:29">
      <c r="A66" s="173" t="s">
        <v>291</v>
      </c>
      <c r="B66" s="174">
        <f t="shared" si="0"/>
        <v>4.093786635404455</v>
      </c>
      <c r="C66" s="175">
        <f t="shared" si="0"/>
        <v>2.6822977725674093</v>
      </c>
      <c r="D66" s="175">
        <f t="shared" si="0"/>
        <v>0.97538100820633056</v>
      </c>
      <c r="E66" s="176">
        <f t="shared" si="0"/>
        <v>1.4067995310668231</v>
      </c>
      <c r="F66" s="177">
        <f t="shared" si="0"/>
        <v>3.5357561547479479</v>
      </c>
      <c r="G66" s="178">
        <f t="shared" si="0"/>
        <v>2.091441969519344</v>
      </c>
      <c r="H66" s="178">
        <f t="shared" si="0"/>
        <v>0.38921453692848784</v>
      </c>
      <c r="I66" s="178">
        <f t="shared" si="0"/>
        <v>5.1629542790152412</v>
      </c>
      <c r="J66" s="176">
        <f t="shared" si="0"/>
        <v>3.7889800703399774</v>
      </c>
      <c r="K66" s="173"/>
      <c r="L66" s="177">
        <f t="shared" ref="L66:T81" si="3">L39*100000/3412*$A$63</f>
        <v>4.3094958968347026</v>
      </c>
      <c r="M66" s="178">
        <f t="shared" si="3"/>
        <v>2.804220398593201</v>
      </c>
      <c r="N66" s="178">
        <f t="shared" si="3"/>
        <v>0.96600234466588519</v>
      </c>
      <c r="O66" s="176">
        <f t="shared" si="3"/>
        <v>1.519343493552169</v>
      </c>
      <c r="P66" s="177">
        <f t="shared" si="3"/>
        <v>4.3235638921453692</v>
      </c>
      <c r="Q66" s="178">
        <f t="shared" si="3"/>
        <v>2.7385697538100828</v>
      </c>
      <c r="R66" s="178">
        <f t="shared" si="3"/>
        <v>0.92379835873388039</v>
      </c>
      <c r="S66" s="178">
        <f t="shared" si="3"/>
        <v>6.2039859320046915</v>
      </c>
      <c r="T66" s="176">
        <f t="shared" si="3"/>
        <v>4.651817116060962</v>
      </c>
      <c r="U66" s="172"/>
      <c r="V66" s="177">
        <f t="shared" ref="V66:AC81" si="4">V39*100000/3412*$A$63</f>
        <v>15.076201641266119</v>
      </c>
      <c r="W66" s="178">
        <f t="shared" si="4"/>
        <v>13.463071512309497</v>
      </c>
      <c r="X66" s="178">
        <f t="shared" si="4"/>
        <v>11.320046893317702</v>
      </c>
      <c r="Y66" s="176">
        <f t="shared" si="4"/>
        <v>17.294255568581477</v>
      </c>
      <c r="Z66" s="177">
        <f t="shared" si="4"/>
        <v>30.096131301289571</v>
      </c>
      <c r="AA66" s="178">
        <f t="shared" si="4"/>
        <v>28.337631887456038</v>
      </c>
      <c r="AB66" s="178">
        <f t="shared" si="4"/>
        <v>26.1852286049238</v>
      </c>
      <c r="AC66" s="176">
        <f t="shared" si="4"/>
        <v>32.271981242672915</v>
      </c>
    </row>
    <row r="67" spans="1:29">
      <c r="A67" s="173" t="s">
        <v>250</v>
      </c>
      <c r="B67" s="174">
        <f t="shared" si="0"/>
        <v>2.3681125439624853</v>
      </c>
      <c r="C67" s="175">
        <f t="shared" si="0"/>
        <v>1.5474794841735053</v>
      </c>
      <c r="D67" s="175">
        <f t="shared" si="0"/>
        <v>0.58616647127784294</v>
      </c>
      <c r="E67" s="176">
        <f t="shared" si="0"/>
        <v>0.82063305978898016</v>
      </c>
      <c r="F67" s="177">
        <f t="shared" si="0"/>
        <v>0.79718640093786652</v>
      </c>
      <c r="G67" s="157">
        <v>1E-4</v>
      </c>
      <c r="H67" s="178">
        <f t="shared" si="0"/>
        <v>-0.98475967174677614</v>
      </c>
      <c r="I67" s="178">
        <f t="shared" si="0"/>
        <v>1.6412661195779603</v>
      </c>
      <c r="J67" s="176">
        <f t="shared" si="0"/>
        <v>0.77373974208675267</v>
      </c>
      <c r="K67" s="173"/>
      <c r="L67" s="177">
        <f t="shared" si="3"/>
        <v>2.4384525205158267</v>
      </c>
      <c r="M67" s="178">
        <f t="shared" si="3"/>
        <v>1.6178194607268468</v>
      </c>
      <c r="N67" s="178">
        <f t="shared" si="3"/>
        <v>0.58616647127784294</v>
      </c>
      <c r="O67" s="176">
        <f t="shared" si="3"/>
        <v>1.2192262602579134</v>
      </c>
      <c r="P67" s="177">
        <f t="shared" si="3"/>
        <v>2.3941643871303895</v>
      </c>
      <c r="Q67" s="178">
        <f t="shared" si="3"/>
        <v>1.2270418132082848</v>
      </c>
      <c r="R67" s="178">
        <f t="shared" si="3"/>
        <v>-8.3365898137293254E-2</v>
      </c>
      <c r="S67" s="178">
        <f t="shared" si="3"/>
        <v>3.9566236811254401</v>
      </c>
      <c r="T67" s="176">
        <f t="shared" si="3"/>
        <v>2.7461899179366944</v>
      </c>
      <c r="U67" s="172"/>
      <c r="V67" s="177">
        <f t="shared" si="4"/>
        <v>6.3071512309495894</v>
      </c>
      <c r="W67" s="178">
        <f t="shared" si="4"/>
        <v>5.4630715123094964</v>
      </c>
      <c r="X67" s="178">
        <f t="shared" si="4"/>
        <v>4.4548651817116065</v>
      </c>
      <c r="Y67" s="176">
        <f t="shared" si="4"/>
        <v>7.3622508792497072</v>
      </c>
      <c r="Z67" s="177">
        <f t="shared" si="4"/>
        <v>9.9413833528722151</v>
      </c>
      <c r="AA67" s="178">
        <f t="shared" si="4"/>
        <v>9.2848769050410311</v>
      </c>
      <c r="AB67" s="178">
        <f t="shared" si="4"/>
        <v>8.5111371629542791</v>
      </c>
      <c r="AC67" s="176">
        <f t="shared" si="4"/>
        <v>10.738569753810083</v>
      </c>
    </row>
    <row r="68" spans="1:29">
      <c r="A68" s="173" t="s">
        <v>294</v>
      </c>
      <c r="B68" s="174">
        <f t="shared" si="0"/>
        <v>4.0093786635404456</v>
      </c>
      <c r="C68" s="175">
        <f t="shared" si="0"/>
        <v>2.6260257913247358</v>
      </c>
      <c r="D68" s="175">
        <f t="shared" si="0"/>
        <v>0.94958968347010542</v>
      </c>
      <c r="E68" s="176">
        <f t="shared" si="0"/>
        <v>1.3716295427901526</v>
      </c>
      <c r="F68" s="177">
        <f t="shared" si="0"/>
        <v>3.9742086752637746</v>
      </c>
      <c r="G68" s="178">
        <f t="shared" si="0"/>
        <v>2.5439624853458387</v>
      </c>
      <c r="H68" s="178">
        <f t="shared" si="0"/>
        <v>0.85580304806565077</v>
      </c>
      <c r="I68" s="178">
        <f t="shared" si="0"/>
        <v>5.6271981242672924</v>
      </c>
      <c r="J68" s="176">
        <f t="shared" si="0"/>
        <v>4.2438452520515826</v>
      </c>
      <c r="K68" s="173"/>
      <c r="L68" s="177">
        <f t="shared" si="3"/>
        <v>4.4783118405627205</v>
      </c>
      <c r="M68" s="178">
        <f t="shared" si="3"/>
        <v>2.8839390386869872</v>
      </c>
      <c r="N68" s="178">
        <f t="shared" si="3"/>
        <v>0.98475967174677614</v>
      </c>
      <c r="O68" s="176">
        <f t="shared" si="3"/>
        <v>1.5357561547479486</v>
      </c>
      <c r="P68" s="177">
        <f t="shared" si="3"/>
        <v>5.0644783118405634</v>
      </c>
      <c r="Q68" s="178">
        <f t="shared" si="3"/>
        <v>3.3997655334114882</v>
      </c>
      <c r="R68" s="178">
        <f t="shared" si="3"/>
        <v>1.5005861664712778</v>
      </c>
      <c r="S68" s="178">
        <f t="shared" si="3"/>
        <v>6.9871043376318882</v>
      </c>
      <c r="T68" s="176">
        <f t="shared" si="3"/>
        <v>5.4161781946072693</v>
      </c>
      <c r="U68" s="172"/>
      <c r="V68" s="177">
        <f t="shared" si="4"/>
        <v>16.389214536928488</v>
      </c>
      <c r="W68" s="178">
        <f t="shared" si="4"/>
        <v>14.876905041031655</v>
      </c>
      <c r="X68" s="178">
        <f t="shared" si="4"/>
        <v>12.883939038686988</v>
      </c>
      <c r="Y68" s="176">
        <f t="shared" si="4"/>
        <v>18.417350527549825</v>
      </c>
      <c r="Z68" s="177">
        <f t="shared" si="4"/>
        <v>32.590855803048065</v>
      </c>
      <c r="AA68" s="178">
        <f t="shared" si="4"/>
        <v>30.844079718640092</v>
      </c>
      <c r="AB68" s="178">
        <f t="shared" si="4"/>
        <v>28.769050410316527</v>
      </c>
      <c r="AC68" s="176">
        <f t="shared" si="4"/>
        <v>34.689331770222736</v>
      </c>
    </row>
    <row r="69" spans="1:29">
      <c r="A69" s="173" t="s">
        <v>296</v>
      </c>
      <c r="B69" s="174">
        <f t="shared" si="0"/>
        <v>2.8937084798749511</v>
      </c>
      <c r="C69" s="175">
        <f t="shared" si="0"/>
        <v>1.9226260257913248</v>
      </c>
      <c r="D69" s="175">
        <f t="shared" si="0"/>
        <v>0.71316920672137551</v>
      </c>
      <c r="E69" s="176">
        <f t="shared" si="0"/>
        <v>0.96326690113325508</v>
      </c>
      <c r="F69" s="177">
        <f t="shared" si="0"/>
        <v>1.9187182493161392</v>
      </c>
      <c r="G69" s="178">
        <f t="shared" si="0"/>
        <v>0.88706525986713558</v>
      </c>
      <c r="H69" s="178">
        <f t="shared" si="0"/>
        <v>-0.33606877686596326</v>
      </c>
      <c r="I69" s="178">
        <f t="shared" si="0"/>
        <v>3.0148495506057049</v>
      </c>
      <c r="J69" s="176">
        <f t="shared" si="0"/>
        <v>2.0046893317702228</v>
      </c>
      <c r="K69" s="173"/>
      <c r="L69" s="177">
        <f t="shared" si="3"/>
        <v>3.0519734271199686</v>
      </c>
      <c r="M69" s="178">
        <f t="shared" si="3"/>
        <v>1.9831965611567015</v>
      </c>
      <c r="N69" s="178">
        <f t="shared" si="3"/>
        <v>0.73661586557248915</v>
      </c>
      <c r="O69" s="176">
        <f t="shared" si="3"/>
        <v>1.2192262602579136</v>
      </c>
      <c r="P69" s="177">
        <f t="shared" si="3"/>
        <v>2.3941643871303895</v>
      </c>
      <c r="Q69" s="178">
        <f t="shared" si="3"/>
        <v>1.2270418132082845</v>
      </c>
      <c r="R69" s="178">
        <f t="shared" si="3"/>
        <v>-8.3365898137293226E-2</v>
      </c>
      <c r="S69" s="178">
        <f t="shared" si="3"/>
        <v>3.9566236811254401</v>
      </c>
      <c r="T69" s="176">
        <f t="shared" si="3"/>
        <v>2.7461899179366944</v>
      </c>
      <c r="U69" s="172"/>
      <c r="V69" s="177">
        <f t="shared" si="4"/>
        <v>9.046147287647873</v>
      </c>
      <c r="W69" s="178">
        <f t="shared" si="4"/>
        <v>7.8482361718000666</v>
      </c>
      <c r="X69" s="178">
        <f t="shared" si="4"/>
        <v>6.394543323031014</v>
      </c>
      <c r="Y69" s="176">
        <f t="shared" si="4"/>
        <v>10.585100714057337</v>
      </c>
      <c r="Z69" s="177">
        <f t="shared" si="4"/>
        <v>17.330988667448217</v>
      </c>
      <c r="AA69" s="178">
        <f t="shared" si="4"/>
        <v>16.197733489644396</v>
      </c>
      <c r="AB69" s="178">
        <f t="shared" si="4"/>
        <v>14.869089488081281</v>
      </c>
      <c r="AC69" s="176">
        <f t="shared" si="4"/>
        <v>18.761234857366155</v>
      </c>
    </row>
    <row r="70" spans="1:29">
      <c r="A70" s="173" t="s">
        <v>297</v>
      </c>
      <c r="B70" s="174">
        <f t="shared" si="0"/>
        <v>3.8686987104337636</v>
      </c>
      <c r="C70" s="175">
        <f t="shared" si="0"/>
        <v>2.4853458382180538</v>
      </c>
      <c r="D70" s="175">
        <f t="shared" si="0"/>
        <v>0.86752637749120753</v>
      </c>
      <c r="E70" s="176">
        <f t="shared" si="0"/>
        <v>1.3364595545134819</v>
      </c>
      <c r="F70" s="177">
        <f t="shared" si="0"/>
        <v>4.1969519343493555</v>
      </c>
      <c r="G70" s="178">
        <f t="shared" si="0"/>
        <v>2.7432590855803052</v>
      </c>
      <c r="H70" s="178">
        <f t="shared" si="0"/>
        <v>1.1254396248534584</v>
      </c>
      <c r="I70" s="178">
        <f t="shared" si="0"/>
        <v>5.8382180539273154</v>
      </c>
      <c r="J70" s="176">
        <f t="shared" si="0"/>
        <v>4.5017584994138335</v>
      </c>
      <c r="K70" s="173"/>
      <c r="L70" s="177">
        <f t="shared" si="3"/>
        <v>4.0093786635404456</v>
      </c>
      <c r="M70" s="178">
        <f t="shared" si="3"/>
        <v>2.4853458382180538</v>
      </c>
      <c r="N70" s="178">
        <f t="shared" si="3"/>
        <v>0.75029308323563892</v>
      </c>
      <c r="O70" s="176">
        <f t="shared" si="3"/>
        <v>1.3364595545134819</v>
      </c>
      <c r="P70" s="177">
        <f t="shared" si="3"/>
        <v>4.3141852286049236</v>
      </c>
      <c r="Q70" s="178">
        <f t="shared" si="3"/>
        <v>2.6729191090269637</v>
      </c>
      <c r="R70" s="178">
        <f t="shared" si="3"/>
        <v>0.91441969519343491</v>
      </c>
      <c r="S70" s="178">
        <f t="shared" si="3"/>
        <v>6.0257913247362254</v>
      </c>
      <c r="T70" s="176">
        <f t="shared" si="3"/>
        <v>4.5955451348182885</v>
      </c>
      <c r="U70" s="172"/>
      <c r="V70" s="177">
        <f t="shared" si="4"/>
        <v>14.419695193434936</v>
      </c>
      <c r="W70" s="178">
        <f t="shared" si="4"/>
        <v>13.17702227432591</v>
      </c>
      <c r="X70" s="178">
        <f t="shared" si="4"/>
        <v>11.371629542790153</v>
      </c>
      <c r="Y70" s="176">
        <f t="shared" si="4"/>
        <v>16.248534583821804</v>
      </c>
      <c r="Z70" s="177">
        <f t="shared" si="4"/>
        <v>28.417350527549829</v>
      </c>
      <c r="AA70" s="178">
        <f t="shared" si="4"/>
        <v>26.776084407971862</v>
      </c>
      <c r="AB70" s="178">
        <f t="shared" si="4"/>
        <v>24.900351699882769</v>
      </c>
      <c r="AC70" s="176">
        <f t="shared" si="4"/>
        <v>30.222743259085576</v>
      </c>
    </row>
    <row r="71" spans="1:29">
      <c r="A71" s="173" t="s">
        <v>299</v>
      </c>
      <c r="B71" s="174">
        <f t="shared" si="0"/>
        <v>2.8937084798749511</v>
      </c>
      <c r="C71" s="175">
        <f t="shared" si="0"/>
        <v>1.9226260257913248</v>
      </c>
      <c r="D71" s="175">
        <f t="shared" si="0"/>
        <v>0.71316920672137551</v>
      </c>
      <c r="E71" s="176">
        <f t="shared" si="0"/>
        <v>0.96326690113325508</v>
      </c>
      <c r="F71" s="177">
        <f t="shared" si="0"/>
        <v>1.9187182493161392</v>
      </c>
      <c r="G71" s="178">
        <f t="shared" si="0"/>
        <v>0.88706525986713558</v>
      </c>
      <c r="H71" s="178">
        <f t="shared" si="0"/>
        <v>-0.33606877686596326</v>
      </c>
      <c r="I71" s="178">
        <f t="shared" si="0"/>
        <v>3.0148495506057049</v>
      </c>
      <c r="J71" s="176">
        <f t="shared" si="0"/>
        <v>2.0046893317702228</v>
      </c>
      <c r="K71" s="173"/>
      <c r="L71" s="177">
        <f t="shared" si="3"/>
        <v>3.0519734271199686</v>
      </c>
      <c r="M71" s="178">
        <f t="shared" si="3"/>
        <v>1.9831965611567015</v>
      </c>
      <c r="N71" s="178">
        <f t="shared" si="3"/>
        <v>0.73661586557248915</v>
      </c>
      <c r="O71" s="176">
        <f t="shared" si="3"/>
        <v>1.2192262602579136</v>
      </c>
      <c r="P71" s="177">
        <f t="shared" si="3"/>
        <v>2.3941643871303895</v>
      </c>
      <c r="Q71" s="178">
        <f t="shared" si="3"/>
        <v>1.2270418132082845</v>
      </c>
      <c r="R71" s="178">
        <f t="shared" si="3"/>
        <v>-8.3365898137293226E-2</v>
      </c>
      <c r="S71" s="178">
        <f t="shared" si="3"/>
        <v>3.9566236811254401</v>
      </c>
      <c r="T71" s="176">
        <f t="shared" si="3"/>
        <v>2.7461899179366944</v>
      </c>
      <c r="U71" s="172"/>
      <c r="V71" s="177">
        <f t="shared" si="4"/>
        <v>9.046147287647873</v>
      </c>
      <c r="W71" s="178">
        <f t="shared" si="4"/>
        <v>7.8482361718000666</v>
      </c>
      <c r="X71" s="178">
        <f t="shared" si="4"/>
        <v>6.394543323031014</v>
      </c>
      <c r="Y71" s="176">
        <f t="shared" si="4"/>
        <v>10.585100714057337</v>
      </c>
      <c r="Z71" s="177">
        <f t="shared" si="4"/>
        <v>17.330988667448217</v>
      </c>
      <c r="AA71" s="178">
        <f t="shared" si="4"/>
        <v>16.197733489644396</v>
      </c>
      <c r="AB71" s="178">
        <f t="shared" si="4"/>
        <v>14.869089488081281</v>
      </c>
      <c r="AC71" s="176">
        <f t="shared" si="4"/>
        <v>18.761234857366155</v>
      </c>
    </row>
    <row r="72" spans="1:29">
      <c r="A72" s="173" t="s">
        <v>301</v>
      </c>
      <c r="B72" s="174">
        <f t="shared" si="0"/>
        <v>2.8937084798749511</v>
      </c>
      <c r="C72" s="175">
        <f t="shared" si="0"/>
        <v>1.9226260257913248</v>
      </c>
      <c r="D72" s="175">
        <f t="shared" si="0"/>
        <v>0.71316920672137551</v>
      </c>
      <c r="E72" s="176">
        <f t="shared" si="0"/>
        <v>0.96326690113325508</v>
      </c>
      <c r="F72" s="177">
        <f t="shared" si="0"/>
        <v>1.9187182493161392</v>
      </c>
      <c r="G72" s="178">
        <f t="shared" si="0"/>
        <v>0.88706525986713558</v>
      </c>
      <c r="H72" s="178">
        <f t="shared" si="0"/>
        <v>-0.33606877686596326</v>
      </c>
      <c r="I72" s="178">
        <f t="shared" si="0"/>
        <v>3.0148495506057049</v>
      </c>
      <c r="J72" s="176">
        <f t="shared" si="0"/>
        <v>2.0046893317702228</v>
      </c>
      <c r="K72" s="173"/>
      <c r="L72" s="177">
        <f t="shared" si="3"/>
        <v>3.0519734271199686</v>
      </c>
      <c r="M72" s="178">
        <f t="shared" si="3"/>
        <v>1.9831965611567015</v>
      </c>
      <c r="N72" s="178">
        <f t="shared" si="3"/>
        <v>0.73661586557248915</v>
      </c>
      <c r="O72" s="176">
        <f t="shared" si="3"/>
        <v>1.2192262602579136</v>
      </c>
      <c r="P72" s="177">
        <f t="shared" si="3"/>
        <v>2.3941643871303895</v>
      </c>
      <c r="Q72" s="178">
        <f t="shared" si="3"/>
        <v>1.2270418132082845</v>
      </c>
      <c r="R72" s="178">
        <f t="shared" si="3"/>
        <v>-8.3365898137293226E-2</v>
      </c>
      <c r="S72" s="178">
        <f t="shared" si="3"/>
        <v>3.9566236811254401</v>
      </c>
      <c r="T72" s="176">
        <f t="shared" si="3"/>
        <v>2.7461899179366944</v>
      </c>
      <c r="U72" s="172"/>
      <c r="V72" s="177">
        <f t="shared" si="4"/>
        <v>9.046147287647873</v>
      </c>
      <c r="W72" s="178">
        <f t="shared" si="4"/>
        <v>7.8482361718000666</v>
      </c>
      <c r="X72" s="178">
        <f t="shared" si="4"/>
        <v>6.394543323031014</v>
      </c>
      <c r="Y72" s="176">
        <f t="shared" si="4"/>
        <v>10.585100714057337</v>
      </c>
      <c r="Z72" s="177">
        <f t="shared" si="4"/>
        <v>17.330988667448217</v>
      </c>
      <c r="AA72" s="178">
        <f t="shared" si="4"/>
        <v>16.197733489644396</v>
      </c>
      <c r="AB72" s="178">
        <f t="shared" si="4"/>
        <v>14.869089488081281</v>
      </c>
      <c r="AC72" s="176">
        <f t="shared" si="4"/>
        <v>18.761234857366155</v>
      </c>
    </row>
    <row r="73" spans="1:29" s="142" customFormat="1">
      <c r="A73" s="179" t="s">
        <v>303</v>
      </c>
      <c r="B73" s="180">
        <f t="shared" si="0"/>
        <v>3.8686987104337636</v>
      </c>
      <c r="C73" s="181">
        <f t="shared" si="0"/>
        <v>2.4853458382180538</v>
      </c>
      <c r="D73" s="181">
        <f t="shared" si="0"/>
        <v>0.86752637749120753</v>
      </c>
      <c r="E73" s="182">
        <f t="shared" si="0"/>
        <v>1.3364595545134819</v>
      </c>
      <c r="F73" s="179">
        <f t="shared" si="0"/>
        <v>4.1969519343493555</v>
      </c>
      <c r="G73" s="183">
        <f t="shared" si="0"/>
        <v>2.7432590855803052</v>
      </c>
      <c r="H73" s="183">
        <f t="shared" si="0"/>
        <v>1.1254396248534584</v>
      </c>
      <c r="I73" s="183">
        <f t="shared" si="0"/>
        <v>5.8382180539273154</v>
      </c>
      <c r="J73" s="182">
        <f t="shared" si="0"/>
        <v>4.5017584994138335</v>
      </c>
      <c r="K73" s="183"/>
      <c r="L73" s="179">
        <f t="shared" si="3"/>
        <v>4.0093786635404456</v>
      </c>
      <c r="M73" s="183">
        <f t="shared" si="3"/>
        <v>2.4853458382180538</v>
      </c>
      <c r="N73" s="183">
        <f t="shared" si="3"/>
        <v>0.75029308323563892</v>
      </c>
      <c r="O73" s="182">
        <f t="shared" si="3"/>
        <v>1.3364595545134819</v>
      </c>
      <c r="P73" s="179">
        <f t="shared" si="3"/>
        <v>4.3141852286049236</v>
      </c>
      <c r="Q73" s="183">
        <f t="shared" si="3"/>
        <v>2.6729191090269637</v>
      </c>
      <c r="R73" s="183">
        <f t="shared" si="3"/>
        <v>0.91441969519343491</v>
      </c>
      <c r="S73" s="183">
        <f t="shared" si="3"/>
        <v>6.0257913247362254</v>
      </c>
      <c r="T73" s="182">
        <f t="shared" si="3"/>
        <v>4.5955451348182885</v>
      </c>
      <c r="U73" s="184"/>
      <c r="V73" s="179">
        <f t="shared" si="4"/>
        <v>14.419695193434936</v>
      </c>
      <c r="W73" s="183">
        <f t="shared" si="4"/>
        <v>13.17702227432591</v>
      </c>
      <c r="X73" s="183">
        <f t="shared" si="4"/>
        <v>11.371629542790153</v>
      </c>
      <c r="Y73" s="182">
        <f t="shared" si="4"/>
        <v>16.248534583821804</v>
      </c>
      <c r="Z73" s="179">
        <f t="shared" si="4"/>
        <v>28.417350527549829</v>
      </c>
      <c r="AA73" s="183">
        <f t="shared" si="4"/>
        <v>26.776084407971862</v>
      </c>
      <c r="AB73" s="183">
        <f t="shared" si="4"/>
        <v>24.900351699882769</v>
      </c>
      <c r="AC73" s="182">
        <f t="shared" si="4"/>
        <v>30.222743259085576</v>
      </c>
    </row>
    <row r="74" spans="1:29">
      <c r="A74" s="173" t="s">
        <v>304</v>
      </c>
      <c r="B74" s="174">
        <f t="shared" si="0"/>
        <v>3.5404454865181716</v>
      </c>
      <c r="C74" s="175">
        <f t="shared" si="0"/>
        <v>2.3446658851113718</v>
      </c>
      <c r="D74" s="175">
        <f t="shared" si="0"/>
        <v>0.89097303634232139</v>
      </c>
      <c r="E74" s="176">
        <f t="shared" si="0"/>
        <v>1.1957796014067996</v>
      </c>
      <c r="F74" s="177">
        <f t="shared" si="0"/>
        <v>2.0164126611957798</v>
      </c>
      <c r="G74" s="178">
        <f t="shared" si="0"/>
        <v>0.75029308323563892</v>
      </c>
      <c r="H74" s="178">
        <f t="shared" si="0"/>
        <v>-0.70339976553341155</v>
      </c>
      <c r="I74" s="178">
        <f t="shared" si="0"/>
        <v>3.3528722157092612</v>
      </c>
      <c r="J74" s="176">
        <f t="shared" si="0"/>
        <v>2.0867526377491208</v>
      </c>
      <c r="K74" s="173"/>
      <c r="L74" s="177">
        <f t="shared" si="3"/>
        <v>3.8921453692848775</v>
      </c>
      <c r="M74" s="178">
        <f t="shared" si="3"/>
        <v>2.6025791324736227</v>
      </c>
      <c r="N74" s="178">
        <f t="shared" si="3"/>
        <v>0.98475967174677614</v>
      </c>
      <c r="O74" s="176">
        <f t="shared" si="3"/>
        <v>1.3364595545134819</v>
      </c>
      <c r="P74" s="177">
        <f t="shared" si="3"/>
        <v>2.5322391559202817</v>
      </c>
      <c r="Q74" s="178">
        <f t="shared" si="3"/>
        <v>1.1488862837045721</v>
      </c>
      <c r="R74" s="178">
        <f t="shared" si="3"/>
        <v>-0.51582649472450182</v>
      </c>
      <c r="S74" s="178">
        <f t="shared" si="3"/>
        <v>3.9859320046893316</v>
      </c>
      <c r="T74" s="176">
        <f t="shared" si="3"/>
        <v>2.6025791324736227</v>
      </c>
      <c r="U74" s="172"/>
      <c r="V74" s="177">
        <f t="shared" si="4"/>
        <v>8.0656506447831191</v>
      </c>
      <c r="W74" s="178">
        <f t="shared" si="4"/>
        <v>6.7526377491207503</v>
      </c>
      <c r="X74" s="178">
        <f t="shared" si="4"/>
        <v>5.1113716295427905</v>
      </c>
      <c r="Y74" s="176">
        <f t="shared" si="4"/>
        <v>9.7538100820633069</v>
      </c>
      <c r="Z74" s="177">
        <f t="shared" si="4"/>
        <v>18.780773739742088</v>
      </c>
      <c r="AA74" s="178">
        <f t="shared" si="4"/>
        <v>17.444314185228606</v>
      </c>
      <c r="AB74" s="178">
        <f t="shared" si="4"/>
        <v>15.82649472450176</v>
      </c>
      <c r="AC74" s="176">
        <f t="shared" si="4"/>
        <v>20.445486518171162</v>
      </c>
    </row>
    <row r="75" spans="1:29">
      <c r="A75" s="173" t="s">
        <v>305</v>
      </c>
      <c r="B75" s="174">
        <f t="shared" si="0"/>
        <v>2.5087924970691677</v>
      </c>
      <c r="C75" s="175">
        <f t="shared" si="0"/>
        <v>1.6412661195779603</v>
      </c>
      <c r="D75" s="175">
        <f t="shared" si="0"/>
        <v>0.63305978898007043</v>
      </c>
      <c r="E75" s="176">
        <f t="shared" si="0"/>
        <v>0.77373974208675267</v>
      </c>
      <c r="F75" s="177">
        <f t="shared" si="0"/>
        <v>0.98475967174677614</v>
      </c>
      <c r="G75" s="178">
        <f t="shared" si="0"/>
        <v>0.16412661195779601</v>
      </c>
      <c r="H75" s="178">
        <f t="shared" si="0"/>
        <v>-0.89097303634232139</v>
      </c>
      <c r="I75" s="178">
        <f t="shared" si="0"/>
        <v>1.6412661195779603</v>
      </c>
      <c r="J75" s="176">
        <f t="shared" si="0"/>
        <v>0.86752637749120753</v>
      </c>
      <c r="K75" s="173"/>
      <c r="L75" s="177">
        <f t="shared" si="3"/>
        <v>2.1101992966002348</v>
      </c>
      <c r="M75" s="178">
        <f t="shared" si="3"/>
        <v>1.3833528722157094</v>
      </c>
      <c r="N75" s="178">
        <f t="shared" si="3"/>
        <v>0.49237983587338807</v>
      </c>
      <c r="O75" s="176">
        <f t="shared" si="3"/>
        <v>1.2192262602579134</v>
      </c>
      <c r="P75" s="177">
        <f t="shared" si="3"/>
        <v>0.72684642438452529</v>
      </c>
      <c r="Q75" s="178">
        <f t="shared" si="3"/>
        <v>4.6893317702227433E-2</v>
      </c>
      <c r="R75" s="178">
        <f t="shared" si="3"/>
        <v>-0.77373974208675267</v>
      </c>
      <c r="S75" s="178">
        <f t="shared" si="3"/>
        <v>3.9566236811254401</v>
      </c>
      <c r="T75" s="176">
        <f t="shared" si="3"/>
        <v>2.7461899179366944</v>
      </c>
      <c r="U75" s="172"/>
      <c r="V75" s="177">
        <f t="shared" si="4"/>
        <v>3.3763188745603752</v>
      </c>
      <c r="W75" s="178">
        <f t="shared" si="4"/>
        <v>2.6025791324736227</v>
      </c>
      <c r="X75" s="178">
        <f t="shared" si="4"/>
        <v>1.6178194607268468</v>
      </c>
      <c r="Y75" s="176">
        <f t="shared" si="4"/>
        <v>4.4783118405627205</v>
      </c>
      <c r="Z75" s="177">
        <f t="shared" si="4"/>
        <v>7.6670574443141852</v>
      </c>
      <c r="AA75" s="178">
        <f t="shared" si="4"/>
        <v>6.9402110199296603</v>
      </c>
      <c r="AB75" s="178">
        <f t="shared" si="4"/>
        <v>6.0492379835873393</v>
      </c>
      <c r="AC75" s="176">
        <f t="shared" si="4"/>
        <v>8.6049237983587332</v>
      </c>
    </row>
    <row r="76" spans="1:29">
      <c r="A76" s="173" t="s">
        <v>307</v>
      </c>
      <c r="B76" s="174">
        <f t="shared" si="0"/>
        <v>4.3610785463071515</v>
      </c>
      <c r="C76" s="175">
        <f t="shared" si="0"/>
        <v>2.8839390386869872</v>
      </c>
      <c r="D76" s="175">
        <f t="shared" si="0"/>
        <v>1.0785463071512309</v>
      </c>
      <c r="E76" s="176">
        <f t="shared" si="0"/>
        <v>1.5240328253223918</v>
      </c>
      <c r="F76" s="177">
        <f t="shared" si="0"/>
        <v>2.0633059788980073</v>
      </c>
      <c r="G76" s="178">
        <f t="shared" si="0"/>
        <v>0.53927315357561545</v>
      </c>
      <c r="H76" s="178">
        <f t="shared" si="0"/>
        <v>-1.3130128956623681</v>
      </c>
      <c r="I76" s="178">
        <f t="shared" si="0"/>
        <v>3.5873388042203986</v>
      </c>
      <c r="J76" s="176">
        <f t="shared" si="0"/>
        <v>2.1101992966002348</v>
      </c>
      <c r="K76" s="173"/>
      <c r="L76" s="177">
        <f t="shared" si="3"/>
        <v>4.0797186400937866</v>
      </c>
      <c r="M76" s="178">
        <f t="shared" si="3"/>
        <v>2.6963657678780777</v>
      </c>
      <c r="N76" s="178">
        <f t="shared" si="3"/>
        <v>0.98475967174677614</v>
      </c>
      <c r="O76" s="176">
        <f t="shared" si="3"/>
        <v>1.4771395076201641</v>
      </c>
      <c r="P76" s="177">
        <f t="shared" si="3"/>
        <v>1.9695193434935523</v>
      </c>
      <c r="Q76" s="178">
        <f t="shared" si="3"/>
        <v>0.53927315357561545</v>
      </c>
      <c r="R76" s="178">
        <f t="shared" si="3"/>
        <v>-1.1957796014067996</v>
      </c>
      <c r="S76" s="178">
        <f t="shared" si="3"/>
        <v>3.4232121922626022</v>
      </c>
      <c r="T76" s="176">
        <f t="shared" si="3"/>
        <v>1.9695193434935523</v>
      </c>
      <c r="U76" s="172"/>
      <c r="V76" s="177">
        <f t="shared" si="4"/>
        <v>7.8311840562719812</v>
      </c>
      <c r="W76" s="178">
        <f t="shared" si="4"/>
        <v>6.3071512309495894</v>
      </c>
      <c r="X76" s="178">
        <f t="shared" si="4"/>
        <v>4.5252051582649475</v>
      </c>
      <c r="Y76" s="176">
        <f t="shared" si="4"/>
        <v>9.683470105509965</v>
      </c>
      <c r="Z76" s="177">
        <f t="shared" si="4"/>
        <v>18.499413833528724</v>
      </c>
      <c r="AA76" s="178">
        <f t="shared" si="4"/>
        <v>16.951934349355216</v>
      </c>
      <c r="AB76" s="178">
        <f t="shared" si="4"/>
        <v>15.099648300117233</v>
      </c>
      <c r="AC76" s="176">
        <f t="shared" si="4"/>
        <v>20.445486518171162</v>
      </c>
    </row>
    <row r="77" spans="1:29">
      <c r="A77" s="173" t="s">
        <v>309</v>
      </c>
      <c r="B77" s="174">
        <f t="shared" si="0"/>
        <v>2.3446658851113718</v>
      </c>
      <c r="C77" s="175">
        <f t="shared" si="0"/>
        <v>1.5709261430246191</v>
      </c>
      <c r="D77" s="175">
        <f t="shared" si="0"/>
        <v>0.58616647127784294</v>
      </c>
      <c r="E77" s="176">
        <f t="shared" si="0"/>
        <v>0.77373974208675267</v>
      </c>
      <c r="F77" s="177">
        <f t="shared" si="0"/>
        <v>3.1887456037514661</v>
      </c>
      <c r="G77" s="178">
        <f t="shared" si="0"/>
        <v>2.3915592028135992</v>
      </c>
      <c r="H77" s="178">
        <f t="shared" si="0"/>
        <v>1.4302461899179368</v>
      </c>
      <c r="I77" s="178">
        <f t="shared" si="0"/>
        <v>4.2203985932004695</v>
      </c>
      <c r="J77" s="176">
        <f t="shared" si="0"/>
        <v>3.4466588511137162</v>
      </c>
      <c r="K77" s="173"/>
      <c r="L77" s="177">
        <f t="shared" si="3"/>
        <v>2.4618991793669402</v>
      </c>
      <c r="M77" s="178">
        <f t="shared" si="3"/>
        <v>1.6178194607268468</v>
      </c>
      <c r="N77" s="178">
        <f t="shared" si="3"/>
        <v>0.60961313012895668</v>
      </c>
      <c r="O77" s="176">
        <f t="shared" si="3"/>
        <v>1.2192262602579134</v>
      </c>
      <c r="P77" s="177">
        <f t="shared" si="3"/>
        <v>2.3941643871303895</v>
      </c>
      <c r="Q77" s="178">
        <f t="shared" si="3"/>
        <v>1.2270418132082848</v>
      </c>
      <c r="R77" s="178">
        <f t="shared" si="3"/>
        <v>-8.3365898137293254E-2</v>
      </c>
      <c r="S77" s="178">
        <f t="shared" si="3"/>
        <v>3.9566236811254401</v>
      </c>
      <c r="T77" s="176">
        <f t="shared" si="3"/>
        <v>2.7461899179366944</v>
      </c>
      <c r="U77" s="172"/>
      <c r="V77" s="177">
        <f t="shared" si="4"/>
        <v>13.575615474794839</v>
      </c>
      <c r="W77" s="178">
        <f t="shared" si="4"/>
        <v>12.543962485345839</v>
      </c>
      <c r="X77" s="178">
        <f t="shared" si="4"/>
        <v>11.301289566236811</v>
      </c>
      <c r="Y77" s="176">
        <f t="shared" si="4"/>
        <v>14.865181711606096</v>
      </c>
      <c r="Z77" s="177">
        <f t="shared" si="4"/>
        <v>26.307151230949593</v>
      </c>
      <c r="AA77" s="178">
        <f t="shared" si="4"/>
        <v>25.252051582649472</v>
      </c>
      <c r="AB77" s="178">
        <f t="shared" si="4"/>
        <v>23.962485345838218</v>
      </c>
      <c r="AC77" s="176">
        <f t="shared" si="4"/>
        <v>27.620164126611957</v>
      </c>
    </row>
    <row r="78" spans="1:29">
      <c r="A78" s="173" t="s">
        <v>310</v>
      </c>
      <c r="B78" s="174">
        <f t="shared" si="0"/>
        <v>2.8370457209847597</v>
      </c>
      <c r="C78" s="175">
        <f t="shared" si="0"/>
        <v>1.8757327080890975</v>
      </c>
      <c r="D78" s="175">
        <f t="shared" si="0"/>
        <v>0.70339976553341155</v>
      </c>
      <c r="E78" s="176">
        <f t="shared" si="0"/>
        <v>0.98475967174677614</v>
      </c>
      <c r="F78" s="177">
        <f t="shared" si="0"/>
        <v>1.6412661195779603</v>
      </c>
      <c r="G78" s="178">
        <f t="shared" si="0"/>
        <v>0.65650644783118406</v>
      </c>
      <c r="H78" s="178">
        <f t="shared" si="0"/>
        <v>-0.56271981242672919</v>
      </c>
      <c r="I78" s="178">
        <f t="shared" si="0"/>
        <v>2.6963657678780777</v>
      </c>
      <c r="J78" s="176">
        <f t="shared" si="0"/>
        <v>1.6881594372801876</v>
      </c>
      <c r="K78" s="173"/>
      <c r="L78" s="177">
        <f t="shared" si="3"/>
        <v>2.5791324736225092</v>
      </c>
      <c r="M78" s="178">
        <f t="shared" si="3"/>
        <v>1.6881594372801876</v>
      </c>
      <c r="N78" s="178">
        <f t="shared" si="3"/>
        <v>0.63305978898007043</v>
      </c>
      <c r="O78" s="176">
        <f t="shared" si="3"/>
        <v>0.93786635404454877</v>
      </c>
      <c r="P78" s="177">
        <f t="shared" si="3"/>
        <v>1.4536928487690506</v>
      </c>
      <c r="Q78" s="178">
        <f t="shared" si="3"/>
        <v>0.53927315357561545</v>
      </c>
      <c r="R78" s="178">
        <f t="shared" si="3"/>
        <v>-0.56271981242672919</v>
      </c>
      <c r="S78" s="178">
        <f t="shared" si="3"/>
        <v>2.4618991793669402</v>
      </c>
      <c r="T78" s="176">
        <f t="shared" si="3"/>
        <v>1.5240328253223918</v>
      </c>
      <c r="U78" s="172"/>
      <c r="V78" s="177">
        <f t="shared" si="4"/>
        <v>4.8300117233294264</v>
      </c>
      <c r="W78" s="178">
        <f t="shared" si="4"/>
        <v>3.9155920281359906</v>
      </c>
      <c r="X78" s="178">
        <f t="shared" si="4"/>
        <v>2.8135990621336462</v>
      </c>
      <c r="Y78" s="176">
        <f t="shared" si="4"/>
        <v>5.9788980070339974</v>
      </c>
      <c r="Z78" s="177">
        <f t="shared" si="4"/>
        <v>10.644783118405627</v>
      </c>
      <c r="AA78" s="178">
        <f t="shared" si="4"/>
        <v>9.7772567409144209</v>
      </c>
      <c r="AB78" s="178">
        <f t="shared" si="4"/>
        <v>8.7221570926143031</v>
      </c>
      <c r="AC78" s="176">
        <f t="shared" si="4"/>
        <v>11.746776084407973</v>
      </c>
    </row>
    <row r="79" spans="1:29">
      <c r="A79" s="173" t="s">
        <v>311</v>
      </c>
      <c r="B79" s="174">
        <f t="shared" si="0"/>
        <v>4.1500586166471285</v>
      </c>
      <c r="C79" s="175">
        <f t="shared" si="0"/>
        <v>2.7667057444314187</v>
      </c>
      <c r="D79" s="175">
        <f t="shared" si="0"/>
        <v>1.0316529894490036</v>
      </c>
      <c r="E79" s="176">
        <f t="shared" si="0"/>
        <v>1.4067995310668231</v>
      </c>
      <c r="F79" s="177">
        <f t="shared" si="0"/>
        <v>3.7514654161781951</v>
      </c>
      <c r="G79" s="178">
        <f t="shared" si="0"/>
        <v>2.3446658851113718</v>
      </c>
      <c r="H79" s="178">
        <f t="shared" si="0"/>
        <v>0.58616647127784294</v>
      </c>
      <c r="I79" s="178">
        <f t="shared" si="0"/>
        <v>5.4161781946072693</v>
      </c>
      <c r="J79" s="176">
        <f t="shared" si="0"/>
        <v>3.9859320046893316</v>
      </c>
      <c r="K79" s="173"/>
      <c r="L79" s="177">
        <f t="shared" si="3"/>
        <v>4.9472450175849945</v>
      </c>
      <c r="M79" s="178">
        <f t="shared" si="3"/>
        <v>3.2825322391559206</v>
      </c>
      <c r="N79" s="178">
        <f t="shared" si="3"/>
        <v>1.2192262602579134</v>
      </c>
      <c r="O79" s="176">
        <f t="shared" si="3"/>
        <v>1.7350527549824151</v>
      </c>
      <c r="P79" s="177">
        <f t="shared" si="3"/>
        <v>5.8147713950762023</v>
      </c>
      <c r="Q79" s="178">
        <f t="shared" si="3"/>
        <v>4.1266119577960145</v>
      </c>
      <c r="R79" s="178">
        <f t="shared" si="3"/>
        <v>2.0867526377491208</v>
      </c>
      <c r="S79" s="178">
        <f t="shared" si="3"/>
        <v>7.9484173505275493</v>
      </c>
      <c r="T79" s="176">
        <f t="shared" si="3"/>
        <v>6.2368112543962484</v>
      </c>
      <c r="U79" s="172"/>
      <c r="V79" s="177">
        <f t="shared" si="4"/>
        <v>18.35873388042204</v>
      </c>
      <c r="W79" s="178">
        <f t="shared" si="4"/>
        <v>16.5767878077374</v>
      </c>
      <c r="X79" s="178">
        <f t="shared" si="4"/>
        <v>14.396248534583822</v>
      </c>
      <c r="Y79" s="176">
        <f t="shared" si="4"/>
        <v>20.586166471277846</v>
      </c>
      <c r="Z79" s="177">
        <f t="shared" si="4"/>
        <v>36.764361078546308</v>
      </c>
      <c r="AA79" s="178">
        <f t="shared" si="4"/>
        <v>34.912075029308326</v>
      </c>
      <c r="AB79" s="178">
        <f t="shared" si="4"/>
        <v>32.637749120750293</v>
      </c>
      <c r="AC79" s="176">
        <f t="shared" si="4"/>
        <v>39.155920281359911</v>
      </c>
    </row>
    <row r="80" spans="1:29">
      <c r="A80" s="173" t="s">
        <v>313</v>
      </c>
      <c r="B80" s="174">
        <f t="shared" si="0"/>
        <v>2.1453692848769053</v>
      </c>
      <c r="C80" s="175">
        <f t="shared" si="0"/>
        <v>1.4185228604923799</v>
      </c>
      <c r="D80" s="175">
        <f t="shared" si="0"/>
        <v>0.52754982415005869</v>
      </c>
      <c r="E80" s="176">
        <f t="shared" si="0"/>
        <v>0.73856975381008205</v>
      </c>
      <c r="F80" s="177">
        <f t="shared" si="0"/>
        <v>1.3833528722157094</v>
      </c>
      <c r="G80" s="178">
        <f t="shared" si="0"/>
        <v>0.65650644783118406</v>
      </c>
      <c r="H80" s="178">
        <f t="shared" si="0"/>
        <v>-0.22274325908558035</v>
      </c>
      <c r="I80" s="178">
        <f t="shared" si="0"/>
        <v>2.1805392731535758</v>
      </c>
      <c r="J80" s="176">
        <f t="shared" si="0"/>
        <v>1.4888628370457211</v>
      </c>
      <c r="K80" s="173"/>
      <c r="L80" s="177">
        <f t="shared" si="3"/>
        <v>2.1453692848769053</v>
      </c>
      <c r="M80" s="178">
        <f t="shared" si="3"/>
        <v>1.4419695193434936</v>
      </c>
      <c r="N80" s="178">
        <f t="shared" si="3"/>
        <v>0.52754982415005869</v>
      </c>
      <c r="O80" s="176">
        <f t="shared" si="3"/>
        <v>0.79718640093786652</v>
      </c>
      <c r="P80" s="177">
        <f t="shared" si="3"/>
        <v>1.7936694021101993</v>
      </c>
      <c r="Q80" s="178">
        <f t="shared" si="3"/>
        <v>1.0550996483001174</v>
      </c>
      <c r="R80" s="178">
        <f t="shared" si="3"/>
        <v>0.17584994138335289</v>
      </c>
      <c r="S80" s="178">
        <f t="shared" si="3"/>
        <v>2.7549824150058617</v>
      </c>
      <c r="T80" s="176">
        <f t="shared" si="3"/>
        <v>1.9577960140679953</v>
      </c>
      <c r="U80" s="172"/>
      <c r="V80" s="177">
        <f t="shared" si="4"/>
        <v>7.0457209847596722</v>
      </c>
      <c r="W80" s="178">
        <f t="shared" si="4"/>
        <v>6.0961313012895673</v>
      </c>
      <c r="X80" s="178">
        <f t="shared" si="4"/>
        <v>4.8651817116060965</v>
      </c>
      <c r="Y80" s="176">
        <f t="shared" si="4"/>
        <v>8.3470105509964831</v>
      </c>
      <c r="Z80" s="177">
        <f t="shared" si="4"/>
        <v>14.220398593200471</v>
      </c>
      <c r="AA80" s="178">
        <f t="shared" si="4"/>
        <v>13.305978898007035</v>
      </c>
      <c r="AB80" s="178">
        <f t="shared" si="4"/>
        <v>12.121922626025793</v>
      </c>
      <c r="AC80" s="176">
        <f t="shared" si="4"/>
        <v>15.439624853458383</v>
      </c>
    </row>
    <row r="81" spans="1:29">
      <c r="A81" s="173" t="s">
        <v>314</v>
      </c>
      <c r="B81" s="174">
        <f t="shared" ref="B81:J83" si="5">B54*100000/3412*$A$63</f>
        <v>2.1453692848769053</v>
      </c>
      <c r="C81" s="175">
        <f t="shared" si="5"/>
        <v>1.4185228604923799</v>
      </c>
      <c r="D81" s="175">
        <f t="shared" si="5"/>
        <v>0.52754982415005869</v>
      </c>
      <c r="E81" s="176">
        <f t="shared" si="5"/>
        <v>0.73856975381008205</v>
      </c>
      <c r="F81" s="177">
        <f t="shared" si="5"/>
        <v>1.3833528722157094</v>
      </c>
      <c r="G81" s="178">
        <f t="shared" si="5"/>
        <v>0.65650644783118406</v>
      </c>
      <c r="H81" s="178">
        <f t="shared" si="5"/>
        <v>-0.22274325908558035</v>
      </c>
      <c r="I81" s="178">
        <f t="shared" si="5"/>
        <v>2.1805392731535758</v>
      </c>
      <c r="J81" s="176">
        <f t="shared" si="5"/>
        <v>1.4888628370457211</v>
      </c>
      <c r="K81" s="173"/>
      <c r="L81" s="177">
        <f t="shared" si="3"/>
        <v>2.1453692848769053</v>
      </c>
      <c r="M81" s="178">
        <f t="shared" si="3"/>
        <v>1.4419695193434936</v>
      </c>
      <c r="N81" s="178">
        <f t="shared" si="3"/>
        <v>0.52754982415005869</v>
      </c>
      <c r="O81" s="176">
        <f t="shared" si="3"/>
        <v>0.79718640093786652</v>
      </c>
      <c r="P81" s="177">
        <f t="shared" si="3"/>
        <v>1.7936694021101993</v>
      </c>
      <c r="Q81" s="178">
        <f t="shared" si="3"/>
        <v>1.0550996483001174</v>
      </c>
      <c r="R81" s="178">
        <f t="shared" si="3"/>
        <v>0.17584994138335289</v>
      </c>
      <c r="S81" s="178">
        <f t="shared" si="3"/>
        <v>2.7549824150058617</v>
      </c>
      <c r="T81" s="176">
        <f t="shared" si="3"/>
        <v>1.9577960140679953</v>
      </c>
      <c r="U81" s="172"/>
      <c r="V81" s="177">
        <f t="shared" si="4"/>
        <v>7.0457209847596722</v>
      </c>
      <c r="W81" s="178">
        <f t="shared" si="4"/>
        <v>6.0961313012895673</v>
      </c>
      <c r="X81" s="178">
        <f t="shared" si="4"/>
        <v>4.8651817116060965</v>
      </c>
      <c r="Y81" s="176">
        <f t="shared" si="4"/>
        <v>8.3470105509964831</v>
      </c>
      <c r="Z81" s="177">
        <f t="shared" si="4"/>
        <v>14.220398593200471</v>
      </c>
      <c r="AA81" s="178">
        <f t="shared" si="4"/>
        <v>13.305978898007035</v>
      </c>
      <c r="AB81" s="178">
        <f t="shared" si="4"/>
        <v>12.121922626025793</v>
      </c>
      <c r="AC81" s="176">
        <f t="shared" si="4"/>
        <v>15.439624853458383</v>
      </c>
    </row>
    <row r="82" spans="1:29">
      <c r="A82" s="173" t="s">
        <v>315</v>
      </c>
      <c r="B82" s="174">
        <f t="shared" si="5"/>
        <v>2.2274325908558033</v>
      </c>
      <c r="C82" s="175">
        <f t="shared" si="5"/>
        <v>1.6647127784290736</v>
      </c>
      <c r="D82" s="175">
        <f t="shared" si="5"/>
        <v>0.56271981242672919</v>
      </c>
      <c r="E82" s="176">
        <f t="shared" si="5"/>
        <v>0.56271981242672919</v>
      </c>
      <c r="F82" s="177">
        <f t="shared" si="5"/>
        <v>1.1254396248534584</v>
      </c>
      <c r="G82" s="157">
        <v>1E-4</v>
      </c>
      <c r="H82" s="178">
        <f t="shared" si="5"/>
        <v>-1.1254396248534584</v>
      </c>
      <c r="I82" s="178">
        <f t="shared" si="5"/>
        <v>2.2274325908558033</v>
      </c>
      <c r="J82" s="176">
        <f t="shared" si="5"/>
        <v>1.1254396248534584</v>
      </c>
      <c r="K82" s="173"/>
      <c r="L82" s="177">
        <f t="shared" ref="L82:T87" si="6">L55*100000/3412*$A$63</f>
        <v>2.7901524032825322</v>
      </c>
      <c r="M82" s="178">
        <f t="shared" si="6"/>
        <v>1.6647127784290736</v>
      </c>
      <c r="N82" s="178">
        <f t="shared" si="6"/>
        <v>0.56271981242672919</v>
      </c>
      <c r="O82" s="176">
        <f t="shared" si="6"/>
        <v>1.2192262602579134</v>
      </c>
      <c r="P82" s="177">
        <f t="shared" si="6"/>
        <v>2.3941643871303895</v>
      </c>
      <c r="Q82" s="178">
        <f t="shared" si="6"/>
        <v>1.2270418132082848</v>
      </c>
      <c r="R82" s="178">
        <f t="shared" si="6"/>
        <v>-8.3365898137293254E-2</v>
      </c>
      <c r="S82" s="178">
        <f t="shared" si="6"/>
        <v>3.9566236811254401</v>
      </c>
      <c r="T82" s="176">
        <f t="shared" si="6"/>
        <v>2.7461899179366944</v>
      </c>
      <c r="U82" s="172"/>
      <c r="V82" s="177">
        <f t="shared" ref="V82:AC87" si="7">V55*100000/3412*$A$63</f>
        <v>4.1969519343493555</v>
      </c>
      <c r="W82" s="178">
        <f t="shared" si="7"/>
        <v>3.0715123094958972</v>
      </c>
      <c r="X82" s="178">
        <f t="shared" si="7"/>
        <v>2.2274325908558033</v>
      </c>
      <c r="Y82" s="176">
        <f t="shared" si="7"/>
        <v>5.2989449003517004</v>
      </c>
      <c r="Z82" s="177">
        <f t="shared" si="7"/>
        <v>10.058616647127785</v>
      </c>
      <c r="AA82" s="178">
        <f t="shared" si="7"/>
        <v>9.214536928487691</v>
      </c>
      <c r="AB82" s="178">
        <f t="shared" si="7"/>
        <v>8.0890973036342313</v>
      </c>
      <c r="AC82" s="176">
        <f t="shared" si="7"/>
        <v>11.160609613130129</v>
      </c>
    </row>
    <row r="83" spans="1:29">
      <c r="A83" s="173" t="s">
        <v>317</v>
      </c>
      <c r="B83" s="174">
        <f t="shared" si="5"/>
        <v>4.1500586166471285</v>
      </c>
      <c r="C83" s="175">
        <f t="shared" si="5"/>
        <v>2.7667057444314187</v>
      </c>
      <c r="D83" s="175">
        <f t="shared" si="5"/>
        <v>1.0316529894490036</v>
      </c>
      <c r="E83" s="176">
        <f t="shared" si="5"/>
        <v>1.4067995310668231</v>
      </c>
      <c r="F83" s="177">
        <f t="shared" si="5"/>
        <v>3.7514654161781951</v>
      </c>
      <c r="G83" s="178">
        <f>G56*100000/3412*$A$63</f>
        <v>2.3446658851113718</v>
      </c>
      <c r="H83" s="178">
        <f t="shared" si="5"/>
        <v>0.58616647127784294</v>
      </c>
      <c r="I83" s="178">
        <f t="shared" si="5"/>
        <v>5.4161781946072693</v>
      </c>
      <c r="J83" s="176">
        <f t="shared" si="5"/>
        <v>3.9859320046893316</v>
      </c>
      <c r="K83" s="173"/>
      <c r="L83" s="177">
        <f t="shared" si="6"/>
        <v>4.9472450175849945</v>
      </c>
      <c r="M83" s="178">
        <f t="shared" si="6"/>
        <v>3.2825322391559206</v>
      </c>
      <c r="N83" s="178">
        <f t="shared" si="6"/>
        <v>1.2192262602579134</v>
      </c>
      <c r="O83" s="176">
        <f t="shared" si="6"/>
        <v>1.7350527549824151</v>
      </c>
      <c r="P83" s="177">
        <f t="shared" si="6"/>
        <v>5.8147713950762023</v>
      </c>
      <c r="Q83" s="178">
        <f t="shared" si="6"/>
        <v>4.1266119577960145</v>
      </c>
      <c r="R83" s="178">
        <f t="shared" si="6"/>
        <v>2.0867526377491208</v>
      </c>
      <c r="S83" s="178">
        <f t="shared" si="6"/>
        <v>7.9484173505275493</v>
      </c>
      <c r="T83" s="176">
        <f t="shared" si="6"/>
        <v>6.2368112543962484</v>
      </c>
      <c r="U83" s="172"/>
      <c r="V83" s="177">
        <f t="shared" si="7"/>
        <v>18.35873388042204</v>
      </c>
      <c r="W83" s="178">
        <f t="shared" si="7"/>
        <v>16.5767878077374</v>
      </c>
      <c r="X83" s="178">
        <f t="shared" si="7"/>
        <v>14.396248534583822</v>
      </c>
      <c r="Y83" s="176">
        <f t="shared" si="7"/>
        <v>20.586166471277846</v>
      </c>
      <c r="Z83" s="177">
        <f t="shared" si="7"/>
        <v>36.764361078546308</v>
      </c>
      <c r="AA83" s="178">
        <f t="shared" si="7"/>
        <v>34.912075029308326</v>
      </c>
      <c r="AB83" s="178">
        <f t="shared" si="7"/>
        <v>32.637749120750293</v>
      </c>
      <c r="AC83" s="176">
        <f t="shared" si="7"/>
        <v>39.155920281359911</v>
      </c>
    </row>
    <row r="84" spans="1:29">
      <c r="A84" s="173" t="s">
        <v>258</v>
      </c>
      <c r="B84" s="181">
        <v>1E-4</v>
      </c>
      <c r="C84" s="181">
        <v>1E-4</v>
      </c>
      <c r="D84" s="181">
        <v>1E-4</v>
      </c>
      <c r="E84" s="157">
        <v>1E-4</v>
      </c>
      <c r="F84" s="157">
        <v>1E-4</v>
      </c>
      <c r="G84" s="157">
        <v>1E-4</v>
      </c>
      <c r="H84" s="157">
        <v>1E-4</v>
      </c>
      <c r="I84" s="157">
        <v>1E-4</v>
      </c>
      <c r="J84" s="157">
        <v>1E-4</v>
      </c>
      <c r="K84" s="173"/>
      <c r="L84" s="177">
        <f t="shared" si="6"/>
        <v>1.3130128956623681</v>
      </c>
      <c r="M84" s="178">
        <f t="shared" si="6"/>
        <v>0.75029308323563892</v>
      </c>
      <c r="N84" s="178">
        <f t="shared" si="6"/>
        <v>0.56271981242672919</v>
      </c>
      <c r="O84" s="176">
        <f t="shared" si="6"/>
        <v>0.84407971864009379</v>
      </c>
      <c r="P84" s="177">
        <f t="shared" si="6"/>
        <v>0.56271981242672919</v>
      </c>
      <c r="Q84" s="178">
        <f t="shared" si="6"/>
        <v>-9.3786635404454866E-2</v>
      </c>
      <c r="R84" s="178">
        <f t="shared" si="6"/>
        <v>-0.2813599062133646</v>
      </c>
      <c r="S84" s="178">
        <f t="shared" si="6"/>
        <v>1.2192262602579134</v>
      </c>
      <c r="T84" s="176">
        <f t="shared" si="6"/>
        <v>0.56271981242672919</v>
      </c>
      <c r="U84" s="172"/>
      <c r="V84" s="177">
        <f t="shared" si="7"/>
        <v>4.4548651817116065</v>
      </c>
      <c r="W84" s="178">
        <f t="shared" si="7"/>
        <v>3.7280187573270811</v>
      </c>
      <c r="X84" s="178">
        <f t="shared" si="7"/>
        <v>2.7901524032825322</v>
      </c>
      <c r="Y84" s="176">
        <f t="shared" si="7"/>
        <v>5.4865181711606104</v>
      </c>
      <c r="Z84" s="177">
        <f t="shared" si="7"/>
        <v>9.0269636576787811</v>
      </c>
      <c r="AA84" s="178">
        <f t="shared" si="7"/>
        <v>8.3704572098475971</v>
      </c>
      <c r="AB84" s="178">
        <f t="shared" si="7"/>
        <v>8.276670574443143</v>
      </c>
      <c r="AC84" s="176">
        <f t="shared" si="7"/>
        <v>9.9648300117233291</v>
      </c>
    </row>
    <row r="85" spans="1:29">
      <c r="A85" s="173" t="s">
        <v>248</v>
      </c>
      <c r="B85" s="174">
        <f t="shared" ref="B85:J87" si="8">B58*100000/3412*$A$63</f>
        <v>2.8937084798749511</v>
      </c>
      <c r="C85" s="175">
        <f t="shared" si="8"/>
        <v>1.9226260257913248</v>
      </c>
      <c r="D85" s="175">
        <f t="shared" si="8"/>
        <v>0.71316920672137551</v>
      </c>
      <c r="E85" s="176">
        <f t="shared" si="8"/>
        <v>0.96326690113325508</v>
      </c>
      <c r="F85" s="177">
        <f t="shared" si="8"/>
        <v>1.9187182493161392</v>
      </c>
      <c r="G85" s="178">
        <f t="shared" si="8"/>
        <v>0.88706525986713558</v>
      </c>
      <c r="H85" s="178">
        <f t="shared" si="8"/>
        <v>-0.33606877686596326</v>
      </c>
      <c r="I85" s="178">
        <f t="shared" si="8"/>
        <v>3.0148495506057049</v>
      </c>
      <c r="J85" s="176">
        <f t="shared" si="8"/>
        <v>2.0046893317702228</v>
      </c>
      <c r="K85" s="173"/>
      <c r="L85" s="177">
        <f t="shared" si="6"/>
        <v>3.0519734271199686</v>
      </c>
      <c r="M85" s="178">
        <f t="shared" si="6"/>
        <v>1.9831965611567015</v>
      </c>
      <c r="N85" s="178">
        <f t="shared" si="6"/>
        <v>0.73661586557248915</v>
      </c>
      <c r="O85" s="176">
        <f t="shared" si="6"/>
        <v>1.2192262602579136</v>
      </c>
      <c r="P85" s="177">
        <f t="shared" si="6"/>
        <v>2.3941643871303895</v>
      </c>
      <c r="Q85" s="178">
        <f t="shared" si="6"/>
        <v>1.2270418132082845</v>
      </c>
      <c r="R85" s="178">
        <f t="shared" si="6"/>
        <v>-8.3365898137293226E-2</v>
      </c>
      <c r="S85" s="178">
        <f t="shared" si="6"/>
        <v>3.9566236811254401</v>
      </c>
      <c r="T85" s="176">
        <f t="shared" si="6"/>
        <v>2.7461899179366944</v>
      </c>
      <c r="U85" s="172"/>
      <c r="V85" s="177">
        <f t="shared" si="7"/>
        <v>9.046147287647873</v>
      </c>
      <c r="W85" s="178">
        <f t="shared" si="7"/>
        <v>7.8482361718000666</v>
      </c>
      <c r="X85" s="178">
        <f t="shared" si="7"/>
        <v>6.394543323031014</v>
      </c>
      <c r="Y85" s="176">
        <f t="shared" si="7"/>
        <v>10.585100714057337</v>
      </c>
      <c r="Z85" s="177">
        <f t="shared" si="7"/>
        <v>17.330988667448217</v>
      </c>
      <c r="AA85" s="178">
        <f t="shared" si="7"/>
        <v>16.197733489644396</v>
      </c>
      <c r="AB85" s="178">
        <f t="shared" si="7"/>
        <v>14.869089488081281</v>
      </c>
      <c r="AC85" s="176">
        <f t="shared" si="7"/>
        <v>18.761234857366155</v>
      </c>
    </row>
    <row r="86" spans="1:29">
      <c r="A86" s="173" t="s">
        <v>332</v>
      </c>
      <c r="B86" s="174">
        <f t="shared" si="8"/>
        <v>2.8937084798749511</v>
      </c>
      <c r="C86" s="175">
        <f t="shared" si="8"/>
        <v>1.9226260257913248</v>
      </c>
      <c r="D86" s="175">
        <f t="shared" si="8"/>
        <v>0.71316920672137551</v>
      </c>
      <c r="E86" s="176">
        <f t="shared" si="8"/>
        <v>0.96326690113325508</v>
      </c>
      <c r="F86" s="177">
        <f t="shared" si="8"/>
        <v>1.9187182493161392</v>
      </c>
      <c r="G86" s="178">
        <f t="shared" si="8"/>
        <v>0.88706525986713558</v>
      </c>
      <c r="H86" s="178">
        <f t="shared" si="8"/>
        <v>-0.33606877686596326</v>
      </c>
      <c r="I86" s="178">
        <f t="shared" si="8"/>
        <v>3.0148495506057049</v>
      </c>
      <c r="J86" s="176">
        <f t="shared" si="8"/>
        <v>2.0046893317702228</v>
      </c>
      <c r="K86" s="173"/>
      <c r="L86" s="177">
        <f t="shared" si="6"/>
        <v>3.0519734271199686</v>
      </c>
      <c r="M86" s="178">
        <f t="shared" si="6"/>
        <v>1.9831965611567015</v>
      </c>
      <c r="N86" s="178">
        <f t="shared" si="6"/>
        <v>0.73661586557248915</v>
      </c>
      <c r="O86" s="176">
        <f t="shared" si="6"/>
        <v>1.2192262602579136</v>
      </c>
      <c r="P86" s="177">
        <f t="shared" si="6"/>
        <v>2.3941643871303895</v>
      </c>
      <c r="Q86" s="178">
        <f t="shared" si="6"/>
        <v>1.2270418132082845</v>
      </c>
      <c r="R86" s="178">
        <f t="shared" si="6"/>
        <v>-8.3365898137293226E-2</v>
      </c>
      <c r="S86" s="178">
        <f t="shared" si="6"/>
        <v>3.9566236811254401</v>
      </c>
      <c r="T86" s="176">
        <f t="shared" si="6"/>
        <v>2.7461899179366944</v>
      </c>
      <c r="U86" s="172"/>
      <c r="V86" s="177">
        <f t="shared" si="7"/>
        <v>9.046147287647873</v>
      </c>
      <c r="W86" s="178">
        <f t="shared" si="7"/>
        <v>7.8482361718000666</v>
      </c>
      <c r="X86" s="178">
        <f t="shared" si="7"/>
        <v>6.394543323031014</v>
      </c>
      <c r="Y86" s="176">
        <f t="shared" si="7"/>
        <v>10.585100714057337</v>
      </c>
      <c r="Z86" s="177">
        <f t="shared" si="7"/>
        <v>17.330988667448217</v>
      </c>
      <c r="AA86" s="178">
        <f t="shared" si="7"/>
        <v>16.197733489644396</v>
      </c>
      <c r="AB86" s="178">
        <f t="shared" si="7"/>
        <v>14.869089488081281</v>
      </c>
      <c r="AC86" s="176">
        <f t="shared" si="7"/>
        <v>18.761234857366155</v>
      </c>
    </row>
    <row r="87" spans="1:29">
      <c r="A87" s="173" t="s">
        <v>333</v>
      </c>
      <c r="B87" s="185">
        <f t="shared" si="8"/>
        <v>2.8937084798749511</v>
      </c>
      <c r="C87" s="186">
        <f t="shared" si="8"/>
        <v>1.9226260257913248</v>
      </c>
      <c r="D87" s="186">
        <f t="shared" si="8"/>
        <v>0.71316920672137551</v>
      </c>
      <c r="E87" s="187">
        <f t="shared" si="8"/>
        <v>0.96326690113325508</v>
      </c>
      <c r="F87" s="188">
        <f t="shared" si="8"/>
        <v>1.9187182493161392</v>
      </c>
      <c r="G87" s="189">
        <f t="shared" si="8"/>
        <v>0.88706525986713558</v>
      </c>
      <c r="H87" s="189">
        <f t="shared" si="8"/>
        <v>-0.33606877686596326</v>
      </c>
      <c r="I87" s="189">
        <f t="shared" si="8"/>
        <v>3.0148495506057049</v>
      </c>
      <c r="J87" s="187">
        <f t="shared" si="8"/>
        <v>2.0046893317702228</v>
      </c>
      <c r="K87" s="173"/>
      <c r="L87" s="188">
        <f t="shared" si="6"/>
        <v>3.0519734271199686</v>
      </c>
      <c r="M87" s="189">
        <f t="shared" si="6"/>
        <v>1.9831965611567015</v>
      </c>
      <c r="N87" s="189">
        <f t="shared" si="6"/>
        <v>0.73661586557248915</v>
      </c>
      <c r="O87" s="187">
        <f t="shared" si="6"/>
        <v>1.2192262602579136</v>
      </c>
      <c r="P87" s="188">
        <f t="shared" si="6"/>
        <v>2.3941643871303895</v>
      </c>
      <c r="Q87" s="189">
        <f t="shared" si="6"/>
        <v>1.2270418132082845</v>
      </c>
      <c r="R87" s="189">
        <f t="shared" si="6"/>
        <v>-8.3365898137293226E-2</v>
      </c>
      <c r="S87" s="189">
        <f t="shared" si="6"/>
        <v>3.9566236811254401</v>
      </c>
      <c r="T87" s="187">
        <f t="shared" si="6"/>
        <v>2.7461899179366944</v>
      </c>
      <c r="U87" s="172"/>
      <c r="V87" s="188">
        <f t="shared" si="7"/>
        <v>9.046147287647873</v>
      </c>
      <c r="W87" s="189">
        <f t="shared" si="7"/>
        <v>7.8482361718000666</v>
      </c>
      <c r="X87" s="189">
        <f t="shared" si="7"/>
        <v>6.394543323031014</v>
      </c>
      <c r="Y87" s="187">
        <f t="shared" si="7"/>
        <v>10.585100714057337</v>
      </c>
      <c r="Z87" s="188">
        <f t="shared" si="7"/>
        <v>17.330988667448217</v>
      </c>
      <c r="AA87" s="189">
        <f t="shared" si="7"/>
        <v>16.197733489644396</v>
      </c>
      <c r="AB87" s="189">
        <f t="shared" si="7"/>
        <v>14.869089488081281</v>
      </c>
      <c r="AC87" s="187">
        <f t="shared" si="7"/>
        <v>18.761234857366155</v>
      </c>
    </row>
    <row r="90" spans="1:29" ht="81.75">
      <c r="A90" s="190">
        <v>2</v>
      </c>
      <c r="B90" s="125" t="s">
        <v>321</v>
      </c>
      <c r="C90" s="125" t="s">
        <v>322</v>
      </c>
      <c r="D90" s="125" t="s">
        <v>323</v>
      </c>
      <c r="E90" s="125" t="s">
        <v>273</v>
      </c>
      <c r="F90" s="125" t="s">
        <v>324</v>
      </c>
      <c r="G90" s="125" t="s">
        <v>325</v>
      </c>
      <c r="H90" s="125" t="s">
        <v>326</v>
      </c>
      <c r="I90" s="125" t="s">
        <v>277</v>
      </c>
      <c r="J90" s="125" t="s">
        <v>278</v>
      </c>
      <c r="K90" s="125"/>
      <c r="L90" s="125" t="s">
        <v>321</v>
      </c>
      <c r="M90" s="125" t="s">
        <v>322</v>
      </c>
      <c r="N90" s="125" t="s">
        <v>323</v>
      </c>
      <c r="O90" s="125" t="s">
        <v>273</v>
      </c>
      <c r="P90" s="125" t="s">
        <v>324</v>
      </c>
      <c r="Q90" s="125" t="s">
        <v>325</v>
      </c>
      <c r="R90" s="125" t="s">
        <v>326</v>
      </c>
      <c r="S90" s="125" t="s">
        <v>277</v>
      </c>
      <c r="T90" s="125" t="s">
        <v>278</v>
      </c>
      <c r="U90" s="146"/>
      <c r="V90" s="125" t="s">
        <v>279</v>
      </c>
      <c r="W90" s="125" t="s">
        <v>280</v>
      </c>
      <c r="X90" s="125" t="s">
        <v>281</v>
      </c>
      <c r="Y90" s="125" t="s">
        <v>282</v>
      </c>
      <c r="Z90" s="125" t="s">
        <v>283</v>
      </c>
      <c r="AA90" s="125" t="s">
        <v>284</v>
      </c>
      <c r="AB90" s="125" t="s">
        <v>285</v>
      </c>
      <c r="AC90" s="125" t="s">
        <v>286</v>
      </c>
    </row>
    <row r="91" spans="1:29">
      <c r="A91" s="205" t="s">
        <v>335</v>
      </c>
      <c r="B91" s="206"/>
      <c r="C91" s="207"/>
      <c r="D91" s="207"/>
      <c r="E91" s="208"/>
      <c r="F91" s="206"/>
      <c r="G91" s="207"/>
      <c r="H91" s="207"/>
      <c r="I91" s="207"/>
      <c r="J91" s="208"/>
      <c r="K91" s="209"/>
      <c r="L91" s="206"/>
      <c r="M91" s="207"/>
      <c r="N91" s="207"/>
      <c r="O91" s="208"/>
      <c r="P91" s="206"/>
      <c r="Q91" s="207"/>
      <c r="R91" s="207"/>
      <c r="S91" s="207"/>
      <c r="T91" s="208"/>
      <c r="U91" s="210"/>
      <c r="V91" s="206"/>
      <c r="W91" s="207"/>
      <c r="X91" s="207"/>
      <c r="Y91" s="208"/>
      <c r="Z91" s="206"/>
      <c r="AA91" s="207"/>
      <c r="AB91" s="207"/>
      <c r="AC91" s="208"/>
    </row>
    <row r="92" spans="1:29">
      <c r="A92" s="211" t="s">
        <v>238</v>
      </c>
      <c r="B92" s="212">
        <f t="shared" ref="B92:J107" si="9">B65/$A$90</f>
        <v>1.1137162954279016</v>
      </c>
      <c r="C92" s="213">
        <f t="shared" si="9"/>
        <v>0.72684642438452529</v>
      </c>
      <c r="D92" s="213">
        <f t="shared" si="9"/>
        <v>0.2813599062133646</v>
      </c>
      <c r="E92" s="214">
        <f t="shared" si="9"/>
        <v>0.35169988276670577</v>
      </c>
      <c r="F92" s="212">
        <f t="shared" si="9"/>
        <v>0.24618991793669404</v>
      </c>
      <c r="G92" s="213">
        <f t="shared" si="9"/>
        <v>-0.12895662368112545</v>
      </c>
      <c r="H92" s="213">
        <f t="shared" si="9"/>
        <v>-0.57444314185228607</v>
      </c>
      <c r="I92" s="213">
        <f t="shared" si="9"/>
        <v>0.59788980070339981</v>
      </c>
      <c r="J92" s="214">
        <f t="shared" si="9"/>
        <v>0.24618991793669404</v>
      </c>
      <c r="K92" s="211"/>
      <c r="L92" s="212">
        <f t="shared" ref="L92:T107" si="10">L65/$A$90</f>
        <v>1.0697538100820632</v>
      </c>
      <c r="M92" s="213">
        <f t="shared" si="10"/>
        <v>0.70339976553341144</v>
      </c>
      <c r="N92" s="213">
        <f t="shared" si="10"/>
        <v>0.24912075029308328</v>
      </c>
      <c r="O92" s="214">
        <f t="shared" si="10"/>
        <v>0.30773739742086753</v>
      </c>
      <c r="P92" s="212">
        <f t="shared" si="10"/>
        <v>0.36635404454865184</v>
      </c>
      <c r="Q92" s="213">
        <f t="shared" si="10"/>
        <v>-2.9308323563892145E-2</v>
      </c>
      <c r="R92" s="213">
        <f t="shared" si="10"/>
        <v>-0.48358733880422039</v>
      </c>
      <c r="S92" s="213">
        <f t="shared" si="10"/>
        <v>0.67409144196951931</v>
      </c>
      <c r="T92" s="214">
        <f t="shared" si="10"/>
        <v>0.35169988276670572</v>
      </c>
      <c r="U92" s="210"/>
      <c r="V92" s="212">
        <f t="shared" ref="V92:AC107" si="11">V65/$A$90</f>
        <v>5.6538420547799229</v>
      </c>
      <c r="W92" s="213">
        <f t="shared" si="11"/>
        <v>4.9051476073750386</v>
      </c>
      <c r="X92" s="213">
        <f t="shared" si="11"/>
        <v>3.9965895768943835</v>
      </c>
      <c r="Y92" s="214">
        <f t="shared" si="11"/>
        <v>6.6156879462858367</v>
      </c>
      <c r="Z92" s="212">
        <f t="shared" si="11"/>
        <v>2.1395076201641263</v>
      </c>
      <c r="AA92" s="213">
        <f t="shared" si="11"/>
        <v>1.7731535756154748</v>
      </c>
      <c r="AB92" s="213">
        <f t="shared" si="11"/>
        <v>1.3188745603751466</v>
      </c>
      <c r="AC92" s="214">
        <f t="shared" si="11"/>
        <v>2.593786635404455</v>
      </c>
    </row>
    <row r="93" spans="1:29">
      <c r="A93" s="211" t="s">
        <v>291</v>
      </c>
      <c r="B93" s="212">
        <f t="shared" si="9"/>
        <v>2.0468933177022275</v>
      </c>
      <c r="C93" s="213">
        <f t="shared" si="9"/>
        <v>1.3411488862837047</v>
      </c>
      <c r="D93" s="213">
        <f t="shared" si="9"/>
        <v>0.48769050410316528</v>
      </c>
      <c r="E93" s="214">
        <f t="shared" si="9"/>
        <v>0.70339976553341155</v>
      </c>
      <c r="F93" s="212">
        <f t="shared" si="9"/>
        <v>1.767878077373974</v>
      </c>
      <c r="G93" s="213">
        <f t="shared" si="9"/>
        <v>1.045720984759672</v>
      </c>
      <c r="H93" s="213">
        <f t="shared" si="9"/>
        <v>0.19460726846424392</v>
      </c>
      <c r="I93" s="213">
        <f t="shared" si="9"/>
        <v>2.5814771395076206</v>
      </c>
      <c r="J93" s="214">
        <f t="shared" si="9"/>
        <v>1.8944900351699887</v>
      </c>
      <c r="K93" s="211"/>
      <c r="L93" s="212">
        <f t="shared" si="10"/>
        <v>2.1547479484173513</v>
      </c>
      <c r="M93" s="213">
        <f t="shared" si="10"/>
        <v>1.4021101992966005</v>
      </c>
      <c r="N93" s="213">
        <f t="shared" si="10"/>
        <v>0.4830011723329426</v>
      </c>
      <c r="O93" s="214">
        <f t="shared" si="10"/>
        <v>0.75967174677608451</v>
      </c>
      <c r="P93" s="212">
        <f t="shared" si="10"/>
        <v>2.1617819460726846</v>
      </c>
      <c r="Q93" s="213">
        <f t="shared" si="10"/>
        <v>1.3692848769050414</v>
      </c>
      <c r="R93" s="213">
        <f t="shared" si="10"/>
        <v>0.46189917936694019</v>
      </c>
      <c r="S93" s="213">
        <f t="shared" si="10"/>
        <v>3.1019929660023458</v>
      </c>
      <c r="T93" s="214">
        <f t="shared" si="10"/>
        <v>2.325908558030481</v>
      </c>
      <c r="U93" s="210"/>
      <c r="V93" s="212">
        <f t="shared" si="11"/>
        <v>7.5381008206330593</v>
      </c>
      <c r="W93" s="213">
        <f t="shared" si="11"/>
        <v>6.7315357561547486</v>
      </c>
      <c r="X93" s="213">
        <f t="shared" si="11"/>
        <v>5.660023446658851</v>
      </c>
      <c r="Y93" s="214">
        <f t="shared" si="11"/>
        <v>8.6471277842907384</v>
      </c>
      <c r="Z93" s="212">
        <f t="shared" si="11"/>
        <v>15.048065650644785</v>
      </c>
      <c r="AA93" s="213">
        <f t="shared" si="11"/>
        <v>14.168815943728019</v>
      </c>
      <c r="AB93" s="213">
        <f t="shared" si="11"/>
        <v>13.0926143024619</v>
      </c>
      <c r="AC93" s="214">
        <f t="shared" si="11"/>
        <v>16.135990621336457</v>
      </c>
    </row>
    <row r="94" spans="1:29">
      <c r="A94" s="211" t="s">
        <v>250</v>
      </c>
      <c r="B94" s="212">
        <f t="shared" si="9"/>
        <v>1.1840562719812426</v>
      </c>
      <c r="C94" s="213">
        <f t="shared" si="9"/>
        <v>0.77373974208675267</v>
      </c>
      <c r="D94" s="213">
        <f t="shared" si="9"/>
        <v>0.29308323563892147</v>
      </c>
      <c r="E94" s="214">
        <f t="shared" si="9"/>
        <v>0.41031652989449008</v>
      </c>
      <c r="F94" s="212">
        <f t="shared" si="9"/>
        <v>0.39859320046893326</v>
      </c>
      <c r="G94" s="215">
        <v>1E-4</v>
      </c>
      <c r="H94" s="213">
        <f t="shared" si="9"/>
        <v>-0.49237983587338807</v>
      </c>
      <c r="I94" s="213">
        <f t="shared" si="9"/>
        <v>0.82063305978898016</v>
      </c>
      <c r="J94" s="214">
        <f t="shared" si="9"/>
        <v>0.38686987104337633</v>
      </c>
      <c r="K94" s="211"/>
      <c r="L94" s="212">
        <f t="shared" si="10"/>
        <v>1.2192262602579134</v>
      </c>
      <c r="M94" s="213">
        <f t="shared" si="10"/>
        <v>0.8089097303634234</v>
      </c>
      <c r="N94" s="213">
        <f t="shared" si="10"/>
        <v>0.29308323563892147</v>
      </c>
      <c r="O94" s="214">
        <f t="shared" si="10"/>
        <v>0.60961313012895668</v>
      </c>
      <c r="P94" s="212">
        <f t="shared" si="10"/>
        <v>1.1970821935651947</v>
      </c>
      <c r="Q94" s="213">
        <f t="shared" si="10"/>
        <v>0.61352090660414238</v>
      </c>
      <c r="R94" s="213">
        <f t="shared" si="10"/>
        <v>-4.1682949068646627E-2</v>
      </c>
      <c r="S94" s="213">
        <f t="shared" si="10"/>
        <v>1.97831184056272</v>
      </c>
      <c r="T94" s="214">
        <f t="shared" si="10"/>
        <v>1.3730949589683472</v>
      </c>
      <c r="U94" s="210"/>
      <c r="V94" s="212">
        <f t="shared" si="11"/>
        <v>3.1535756154747947</v>
      </c>
      <c r="W94" s="213">
        <f t="shared" si="11"/>
        <v>2.7315357561547482</v>
      </c>
      <c r="X94" s="213">
        <f t="shared" si="11"/>
        <v>2.2274325908558033</v>
      </c>
      <c r="Y94" s="214">
        <f t="shared" si="11"/>
        <v>3.6811254396248536</v>
      </c>
      <c r="Z94" s="212">
        <f t="shared" si="11"/>
        <v>4.9706916764361075</v>
      </c>
      <c r="AA94" s="213">
        <f t="shared" si="11"/>
        <v>4.6424384525205156</v>
      </c>
      <c r="AB94" s="213">
        <f t="shared" si="11"/>
        <v>4.2555685814771396</v>
      </c>
      <c r="AC94" s="214">
        <f t="shared" si="11"/>
        <v>5.3692848769050414</v>
      </c>
    </row>
    <row r="95" spans="1:29">
      <c r="A95" s="211" t="s">
        <v>294</v>
      </c>
      <c r="B95" s="212">
        <f t="shared" si="9"/>
        <v>2.0046893317702228</v>
      </c>
      <c r="C95" s="213">
        <f t="shared" si="9"/>
        <v>1.3130128956623679</v>
      </c>
      <c r="D95" s="213">
        <f t="shared" si="9"/>
        <v>0.47479484173505271</v>
      </c>
      <c r="E95" s="214">
        <f t="shared" si="9"/>
        <v>0.68581477139507629</v>
      </c>
      <c r="F95" s="212">
        <f t="shared" si="9"/>
        <v>1.9871043376318873</v>
      </c>
      <c r="G95" s="213">
        <f t="shared" si="9"/>
        <v>1.2719812426729193</v>
      </c>
      <c r="H95" s="213">
        <f t="shared" si="9"/>
        <v>0.42790152403282539</v>
      </c>
      <c r="I95" s="213">
        <f t="shared" si="9"/>
        <v>2.8135990621336462</v>
      </c>
      <c r="J95" s="214">
        <f t="shared" si="9"/>
        <v>2.1219226260257913</v>
      </c>
      <c r="K95" s="211"/>
      <c r="L95" s="212">
        <f t="shared" si="10"/>
        <v>2.2391559202813602</v>
      </c>
      <c r="M95" s="213">
        <f t="shared" si="10"/>
        <v>1.4419695193434936</v>
      </c>
      <c r="N95" s="213">
        <f t="shared" si="10"/>
        <v>0.49237983587338807</v>
      </c>
      <c r="O95" s="214">
        <f t="shared" si="10"/>
        <v>0.76787807737397429</v>
      </c>
      <c r="P95" s="212">
        <f t="shared" si="10"/>
        <v>2.5322391559202817</v>
      </c>
      <c r="Q95" s="213">
        <f t="shared" si="10"/>
        <v>1.6998827667057441</v>
      </c>
      <c r="R95" s="213">
        <f t="shared" si="10"/>
        <v>0.75029308323563892</v>
      </c>
      <c r="S95" s="213">
        <f t="shared" si="10"/>
        <v>3.4935521688159441</v>
      </c>
      <c r="T95" s="214">
        <f t="shared" si="10"/>
        <v>2.7080890973036347</v>
      </c>
      <c r="U95" s="210"/>
      <c r="V95" s="212">
        <f t="shared" si="11"/>
        <v>8.1946072684642441</v>
      </c>
      <c r="W95" s="213">
        <f t="shared" si="11"/>
        <v>7.4384525205158276</v>
      </c>
      <c r="X95" s="213">
        <f t="shared" si="11"/>
        <v>6.4419695193434938</v>
      </c>
      <c r="Y95" s="214">
        <f t="shared" si="11"/>
        <v>9.2086752637749125</v>
      </c>
      <c r="Z95" s="212">
        <f t="shared" si="11"/>
        <v>16.295427901524032</v>
      </c>
      <c r="AA95" s="213">
        <f t="shared" si="11"/>
        <v>15.422039859320046</v>
      </c>
      <c r="AB95" s="213">
        <f t="shared" si="11"/>
        <v>14.384525205158264</v>
      </c>
      <c r="AC95" s="214">
        <f t="shared" si="11"/>
        <v>17.344665885111368</v>
      </c>
    </row>
    <row r="96" spans="1:29">
      <c r="A96" s="211" t="s">
        <v>296</v>
      </c>
      <c r="B96" s="212">
        <f t="shared" si="9"/>
        <v>1.4468542399374755</v>
      </c>
      <c r="C96" s="213">
        <f t="shared" si="9"/>
        <v>0.9613130128956624</v>
      </c>
      <c r="D96" s="213">
        <f t="shared" si="9"/>
        <v>0.35658460336068776</v>
      </c>
      <c r="E96" s="214">
        <f t="shared" si="9"/>
        <v>0.48163345056662754</v>
      </c>
      <c r="F96" s="212">
        <f t="shared" si="9"/>
        <v>0.95935912465806961</v>
      </c>
      <c r="G96" s="213">
        <f t="shared" si="9"/>
        <v>0.44353262993356779</v>
      </c>
      <c r="H96" s="213">
        <f t="shared" si="9"/>
        <v>-0.16803438843298163</v>
      </c>
      <c r="I96" s="213">
        <f t="shared" si="9"/>
        <v>1.5074247753028525</v>
      </c>
      <c r="J96" s="214">
        <f t="shared" si="9"/>
        <v>1.0023446658851114</v>
      </c>
      <c r="K96" s="211"/>
      <c r="L96" s="212">
        <f t="shared" si="10"/>
        <v>1.5259867135599843</v>
      </c>
      <c r="M96" s="213">
        <f t="shared" si="10"/>
        <v>0.99159828057835075</v>
      </c>
      <c r="N96" s="213">
        <f t="shared" si="10"/>
        <v>0.36830793278624457</v>
      </c>
      <c r="O96" s="214">
        <f t="shared" si="10"/>
        <v>0.60961313012895679</v>
      </c>
      <c r="P96" s="212">
        <f t="shared" si="10"/>
        <v>1.1970821935651947</v>
      </c>
      <c r="Q96" s="213">
        <f t="shared" si="10"/>
        <v>0.61352090660414227</v>
      </c>
      <c r="R96" s="213">
        <f t="shared" si="10"/>
        <v>-4.1682949068646613E-2</v>
      </c>
      <c r="S96" s="213">
        <f t="shared" si="10"/>
        <v>1.97831184056272</v>
      </c>
      <c r="T96" s="214">
        <f t="shared" si="10"/>
        <v>1.3730949589683472</v>
      </c>
      <c r="U96" s="210"/>
      <c r="V96" s="212">
        <f t="shared" si="11"/>
        <v>4.5230736438239365</v>
      </c>
      <c r="W96" s="213">
        <f t="shared" si="11"/>
        <v>3.9241180859000333</v>
      </c>
      <c r="X96" s="213">
        <f t="shared" si="11"/>
        <v>3.197271661515507</v>
      </c>
      <c r="Y96" s="214">
        <f t="shared" si="11"/>
        <v>5.2925503570286683</v>
      </c>
      <c r="Z96" s="212">
        <f t="shared" si="11"/>
        <v>8.6654943337241086</v>
      </c>
      <c r="AA96" s="213">
        <f t="shared" si="11"/>
        <v>8.0988667448221978</v>
      </c>
      <c r="AB96" s="213">
        <f t="shared" si="11"/>
        <v>7.4345447440406405</v>
      </c>
      <c r="AC96" s="214">
        <f t="shared" si="11"/>
        <v>9.3806174286830775</v>
      </c>
    </row>
    <row r="97" spans="1:29">
      <c r="A97" s="211" t="s">
        <v>297</v>
      </c>
      <c r="B97" s="212">
        <f t="shared" si="9"/>
        <v>1.9343493552168818</v>
      </c>
      <c r="C97" s="213">
        <f t="shared" si="9"/>
        <v>1.2426729191090269</v>
      </c>
      <c r="D97" s="213">
        <f t="shared" si="9"/>
        <v>0.43376318874560377</v>
      </c>
      <c r="E97" s="214">
        <f t="shared" si="9"/>
        <v>0.66822977725674093</v>
      </c>
      <c r="F97" s="212">
        <f t="shared" si="9"/>
        <v>2.0984759671746778</v>
      </c>
      <c r="G97" s="213">
        <f t="shared" si="9"/>
        <v>1.3716295427901526</v>
      </c>
      <c r="H97" s="213">
        <f t="shared" si="9"/>
        <v>0.56271981242672919</v>
      </c>
      <c r="I97" s="213">
        <f t="shared" si="9"/>
        <v>2.9191090269636577</v>
      </c>
      <c r="J97" s="214">
        <f t="shared" si="9"/>
        <v>2.2508792497069168</v>
      </c>
      <c r="K97" s="211"/>
      <c r="L97" s="212">
        <f t="shared" si="10"/>
        <v>2.0046893317702228</v>
      </c>
      <c r="M97" s="213">
        <f t="shared" si="10"/>
        <v>1.2426729191090269</v>
      </c>
      <c r="N97" s="213">
        <f t="shared" si="10"/>
        <v>0.37514654161781946</v>
      </c>
      <c r="O97" s="214">
        <f t="shared" si="10"/>
        <v>0.66822977725674093</v>
      </c>
      <c r="P97" s="212">
        <f t="shared" si="10"/>
        <v>2.1570926143024618</v>
      </c>
      <c r="Q97" s="213">
        <f t="shared" si="10"/>
        <v>1.3364595545134819</v>
      </c>
      <c r="R97" s="213">
        <f t="shared" si="10"/>
        <v>0.45720984759671746</v>
      </c>
      <c r="S97" s="213">
        <f t="shared" si="10"/>
        <v>3.0128956623681127</v>
      </c>
      <c r="T97" s="214">
        <f t="shared" si="10"/>
        <v>2.2977725674091443</v>
      </c>
      <c r="U97" s="210"/>
      <c r="V97" s="212">
        <f t="shared" si="11"/>
        <v>7.2098475967174682</v>
      </c>
      <c r="W97" s="213">
        <f t="shared" si="11"/>
        <v>6.5885111371629552</v>
      </c>
      <c r="X97" s="213">
        <f t="shared" si="11"/>
        <v>5.6858147713950764</v>
      </c>
      <c r="Y97" s="214">
        <f t="shared" si="11"/>
        <v>8.1242672919109022</v>
      </c>
      <c r="Z97" s="212">
        <f t="shared" si="11"/>
        <v>14.208675263774914</v>
      </c>
      <c r="AA97" s="213">
        <f t="shared" si="11"/>
        <v>13.388042203985931</v>
      </c>
      <c r="AB97" s="213">
        <f t="shared" si="11"/>
        <v>12.450175849941385</v>
      </c>
      <c r="AC97" s="214">
        <f t="shared" si="11"/>
        <v>15.111371629542788</v>
      </c>
    </row>
    <row r="98" spans="1:29">
      <c r="A98" s="211" t="s">
        <v>299</v>
      </c>
      <c r="B98" s="212">
        <f t="shared" si="9"/>
        <v>1.4468542399374755</v>
      </c>
      <c r="C98" s="213">
        <f t="shared" si="9"/>
        <v>0.9613130128956624</v>
      </c>
      <c r="D98" s="213">
        <f t="shared" si="9"/>
        <v>0.35658460336068776</v>
      </c>
      <c r="E98" s="214">
        <f t="shared" si="9"/>
        <v>0.48163345056662754</v>
      </c>
      <c r="F98" s="212">
        <f t="shared" si="9"/>
        <v>0.95935912465806961</v>
      </c>
      <c r="G98" s="213">
        <f t="shared" si="9"/>
        <v>0.44353262993356779</v>
      </c>
      <c r="H98" s="213">
        <f t="shared" si="9"/>
        <v>-0.16803438843298163</v>
      </c>
      <c r="I98" s="213">
        <f t="shared" si="9"/>
        <v>1.5074247753028525</v>
      </c>
      <c r="J98" s="214">
        <f t="shared" si="9"/>
        <v>1.0023446658851114</v>
      </c>
      <c r="K98" s="211"/>
      <c r="L98" s="212">
        <f t="shared" si="10"/>
        <v>1.5259867135599843</v>
      </c>
      <c r="M98" s="213">
        <f t="shared" si="10"/>
        <v>0.99159828057835075</v>
      </c>
      <c r="N98" s="213">
        <f t="shared" si="10"/>
        <v>0.36830793278624457</v>
      </c>
      <c r="O98" s="214">
        <f t="shared" si="10"/>
        <v>0.60961313012895679</v>
      </c>
      <c r="P98" s="212">
        <f t="shared" si="10"/>
        <v>1.1970821935651947</v>
      </c>
      <c r="Q98" s="213">
        <f t="shared" si="10"/>
        <v>0.61352090660414227</v>
      </c>
      <c r="R98" s="213">
        <f t="shared" si="10"/>
        <v>-4.1682949068646613E-2</v>
      </c>
      <c r="S98" s="213">
        <f t="shared" si="10"/>
        <v>1.97831184056272</v>
      </c>
      <c r="T98" s="214">
        <f t="shared" si="10"/>
        <v>1.3730949589683472</v>
      </c>
      <c r="U98" s="210"/>
      <c r="V98" s="212">
        <f t="shared" si="11"/>
        <v>4.5230736438239365</v>
      </c>
      <c r="W98" s="213">
        <f t="shared" si="11"/>
        <v>3.9241180859000333</v>
      </c>
      <c r="X98" s="213">
        <f t="shared" si="11"/>
        <v>3.197271661515507</v>
      </c>
      <c r="Y98" s="214">
        <f t="shared" si="11"/>
        <v>5.2925503570286683</v>
      </c>
      <c r="Z98" s="212">
        <f t="shared" si="11"/>
        <v>8.6654943337241086</v>
      </c>
      <c r="AA98" s="213">
        <f t="shared" si="11"/>
        <v>8.0988667448221978</v>
      </c>
      <c r="AB98" s="213">
        <f t="shared" si="11"/>
        <v>7.4345447440406405</v>
      </c>
      <c r="AC98" s="214">
        <f t="shared" si="11"/>
        <v>9.3806174286830775</v>
      </c>
    </row>
    <row r="99" spans="1:29">
      <c r="A99" s="211" t="s">
        <v>301</v>
      </c>
      <c r="B99" s="212">
        <f t="shared" si="9"/>
        <v>1.4468542399374755</v>
      </c>
      <c r="C99" s="213">
        <f t="shared" si="9"/>
        <v>0.9613130128956624</v>
      </c>
      <c r="D99" s="213">
        <f t="shared" si="9"/>
        <v>0.35658460336068776</v>
      </c>
      <c r="E99" s="214">
        <f t="shared" si="9"/>
        <v>0.48163345056662754</v>
      </c>
      <c r="F99" s="212">
        <f t="shared" si="9"/>
        <v>0.95935912465806961</v>
      </c>
      <c r="G99" s="213">
        <f t="shared" si="9"/>
        <v>0.44353262993356779</v>
      </c>
      <c r="H99" s="213">
        <f t="shared" si="9"/>
        <v>-0.16803438843298163</v>
      </c>
      <c r="I99" s="213">
        <f t="shared" si="9"/>
        <v>1.5074247753028525</v>
      </c>
      <c r="J99" s="214">
        <f t="shared" si="9"/>
        <v>1.0023446658851114</v>
      </c>
      <c r="K99" s="211"/>
      <c r="L99" s="212">
        <f t="shared" si="10"/>
        <v>1.5259867135599843</v>
      </c>
      <c r="M99" s="213">
        <f t="shared" si="10"/>
        <v>0.99159828057835075</v>
      </c>
      <c r="N99" s="213">
        <f t="shared" si="10"/>
        <v>0.36830793278624457</v>
      </c>
      <c r="O99" s="214">
        <f t="shared" si="10"/>
        <v>0.60961313012895679</v>
      </c>
      <c r="P99" s="212">
        <f t="shared" si="10"/>
        <v>1.1970821935651947</v>
      </c>
      <c r="Q99" s="213">
        <f t="shared" si="10"/>
        <v>0.61352090660414227</v>
      </c>
      <c r="R99" s="213">
        <f t="shared" si="10"/>
        <v>-4.1682949068646613E-2</v>
      </c>
      <c r="S99" s="213">
        <f t="shared" si="10"/>
        <v>1.97831184056272</v>
      </c>
      <c r="T99" s="214">
        <f t="shared" si="10"/>
        <v>1.3730949589683472</v>
      </c>
      <c r="U99" s="210"/>
      <c r="V99" s="212">
        <f t="shared" si="11"/>
        <v>4.5230736438239365</v>
      </c>
      <c r="W99" s="213">
        <f t="shared" si="11"/>
        <v>3.9241180859000333</v>
      </c>
      <c r="X99" s="213">
        <f t="shared" si="11"/>
        <v>3.197271661515507</v>
      </c>
      <c r="Y99" s="214">
        <f t="shared" si="11"/>
        <v>5.2925503570286683</v>
      </c>
      <c r="Z99" s="212">
        <f t="shared" si="11"/>
        <v>8.6654943337241086</v>
      </c>
      <c r="AA99" s="213">
        <f t="shared" si="11"/>
        <v>8.0988667448221978</v>
      </c>
      <c r="AB99" s="213">
        <f t="shared" si="11"/>
        <v>7.4345447440406405</v>
      </c>
      <c r="AC99" s="214">
        <f t="shared" si="11"/>
        <v>9.3806174286830775</v>
      </c>
    </row>
    <row r="100" spans="1:29" s="142" customFormat="1">
      <c r="A100" s="216" t="s">
        <v>303</v>
      </c>
      <c r="B100" s="216">
        <f t="shared" si="9"/>
        <v>1.9343493552168818</v>
      </c>
      <c r="C100" s="215">
        <f t="shared" si="9"/>
        <v>1.2426729191090269</v>
      </c>
      <c r="D100" s="215">
        <f t="shared" si="9"/>
        <v>0.43376318874560377</v>
      </c>
      <c r="E100" s="217">
        <f t="shared" si="9"/>
        <v>0.66822977725674093</v>
      </c>
      <c r="F100" s="216">
        <f t="shared" si="9"/>
        <v>2.0984759671746778</v>
      </c>
      <c r="G100" s="215">
        <f t="shared" si="9"/>
        <v>1.3716295427901526</v>
      </c>
      <c r="H100" s="215">
        <f t="shared" si="9"/>
        <v>0.56271981242672919</v>
      </c>
      <c r="I100" s="215">
        <f t="shared" si="9"/>
        <v>2.9191090269636577</v>
      </c>
      <c r="J100" s="217">
        <f t="shared" si="9"/>
        <v>2.2508792497069168</v>
      </c>
      <c r="K100" s="215"/>
      <c r="L100" s="216">
        <f t="shared" si="10"/>
        <v>2.0046893317702228</v>
      </c>
      <c r="M100" s="215">
        <f t="shared" si="10"/>
        <v>1.2426729191090269</v>
      </c>
      <c r="N100" s="215">
        <f t="shared" si="10"/>
        <v>0.37514654161781946</v>
      </c>
      <c r="O100" s="217">
        <f t="shared" si="10"/>
        <v>0.66822977725674093</v>
      </c>
      <c r="P100" s="216">
        <f t="shared" si="10"/>
        <v>2.1570926143024618</v>
      </c>
      <c r="Q100" s="215">
        <f t="shared" si="10"/>
        <v>1.3364595545134819</v>
      </c>
      <c r="R100" s="215">
        <f t="shared" si="10"/>
        <v>0.45720984759671746</v>
      </c>
      <c r="S100" s="215">
        <f t="shared" si="10"/>
        <v>3.0128956623681127</v>
      </c>
      <c r="T100" s="217">
        <f t="shared" si="10"/>
        <v>2.2977725674091443</v>
      </c>
      <c r="U100" s="218"/>
      <c r="V100" s="216">
        <f t="shared" si="11"/>
        <v>7.2098475967174682</v>
      </c>
      <c r="W100" s="215">
        <f t="shared" si="11"/>
        <v>6.5885111371629552</v>
      </c>
      <c r="X100" s="215">
        <f t="shared" si="11"/>
        <v>5.6858147713950764</v>
      </c>
      <c r="Y100" s="217">
        <f t="shared" si="11"/>
        <v>8.1242672919109022</v>
      </c>
      <c r="Z100" s="216">
        <f t="shared" si="11"/>
        <v>14.208675263774914</v>
      </c>
      <c r="AA100" s="215">
        <f t="shared" si="11"/>
        <v>13.388042203985931</v>
      </c>
      <c r="AB100" s="215">
        <f t="shared" si="11"/>
        <v>12.450175849941385</v>
      </c>
      <c r="AC100" s="217">
        <f t="shared" si="11"/>
        <v>15.111371629542788</v>
      </c>
    </row>
    <row r="101" spans="1:29">
      <c r="A101" s="211" t="s">
        <v>304</v>
      </c>
      <c r="B101" s="212">
        <f t="shared" si="9"/>
        <v>1.7702227432590858</v>
      </c>
      <c r="C101" s="213">
        <f t="shared" si="9"/>
        <v>1.1723329425556859</v>
      </c>
      <c r="D101" s="213">
        <f t="shared" si="9"/>
        <v>0.44548651817116069</v>
      </c>
      <c r="E101" s="214">
        <f t="shared" si="9"/>
        <v>0.59788980070339981</v>
      </c>
      <c r="F101" s="212">
        <f t="shared" si="9"/>
        <v>1.0082063305978899</v>
      </c>
      <c r="G101" s="213">
        <f t="shared" si="9"/>
        <v>0.37514654161781946</v>
      </c>
      <c r="H101" s="213">
        <f t="shared" si="9"/>
        <v>-0.35169988276670577</v>
      </c>
      <c r="I101" s="213">
        <f t="shared" si="9"/>
        <v>1.6764361078546306</v>
      </c>
      <c r="J101" s="214">
        <f t="shared" si="9"/>
        <v>1.0433763188745604</v>
      </c>
      <c r="K101" s="211"/>
      <c r="L101" s="212">
        <f t="shared" si="10"/>
        <v>1.9460726846424388</v>
      </c>
      <c r="M101" s="213">
        <f t="shared" si="10"/>
        <v>1.3012895662368114</v>
      </c>
      <c r="N101" s="213">
        <f t="shared" si="10"/>
        <v>0.49237983587338807</v>
      </c>
      <c r="O101" s="214">
        <f t="shared" si="10"/>
        <v>0.66822977725674093</v>
      </c>
      <c r="P101" s="212">
        <f t="shared" si="10"/>
        <v>1.2661195779601409</v>
      </c>
      <c r="Q101" s="213">
        <f t="shared" si="10"/>
        <v>0.57444314185228607</v>
      </c>
      <c r="R101" s="213">
        <f t="shared" si="10"/>
        <v>-0.25791324736225091</v>
      </c>
      <c r="S101" s="213">
        <f t="shared" si="10"/>
        <v>1.9929660023446658</v>
      </c>
      <c r="T101" s="214">
        <f t="shared" si="10"/>
        <v>1.3012895662368114</v>
      </c>
      <c r="U101" s="210"/>
      <c r="V101" s="212">
        <f t="shared" si="11"/>
        <v>4.0328253223915596</v>
      </c>
      <c r="W101" s="213">
        <f t="shared" si="11"/>
        <v>3.3763188745603752</v>
      </c>
      <c r="X101" s="213">
        <f t="shared" si="11"/>
        <v>2.5556858147713952</v>
      </c>
      <c r="Y101" s="214">
        <f t="shared" si="11"/>
        <v>4.8769050410316535</v>
      </c>
      <c r="Z101" s="212">
        <f t="shared" si="11"/>
        <v>9.390386869871044</v>
      </c>
      <c r="AA101" s="213">
        <f t="shared" si="11"/>
        <v>8.7221570926143031</v>
      </c>
      <c r="AB101" s="213">
        <f t="shared" si="11"/>
        <v>7.9132473622508801</v>
      </c>
      <c r="AC101" s="214">
        <f t="shared" si="11"/>
        <v>10.222743259085581</v>
      </c>
    </row>
    <row r="102" spans="1:29">
      <c r="A102" s="211" t="s">
        <v>305</v>
      </c>
      <c r="B102" s="212">
        <f t="shared" si="9"/>
        <v>1.2543962485345839</v>
      </c>
      <c r="C102" s="213">
        <f t="shared" si="9"/>
        <v>0.82063305978898016</v>
      </c>
      <c r="D102" s="213">
        <f t="shared" si="9"/>
        <v>0.31652989449003521</v>
      </c>
      <c r="E102" s="214">
        <f t="shared" si="9"/>
        <v>0.38686987104337633</v>
      </c>
      <c r="F102" s="212">
        <f t="shared" si="9"/>
        <v>0.49237983587338807</v>
      </c>
      <c r="G102" s="213">
        <f t="shared" si="9"/>
        <v>8.2063305978898007E-2</v>
      </c>
      <c r="H102" s="213">
        <f t="shared" si="9"/>
        <v>-0.44548651817116069</v>
      </c>
      <c r="I102" s="213">
        <f t="shared" si="9"/>
        <v>0.82063305978898016</v>
      </c>
      <c r="J102" s="214">
        <f t="shared" si="9"/>
        <v>0.43376318874560377</v>
      </c>
      <c r="K102" s="211"/>
      <c r="L102" s="212">
        <f t="shared" si="10"/>
        <v>1.0550996483001174</v>
      </c>
      <c r="M102" s="213">
        <f t="shared" si="10"/>
        <v>0.69167643610785468</v>
      </c>
      <c r="N102" s="213">
        <f t="shared" si="10"/>
        <v>0.24618991793669404</v>
      </c>
      <c r="O102" s="214">
        <f t="shared" si="10"/>
        <v>0.60961313012895668</v>
      </c>
      <c r="P102" s="212">
        <f t="shared" si="10"/>
        <v>0.36342321219226265</v>
      </c>
      <c r="Q102" s="213">
        <f t="shared" si="10"/>
        <v>2.3446658851113716E-2</v>
      </c>
      <c r="R102" s="213">
        <f t="shared" si="10"/>
        <v>-0.38686987104337633</v>
      </c>
      <c r="S102" s="213">
        <f t="shared" si="10"/>
        <v>1.97831184056272</v>
      </c>
      <c r="T102" s="214">
        <f t="shared" si="10"/>
        <v>1.3730949589683472</v>
      </c>
      <c r="U102" s="210"/>
      <c r="V102" s="212">
        <f t="shared" si="11"/>
        <v>1.6881594372801876</v>
      </c>
      <c r="W102" s="213">
        <f t="shared" si="11"/>
        <v>1.3012895662368114</v>
      </c>
      <c r="X102" s="213">
        <f t="shared" si="11"/>
        <v>0.8089097303634234</v>
      </c>
      <c r="Y102" s="214">
        <f t="shared" si="11"/>
        <v>2.2391559202813602</v>
      </c>
      <c r="Z102" s="212">
        <f t="shared" si="11"/>
        <v>3.8335287221570926</v>
      </c>
      <c r="AA102" s="213">
        <f t="shared" si="11"/>
        <v>3.4701055099648301</v>
      </c>
      <c r="AB102" s="213">
        <f t="shared" si="11"/>
        <v>3.0246189917936697</v>
      </c>
      <c r="AC102" s="214">
        <f t="shared" si="11"/>
        <v>4.3024618991793666</v>
      </c>
    </row>
    <row r="103" spans="1:29">
      <c r="A103" s="211" t="s">
        <v>307</v>
      </c>
      <c r="B103" s="212">
        <f t="shared" si="9"/>
        <v>2.1805392731535758</v>
      </c>
      <c r="C103" s="213">
        <f t="shared" si="9"/>
        <v>1.4419695193434936</v>
      </c>
      <c r="D103" s="213">
        <f t="shared" si="9"/>
        <v>0.53927315357561545</v>
      </c>
      <c r="E103" s="214">
        <f t="shared" si="9"/>
        <v>0.76201641266119591</v>
      </c>
      <c r="F103" s="212">
        <f t="shared" si="9"/>
        <v>1.0316529894490036</v>
      </c>
      <c r="G103" s="213">
        <f t="shared" si="9"/>
        <v>0.26963657678780772</v>
      </c>
      <c r="H103" s="213">
        <f t="shared" si="9"/>
        <v>-0.65650644783118406</v>
      </c>
      <c r="I103" s="213">
        <f t="shared" si="9"/>
        <v>1.7936694021101993</v>
      </c>
      <c r="J103" s="214">
        <f t="shared" si="9"/>
        <v>1.0550996483001174</v>
      </c>
      <c r="K103" s="211"/>
      <c r="L103" s="212">
        <f t="shared" si="10"/>
        <v>2.0398593200468933</v>
      </c>
      <c r="M103" s="213">
        <f t="shared" si="10"/>
        <v>1.3481828839390388</v>
      </c>
      <c r="N103" s="213">
        <f t="shared" si="10"/>
        <v>0.49237983587338807</v>
      </c>
      <c r="O103" s="214">
        <f t="shared" si="10"/>
        <v>0.73856975381008205</v>
      </c>
      <c r="P103" s="212">
        <f t="shared" si="10"/>
        <v>0.98475967174677614</v>
      </c>
      <c r="Q103" s="213">
        <f t="shared" si="10"/>
        <v>0.26963657678780772</v>
      </c>
      <c r="R103" s="213">
        <f t="shared" si="10"/>
        <v>-0.59788980070339981</v>
      </c>
      <c r="S103" s="213">
        <f t="shared" si="10"/>
        <v>1.7116060961313011</v>
      </c>
      <c r="T103" s="214">
        <f t="shared" si="10"/>
        <v>0.98475967174677614</v>
      </c>
      <c r="U103" s="210"/>
      <c r="V103" s="212">
        <f t="shared" si="11"/>
        <v>3.9155920281359906</v>
      </c>
      <c r="W103" s="213">
        <f t="shared" si="11"/>
        <v>3.1535756154747947</v>
      </c>
      <c r="X103" s="213">
        <f t="shared" si="11"/>
        <v>2.2626025791324738</v>
      </c>
      <c r="Y103" s="214">
        <f t="shared" si="11"/>
        <v>4.8417350527549825</v>
      </c>
      <c r="Z103" s="212">
        <f t="shared" si="11"/>
        <v>9.249706916764362</v>
      </c>
      <c r="AA103" s="213">
        <f t="shared" si="11"/>
        <v>8.4759671746776082</v>
      </c>
      <c r="AB103" s="213">
        <f t="shared" si="11"/>
        <v>7.5498241500586163</v>
      </c>
      <c r="AC103" s="214">
        <f t="shared" si="11"/>
        <v>10.222743259085581</v>
      </c>
    </row>
    <row r="104" spans="1:29">
      <c r="A104" s="211" t="s">
        <v>309</v>
      </c>
      <c r="B104" s="212">
        <f t="shared" si="9"/>
        <v>1.1723329425556859</v>
      </c>
      <c r="C104" s="213">
        <f t="shared" si="9"/>
        <v>0.78546307151230954</v>
      </c>
      <c r="D104" s="213">
        <f t="shared" si="9"/>
        <v>0.29308323563892147</v>
      </c>
      <c r="E104" s="214">
        <f t="shared" si="9"/>
        <v>0.38686987104337633</v>
      </c>
      <c r="F104" s="212">
        <f t="shared" si="9"/>
        <v>1.594372801875733</v>
      </c>
      <c r="G104" s="213">
        <f t="shared" si="9"/>
        <v>1.1957796014067996</v>
      </c>
      <c r="H104" s="213">
        <f t="shared" si="9"/>
        <v>0.71512309495896842</v>
      </c>
      <c r="I104" s="213">
        <f t="shared" si="9"/>
        <v>2.1101992966002348</v>
      </c>
      <c r="J104" s="214">
        <f t="shared" si="9"/>
        <v>1.7233294255568581</v>
      </c>
      <c r="K104" s="211"/>
      <c r="L104" s="212">
        <f t="shared" si="10"/>
        <v>1.2309495896834701</v>
      </c>
      <c r="M104" s="213">
        <f t="shared" si="10"/>
        <v>0.8089097303634234</v>
      </c>
      <c r="N104" s="213">
        <f t="shared" si="10"/>
        <v>0.30480656506447834</v>
      </c>
      <c r="O104" s="214">
        <f t="shared" si="10"/>
        <v>0.60961313012895668</v>
      </c>
      <c r="P104" s="212">
        <f t="shared" si="10"/>
        <v>1.1970821935651947</v>
      </c>
      <c r="Q104" s="213">
        <f t="shared" si="10"/>
        <v>0.61352090660414238</v>
      </c>
      <c r="R104" s="213">
        <f t="shared" si="10"/>
        <v>-4.1682949068646627E-2</v>
      </c>
      <c r="S104" s="213">
        <f t="shared" si="10"/>
        <v>1.97831184056272</v>
      </c>
      <c r="T104" s="214">
        <f t="shared" si="10"/>
        <v>1.3730949589683472</v>
      </c>
      <c r="U104" s="210"/>
      <c r="V104" s="212">
        <f t="shared" si="11"/>
        <v>6.7878077373974195</v>
      </c>
      <c r="W104" s="213">
        <f t="shared" si="11"/>
        <v>6.2719812426729193</v>
      </c>
      <c r="X104" s="213">
        <f t="shared" si="11"/>
        <v>5.6506447831184055</v>
      </c>
      <c r="Y104" s="214">
        <f t="shared" si="11"/>
        <v>7.4325908558030482</v>
      </c>
      <c r="Z104" s="212">
        <f t="shared" si="11"/>
        <v>13.153575615474796</v>
      </c>
      <c r="AA104" s="213">
        <f t="shared" si="11"/>
        <v>12.626025791324736</v>
      </c>
      <c r="AB104" s="213">
        <f t="shared" si="11"/>
        <v>11.981242672919109</v>
      </c>
      <c r="AC104" s="214">
        <f t="shared" si="11"/>
        <v>13.810082063305979</v>
      </c>
    </row>
    <row r="105" spans="1:29">
      <c r="A105" s="211" t="s">
        <v>310</v>
      </c>
      <c r="B105" s="212">
        <f t="shared" si="9"/>
        <v>1.4185228604923799</v>
      </c>
      <c r="C105" s="213">
        <f t="shared" si="9"/>
        <v>0.93786635404454877</v>
      </c>
      <c r="D105" s="213">
        <f t="shared" si="9"/>
        <v>0.35169988276670577</v>
      </c>
      <c r="E105" s="214">
        <f t="shared" si="9"/>
        <v>0.49237983587338807</v>
      </c>
      <c r="F105" s="212">
        <f t="shared" si="9"/>
        <v>0.82063305978898016</v>
      </c>
      <c r="G105" s="213">
        <f t="shared" si="9"/>
        <v>0.32825322391559203</v>
      </c>
      <c r="H105" s="213">
        <f t="shared" si="9"/>
        <v>-0.2813599062133646</v>
      </c>
      <c r="I105" s="213">
        <f t="shared" si="9"/>
        <v>1.3481828839390388</v>
      </c>
      <c r="J105" s="214">
        <f t="shared" si="9"/>
        <v>0.84407971864009379</v>
      </c>
      <c r="K105" s="211"/>
      <c r="L105" s="212">
        <f t="shared" si="10"/>
        <v>1.2895662368112546</v>
      </c>
      <c r="M105" s="213">
        <f t="shared" si="10"/>
        <v>0.84407971864009379</v>
      </c>
      <c r="N105" s="213">
        <f t="shared" si="10"/>
        <v>0.31652989449003521</v>
      </c>
      <c r="O105" s="214">
        <f t="shared" si="10"/>
        <v>0.46893317702227438</v>
      </c>
      <c r="P105" s="212">
        <f t="shared" si="10"/>
        <v>0.72684642438452529</v>
      </c>
      <c r="Q105" s="213">
        <f t="shared" si="10"/>
        <v>0.26963657678780772</v>
      </c>
      <c r="R105" s="213">
        <f t="shared" si="10"/>
        <v>-0.2813599062133646</v>
      </c>
      <c r="S105" s="213">
        <f t="shared" si="10"/>
        <v>1.2309495896834701</v>
      </c>
      <c r="T105" s="214">
        <f t="shared" si="10"/>
        <v>0.76201641266119591</v>
      </c>
      <c r="U105" s="210"/>
      <c r="V105" s="212">
        <f t="shared" si="11"/>
        <v>2.4150058616647132</v>
      </c>
      <c r="W105" s="213">
        <f t="shared" si="11"/>
        <v>1.9577960140679953</v>
      </c>
      <c r="X105" s="213">
        <f t="shared" si="11"/>
        <v>1.4067995310668231</v>
      </c>
      <c r="Y105" s="214">
        <f t="shared" si="11"/>
        <v>2.9894490035169987</v>
      </c>
      <c r="Z105" s="212">
        <f t="shared" si="11"/>
        <v>5.3223915592028135</v>
      </c>
      <c r="AA105" s="213">
        <f t="shared" si="11"/>
        <v>4.8886283704572104</v>
      </c>
      <c r="AB105" s="213">
        <f t="shared" si="11"/>
        <v>4.3610785463071515</v>
      </c>
      <c r="AC105" s="214">
        <f t="shared" si="11"/>
        <v>5.8733880422039864</v>
      </c>
    </row>
    <row r="106" spans="1:29">
      <c r="A106" s="211" t="s">
        <v>311</v>
      </c>
      <c r="B106" s="212">
        <f t="shared" si="9"/>
        <v>2.0750293083235642</v>
      </c>
      <c r="C106" s="213">
        <f t="shared" si="9"/>
        <v>1.3833528722157094</v>
      </c>
      <c r="D106" s="213">
        <f t="shared" si="9"/>
        <v>0.51582649472450182</v>
      </c>
      <c r="E106" s="214">
        <f t="shared" si="9"/>
        <v>0.70339976553341155</v>
      </c>
      <c r="F106" s="212">
        <f t="shared" si="9"/>
        <v>1.8757327080890975</v>
      </c>
      <c r="G106" s="213">
        <f t="shared" si="9"/>
        <v>1.1723329425556859</v>
      </c>
      <c r="H106" s="213">
        <f t="shared" si="9"/>
        <v>0.29308323563892147</v>
      </c>
      <c r="I106" s="213">
        <f t="shared" si="9"/>
        <v>2.7080890973036347</v>
      </c>
      <c r="J106" s="214">
        <f t="shared" si="9"/>
        <v>1.9929660023446658</v>
      </c>
      <c r="K106" s="211"/>
      <c r="L106" s="212">
        <f t="shared" si="10"/>
        <v>2.4736225087924972</v>
      </c>
      <c r="M106" s="213">
        <f t="shared" si="10"/>
        <v>1.6412661195779603</v>
      </c>
      <c r="N106" s="213">
        <f t="shared" si="10"/>
        <v>0.60961313012895668</v>
      </c>
      <c r="O106" s="214">
        <f t="shared" si="10"/>
        <v>0.86752637749120753</v>
      </c>
      <c r="P106" s="212">
        <f t="shared" si="10"/>
        <v>2.9073856975381012</v>
      </c>
      <c r="Q106" s="213">
        <f t="shared" si="10"/>
        <v>2.0633059788980073</v>
      </c>
      <c r="R106" s="213">
        <f t="shared" si="10"/>
        <v>1.0433763188745604</v>
      </c>
      <c r="S106" s="213">
        <f t="shared" si="10"/>
        <v>3.9742086752637746</v>
      </c>
      <c r="T106" s="214">
        <f t="shared" si="10"/>
        <v>3.1184056271981242</v>
      </c>
      <c r="U106" s="210"/>
      <c r="V106" s="212">
        <f t="shared" si="11"/>
        <v>9.1793669402110201</v>
      </c>
      <c r="W106" s="213">
        <f t="shared" si="11"/>
        <v>8.2883939038687</v>
      </c>
      <c r="X106" s="213">
        <f t="shared" si="11"/>
        <v>7.1981242672919112</v>
      </c>
      <c r="Y106" s="214">
        <f t="shared" si="11"/>
        <v>10.293083235638923</v>
      </c>
      <c r="Z106" s="212">
        <f t="shared" si="11"/>
        <v>18.382180539273154</v>
      </c>
      <c r="AA106" s="213">
        <f t="shared" si="11"/>
        <v>17.456037514654163</v>
      </c>
      <c r="AB106" s="213">
        <f t="shared" si="11"/>
        <v>16.318874560375146</v>
      </c>
      <c r="AC106" s="214">
        <f t="shared" si="11"/>
        <v>19.577960140679956</v>
      </c>
    </row>
    <row r="107" spans="1:29">
      <c r="A107" s="211" t="s">
        <v>313</v>
      </c>
      <c r="B107" s="212">
        <f t="shared" si="9"/>
        <v>1.0726846424384526</v>
      </c>
      <c r="C107" s="213">
        <f t="shared" si="9"/>
        <v>0.70926143024618993</v>
      </c>
      <c r="D107" s="213">
        <f t="shared" si="9"/>
        <v>0.26377491207502934</v>
      </c>
      <c r="E107" s="214">
        <f t="shared" si="9"/>
        <v>0.36928487690504103</v>
      </c>
      <c r="F107" s="212">
        <f t="shared" si="9"/>
        <v>0.69167643610785468</v>
      </c>
      <c r="G107" s="213">
        <f t="shared" si="9"/>
        <v>0.32825322391559203</v>
      </c>
      <c r="H107" s="213">
        <f t="shared" si="9"/>
        <v>-0.11137162954279017</v>
      </c>
      <c r="I107" s="213">
        <f t="shared" si="9"/>
        <v>1.0902696365767879</v>
      </c>
      <c r="J107" s="214">
        <f t="shared" si="9"/>
        <v>0.74443141852286054</v>
      </c>
      <c r="K107" s="211"/>
      <c r="L107" s="212">
        <f t="shared" si="10"/>
        <v>1.0726846424384526</v>
      </c>
      <c r="M107" s="213">
        <f t="shared" si="10"/>
        <v>0.7209847596717468</v>
      </c>
      <c r="N107" s="213">
        <f t="shared" si="10"/>
        <v>0.26377491207502934</v>
      </c>
      <c r="O107" s="214">
        <f t="shared" si="10"/>
        <v>0.39859320046893326</v>
      </c>
      <c r="P107" s="212">
        <f t="shared" si="10"/>
        <v>0.89683470105509966</v>
      </c>
      <c r="Q107" s="213">
        <f t="shared" si="10"/>
        <v>0.52754982415005869</v>
      </c>
      <c r="R107" s="213">
        <f t="shared" si="10"/>
        <v>8.7924970691676443E-2</v>
      </c>
      <c r="S107" s="213">
        <f t="shared" si="10"/>
        <v>1.3774912075029309</v>
      </c>
      <c r="T107" s="214">
        <f t="shared" si="10"/>
        <v>0.97889800703399765</v>
      </c>
      <c r="U107" s="210"/>
      <c r="V107" s="212">
        <f t="shared" si="11"/>
        <v>3.5228604923798361</v>
      </c>
      <c r="W107" s="213">
        <f t="shared" si="11"/>
        <v>3.0480656506447836</v>
      </c>
      <c r="X107" s="213">
        <f t="shared" si="11"/>
        <v>2.4325908558030482</v>
      </c>
      <c r="Y107" s="214">
        <f t="shared" si="11"/>
        <v>4.1735052754982416</v>
      </c>
      <c r="Z107" s="212">
        <f t="shared" si="11"/>
        <v>7.1101992966002356</v>
      </c>
      <c r="AA107" s="213">
        <f t="shared" si="11"/>
        <v>6.6529894490035177</v>
      </c>
      <c r="AB107" s="213">
        <f t="shared" si="11"/>
        <v>6.0609613130128963</v>
      </c>
      <c r="AC107" s="214">
        <f t="shared" si="11"/>
        <v>7.7198124267291917</v>
      </c>
    </row>
    <row r="108" spans="1:29">
      <c r="A108" s="211" t="s">
        <v>314</v>
      </c>
      <c r="B108" s="212">
        <f t="shared" ref="B108:J110" si="12">B81/$A$90</f>
        <v>1.0726846424384526</v>
      </c>
      <c r="C108" s="213">
        <f t="shared" si="12"/>
        <v>0.70926143024618993</v>
      </c>
      <c r="D108" s="213">
        <f t="shared" si="12"/>
        <v>0.26377491207502934</v>
      </c>
      <c r="E108" s="214">
        <f t="shared" si="12"/>
        <v>0.36928487690504103</v>
      </c>
      <c r="F108" s="212">
        <f t="shared" si="12"/>
        <v>0.69167643610785468</v>
      </c>
      <c r="G108" s="213">
        <f t="shared" si="12"/>
        <v>0.32825322391559203</v>
      </c>
      <c r="H108" s="213">
        <f t="shared" si="12"/>
        <v>-0.11137162954279017</v>
      </c>
      <c r="I108" s="213">
        <f t="shared" si="12"/>
        <v>1.0902696365767879</v>
      </c>
      <c r="J108" s="214">
        <f t="shared" si="12"/>
        <v>0.74443141852286054</v>
      </c>
      <c r="K108" s="211"/>
      <c r="L108" s="212">
        <f t="shared" ref="L108:T114" si="13">L81/$A$90</f>
        <v>1.0726846424384526</v>
      </c>
      <c r="M108" s="213">
        <f t="shared" si="13"/>
        <v>0.7209847596717468</v>
      </c>
      <c r="N108" s="213">
        <f t="shared" si="13"/>
        <v>0.26377491207502934</v>
      </c>
      <c r="O108" s="214">
        <f t="shared" si="13"/>
        <v>0.39859320046893326</v>
      </c>
      <c r="P108" s="212">
        <f t="shared" si="13"/>
        <v>0.89683470105509966</v>
      </c>
      <c r="Q108" s="213">
        <f t="shared" si="13"/>
        <v>0.52754982415005869</v>
      </c>
      <c r="R108" s="213">
        <f t="shared" si="13"/>
        <v>8.7924970691676443E-2</v>
      </c>
      <c r="S108" s="213">
        <f t="shared" si="13"/>
        <v>1.3774912075029309</v>
      </c>
      <c r="T108" s="214">
        <f t="shared" si="13"/>
        <v>0.97889800703399765</v>
      </c>
      <c r="U108" s="210"/>
      <c r="V108" s="212">
        <f t="shared" ref="V108:AC114" si="14">V81/$A$90</f>
        <v>3.5228604923798361</v>
      </c>
      <c r="W108" s="213">
        <f t="shared" si="14"/>
        <v>3.0480656506447836</v>
      </c>
      <c r="X108" s="213">
        <f t="shared" si="14"/>
        <v>2.4325908558030482</v>
      </c>
      <c r="Y108" s="214">
        <f t="shared" si="14"/>
        <v>4.1735052754982416</v>
      </c>
      <c r="Z108" s="212">
        <f t="shared" si="14"/>
        <v>7.1101992966002356</v>
      </c>
      <c r="AA108" s="213">
        <f t="shared" si="14"/>
        <v>6.6529894490035177</v>
      </c>
      <c r="AB108" s="213">
        <f t="shared" si="14"/>
        <v>6.0609613130128963</v>
      </c>
      <c r="AC108" s="214">
        <f t="shared" si="14"/>
        <v>7.7198124267291917</v>
      </c>
    </row>
    <row r="109" spans="1:29">
      <c r="A109" s="211" t="s">
        <v>315</v>
      </c>
      <c r="B109" s="212">
        <f t="shared" si="12"/>
        <v>1.1137162954279016</v>
      </c>
      <c r="C109" s="213">
        <f t="shared" si="12"/>
        <v>0.83235638921453681</v>
      </c>
      <c r="D109" s="213">
        <f t="shared" si="12"/>
        <v>0.2813599062133646</v>
      </c>
      <c r="E109" s="214">
        <f t="shared" si="12"/>
        <v>0.2813599062133646</v>
      </c>
      <c r="F109" s="212">
        <f t="shared" si="12"/>
        <v>0.56271981242672919</v>
      </c>
      <c r="G109" s="215">
        <v>1E-4</v>
      </c>
      <c r="H109" s="213">
        <f t="shared" si="12"/>
        <v>-0.56271981242672919</v>
      </c>
      <c r="I109" s="213">
        <f t="shared" si="12"/>
        <v>1.1137162954279016</v>
      </c>
      <c r="J109" s="214">
        <f t="shared" si="12"/>
        <v>0.56271981242672919</v>
      </c>
      <c r="K109" s="211"/>
      <c r="L109" s="212">
        <f t="shared" si="13"/>
        <v>1.3950762016412661</v>
      </c>
      <c r="M109" s="213">
        <f t="shared" si="13"/>
        <v>0.83235638921453681</v>
      </c>
      <c r="N109" s="213">
        <f t="shared" si="13"/>
        <v>0.2813599062133646</v>
      </c>
      <c r="O109" s="214">
        <f t="shared" si="13"/>
        <v>0.60961313012895668</v>
      </c>
      <c r="P109" s="212">
        <f t="shared" si="13"/>
        <v>1.1970821935651947</v>
      </c>
      <c r="Q109" s="213">
        <f t="shared" si="13"/>
        <v>0.61352090660414238</v>
      </c>
      <c r="R109" s="213">
        <f t="shared" si="13"/>
        <v>-4.1682949068646627E-2</v>
      </c>
      <c r="S109" s="213">
        <f t="shared" si="13"/>
        <v>1.97831184056272</v>
      </c>
      <c r="T109" s="214">
        <f t="shared" si="13"/>
        <v>1.3730949589683472</v>
      </c>
      <c r="U109" s="210"/>
      <c r="V109" s="212">
        <f t="shared" si="14"/>
        <v>2.0984759671746778</v>
      </c>
      <c r="W109" s="213">
        <f t="shared" si="14"/>
        <v>1.5357561547479486</v>
      </c>
      <c r="X109" s="213">
        <f t="shared" si="14"/>
        <v>1.1137162954279016</v>
      </c>
      <c r="Y109" s="214">
        <f t="shared" si="14"/>
        <v>2.6494724501758502</v>
      </c>
      <c r="Z109" s="212">
        <f t="shared" si="14"/>
        <v>5.0293083235638925</v>
      </c>
      <c r="AA109" s="213">
        <f t="shared" si="14"/>
        <v>4.6072684642438455</v>
      </c>
      <c r="AB109" s="213">
        <f t="shared" si="14"/>
        <v>4.0445486518171156</v>
      </c>
      <c r="AC109" s="214">
        <f t="shared" si="14"/>
        <v>5.5803048065650644</v>
      </c>
    </row>
    <row r="110" spans="1:29">
      <c r="A110" s="211" t="s">
        <v>317</v>
      </c>
      <c r="B110" s="212">
        <f t="shared" si="12"/>
        <v>2.0750293083235642</v>
      </c>
      <c r="C110" s="213">
        <f t="shared" si="12"/>
        <v>1.3833528722157094</v>
      </c>
      <c r="D110" s="213">
        <f t="shared" si="12"/>
        <v>0.51582649472450182</v>
      </c>
      <c r="E110" s="214">
        <f t="shared" si="12"/>
        <v>0.70339976553341155</v>
      </c>
      <c r="F110" s="212">
        <f t="shared" si="12"/>
        <v>1.8757327080890975</v>
      </c>
      <c r="G110" s="213">
        <f>G83/$A$90</f>
        <v>1.1723329425556859</v>
      </c>
      <c r="H110" s="213">
        <f t="shared" si="12"/>
        <v>0.29308323563892147</v>
      </c>
      <c r="I110" s="213">
        <f t="shared" si="12"/>
        <v>2.7080890973036347</v>
      </c>
      <c r="J110" s="214">
        <f t="shared" si="12"/>
        <v>1.9929660023446658</v>
      </c>
      <c r="K110" s="211"/>
      <c r="L110" s="212">
        <f t="shared" si="13"/>
        <v>2.4736225087924972</v>
      </c>
      <c r="M110" s="213">
        <f t="shared" si="13"/>
        <v>1.6412661195779603</v>
      </c>
      <c r="N110" s="213">
        <f t="shared" si="13"/>
        <v>0.60961313012895668</v>
      </c>
      <c r="O110" s="214">
        <f t="shared" si="13"/>
        <v>0.86752637749120753</v>
      </c>
      <c r="P110" s="212">
        <f t="shared" si="13"/>
        <v>2.9073856975381012</v>
      </c>
      <c r="Q110" s="213">
        <f t="shared" si="13"/>
        <v>2.0633059788980073</v>
      </c>
      <c r="R110" s="213">
        <f t="shared" si="13"/>
        <v>1.0433763188745604</v>
      </c>
      <c r="S110" s="213">
        <f t="shared" si="13"/>
        <v>3.9742086752637746</v>
      </c>
      <c r="T110" s="214">
        <f t="shared" si="13"/>
        <v>3.1184056271981242</v>
      </c>
      <c r="U110" s="210"/>
      <c r="V110" s="212">
        <f t="shared" si="14"/>
        <v>9.1793669402110201</v>
      </c>
      <c r="W110" s="213">
        <f t="shared" si="14"/>
        <v>8.2883939038687</v>
      </c>
      <c r="X110" s="213">
        <f t="shared" si="14"/>
        <v>7.1981242672919112</v>
      </c>
      <c r="Y110" s="214">
        <f t="shared" si="14"/>
        <v>10.293083235638923</v>
      </c>
      <c r="Z110" s="212">
        <f t="shared" si="14"/>
        <v>18.382180539273154</v>
      </c>
      <c r="AA110" s="213">
        <f t="shared" si="14"/>
        <v>17.456037514654163</v>
      </c>
      <c r="AB110" s="213">
        <f t="shared" si="14"/>
        <v>16.318874560375146</v>
      </c>
      <c r="AC110" s="214">
        <f t="shared" si="14"/>
        <v>19.577960140679956</v>
      </c>
    </row>
    <row r="111" spans="1:29">
      <c r="A111" s="211" t="s">
        <v>258</v>
      </c>
      <c r="B111" s="215">
        <v>1E-4</v>
      </c>
      <c r="C111" s="215">
        <v>1E-4</v>
      </c>
      <c r="D111" s="215">
        <v>1E-4</v>
      </c>
      <c r="E111" s="215">
        <v>1E-4</v>
      </c>
      <c r="F111" s="215">
        <v>1E-4</v>
      </c>
      <c r="G111" s="215">
        <v>1E-4</v>
      </c>
      <c r="H111" s="215">
        <v>1E-4</v>
      </c>
      <c r="I111" s="215">
        <v>1E-4</v>
      </c>
      <c r="J111" s="215">
        <v>1E-4</v>
      </c>
      <c r="K111" s="211"/>
      <c r="L111" s="212">
        <f t="shared" si="13"/>
        <v>0.65650644783118406</v>
      </c>
      <c r="M111" s="213">
        <f t="shared" si="13"/>
        <v>0.37514654161781946</v>
      </c>
      <c r="N111" s="213">
        <f t="shared" si="13"/>
        <v>0.2813599062133646</v>
      </c>
      <c r="O111" s="214">
        <f t="shared" si="13"/>
        <v>0.4220398593200469</v>
      </c>
      <c r="P111" s="212">
        <f t="shared" si="13"/>
        <v>0.2813599062133646</v>
      </c>
      <c r="Q111" s="213">
        <f t="shared" si="13"/>
        <v>-4.6893317702227433E-2</v>
      </c>
      <c r="R111" s="213">
        <f t="shared" si="13"/>
        <v>-0.1406799531066823</v>
      </c>
      <c r="S111" s="213">
        <f t="shared" si="13"/>
        <v>0.60961313012895668</v>
      </c>
      <c r="T111" s="214">
        <f t="shared" si="13"/>
        <v>0.2813599062133646</v>
      </c>
      <c r="U111" s="210"/>
      <c r="V111" s="212">
        <f t="shared" si="14"/>
        <v>2.2274325908558033</v>
      </c>
      <c r="W111" s="213">
        <f t="shared" si="14"/>
        <v>1.8640093786635406</v>
      </c>
      <c r="X111" s="213">
        <f t="shared" si="14"/>
        <v>1.3950762016412661</v>
      </c>
      <c r="Y111" s="214">
        <f t="shared" si="14"/>
        <v>2.7432590855803052</v>
      </c>
      <c r="Z111" s="212">
        <f t="shared" si="14"/>
        <v>4.5134818288393905</v>
      </c>
      <c r="AA111" s="213">
        <f t="shared" si="14"/>
        <v>4.1852286049237986</v>
      </c>
      <c r="AB111" s="213">
        <f t="shared" si="14"/>
        <v>4.1383352872215715</v>
      </c>
      <c r="AC111" s="214">
        <f t="shared" si="14"/>
        <v>4.9824150058616645</v>
      </c>
    </row>
    <row r="112" spans="1:29">
      <c r="A112" s="211" t="s">
        <v>248</v>
      </c>
      <c r="B112" s="212">
        <f t="shared" ref="B112:J114" si="15">B85/$A$90</f>
        <v>1.4468542399374755</v>
      </c>
      <c r="C112" s="213">
        <f t="shared" si="15"/>
        <v>0.9613130128956624</v>
      </c>
      <c r="D112" s="213">
        <f t="shared" si="15"/>
        <v>0.35658460336068776</v>
      </c>
      <c r="E112" s="214">
        <f t="shared" si="15"/>
        <v>0.48163345056662754</v>
      </c>
      <c r="F112" s="212">
        <f t="shared" si="15"/>
        <v>0.95935912465806961</v>
      </c>
      <c r="G112" s="213">
        <f t="shared" si="15"/>
        <v>0.44353262993356779</v>
      </c>
      <c r="H112" s="213">
        <f t="shared" si="15"/>
        <v>-0.16803438843298163</v>
      </c>
      <c r="I112" s="213">
        <f t="shared" si="15"/>
        <v>1.5074247753028525</v>
      </c>
      <c r="J112" s="214">
        <f t="shared" si="15"/>
        <v>1.0023446658851114</v>
      </c>
      <c r="K112" s="211"/>
      <c r="L112" s="212">
        <f t="shared" si="13"/>
        <v>1.5259867135599843</v>
      </c>
      <c r="M112" s="213">
        <f t="shared" si="13"/>
        <v>0.99159828057835075</v>
      </c>
      <c r="N112" s="213">
        <f t="shared" si="13"/>
        <v>0.36830793278624457</v>
      </c>
      <c r="O112" s="214">
        <f t="shared" si="13"/>
        <v>0.60961313012895679</v>
      </c>
      <c r="P112" s="212">
        <f t="shared" si="13"/>
        <v>1.1970821935651947</v>
      </c>
      <c r="Q112" s="213">
        <f t="shared" si="13"/>
        <v>0.61352090660414227</v>
      </c>
      <c r="R112" s="213">
        <f t="shared" si="13"/>
        <v>-4.1682949068646613E-2</v>
      </c>
      <c r="S112" s="213">
        <f t="shared" si="13"/>
        <v>1.97831184056272</v>
      </c>
      <c r="T112" s="214">
        <f t="shared" si="13"/>
        <v>1.3730949589683472</v>
      </c>
      <c r="U112" s="210"/>
      <c r="V112" s="212">
        <f t="shared" si="14"/>
        <v>4.5230736438239365</v>
      </c>
      <c r="W112" s="213">
        <f t="shared" si="14"/>
        <v>3.9241180859000333</v>
      </c>
      <c r="X112" s="213">
        <f t="shared" si="14"/>
        <v>3.197271661515507</v>
      </c>
      <c r="Y112" s="214">
        <f t="shared" si="14"/>
        <v>5.2925503570286683</v>
      </c>
      <c r="Z112" s="212">
        <f t="shared" si="14"/>
        <v>8.6654943337241086</v>
      </c>
      <c r="AA112" s="213">
        <f t="shared" si="14"/>
        <v>8.0988667448221978</v>
      </c>
      <c r="AB112" s="213">
        <f t="shared" si="14"/>
        <v>7.4345447440406405</v>
      </c>
      <c r="AC112" s="214">
        <f t="shared" si="14"/>
        <v>9.3806174286830775</v>
      </c>
    </row>
    <row r="113" spans="1:30">
      <c r="A113" s="211" t="s">
        <v>332</v>
      </c>
      <c r="B113" s="212">
        <f t="shared" si="15"/>
        <v>1.4468542399374755</v>
      </c>
      <c r="C113" s="213">
        <f t="shared" si="15"/>
        <v>0.9613130128956624</v>
      </c>
      <c r="D113" s="213">
        <f t="shared" si="15"/>
        <v>0.35658460336068776</v>
      </c>
      <c r="E113" s="214">
        <f t="shared" si="15"/>
        <v>0.48163345056662754</v>
      </c>
      <c r="F113" s="212">
        <f t="shared" si="15"/>
        <v>0.95935912465806961</v>
      </c>
      <c r="G113" s="213">
        <f t="shared" si="15"/>
        <v>0.44353262993356779</v>
      </c>
      <c r="H113" s="213">
        <f t="shared" si="15"/>
        <v>-0.16803438843298163</v>
      </c>
      <c r="I113" s="213">
        <f t="shared" si="15"/>
        <v>1.5074247753028525</v>
      </c>
      <c r="J113" s="214">
        <f t="shared" si="15"/>
        <v>1.0023446658851114</v>
      </c>
      <c r="K113" s="211"/>
      <c r="L113" s="212">
        <f t="shared" si="13"/>
        <v>1.5259867135599843</v>
      </c>
      <c r="M113" s="213">
        <f t="shared" si="13"/>
        <v>0.99159828057835075</v>
      </c>
      <c r="N113" s="213">
        <f t="shared" si="13"/>
        <v>0.36830793278624457</v>
      </c>
      <c r="O113" s="214">
        <f t="shared" si="13"/>
        <v>0.60961313012895679</v>
      </c>
      <c r="P113" s="212">
        <f t="shared" si="13"/>
        <v>1.1970821935651947</v>
      </c>
      <c r="Q113" s="213">
        <f t="shared" si="13"/>
        <v>0.61352090660414227</v>
      </c>
      <c r="R113" s="213">
        <f t="shared" si="13"/>
        <v>-4.1682949068646613E-2</v>
      </c>
      <c r="S113" s="213">
        <f t="shared" si="13"/>
        <v>1.97831184056272</v>
      </c>
      <c r="T113" s="214">
        <f t="shared" si="13"/>
        <v>1.3730949589683472</v>
      </c>
      <c r="U113" s="210"/>
      <c r="V113" s="212">
        <f t="shared" si="14"/>
        <v>4.5230736438239365</v>
      </c>
      <c r="W113" s="213">
        <f t="shared" si="14"/>
        <v>3.9241180859000333</v>
      </c>
      <c r="X113" s="213">
        <f t="shared" si="14"/>
        <v>3.197271661515507</v>
      </c>
      <c r="Y113" s="214">
        <f t="shared" si="14"/>
        <v>5.2925503570286683</v>
      </c>
      <c r="Z113" s="212">
        <f t="shared" si="14"/>
        <v>8.6654943337241086</v>
      </c>
      <c r="AA113" s="213">
        <f t="shared" si="14"/>
        <v>8.0988667448221978</v>
      </c>
      <c r="AB113" s="213">
        <f t="shared" si="14"/>
        <v>7.4345447440406405</v>
      </c>
      <c r="AC113" s="214">
        <f t="shared" si="14"/>
        <v>9.3806174286830775</v>
      </c>
    </row>
    <row r="114" spans="1:30">
      <c r="A114" s="211" t="s">
        <v>333</v>
      </c>
      <c r="B114" s="219">
        <f t="shared" si="15"/>
        <v>1.4468542399374755</v>
      </c>
      <c r="C114" s="220">
        <f t="shared" si="15"/>
        <v>0.9613130128956624</v>
      </c>
      <c r="D114" s="220">
        <f t="shared" si="15"/>
        <v>0.35658460336068776</v>
      </c>
      <c r="E114" s="221">
        <f t="shared" si="15"/>
        <v>0.48163345056662754</v>
      </c>
      <c r="F114" s="219">
        <f t="shared" si="15"/>
        <v>0.95935912465806961</v>
      </c>
      <c r="G114" s="220">
        <f t="shared" si="15"/>
        <v>0.44353262993356779</v>
      </c>
      <c r="H114" s="220">
        <f t="shared" si="15"/>
        <v>-0.16803438843298163</v>
      </c>
      <c r="I114" s="220">
        <f t="shared" si="15"/>
        <v>1.5074247753028525</v>
      </c>
      <c r="J114" s="221">
        <f t="shared" si="15"/>
        <v>1.0023446658851114</v>
      </c>
      <c r="K114" s="211"/>
      <c r="L114" s="219">
        <f t="shared" si="13"/>
        <v>1.5259867135599843</v>
      </c>
      <c r="M114" s="220">
        <f t="shared" si="13"/>
        <v>0.99159828057835075</v>
      </c>
      <c r="N114" s="220">
        <f t="shared" si="13"/>
        <v>0.36830793278624457</v>
      </c>
      <c r="O114" s="221">
        <f t="shared" si="13"/>
        <v>0.60961313012895679</v>
      </c>
      <c r="P114" s="219">
        <f t="shared" si="13"/>
        <v>1.1970821935651947</v>
      </c>
      <c r="Q114" s="220">
        <f t="shared" si="13"/>
        <v>0.61352090660414227</v>
      </c>
      <c r="R114" s="220">
        <f t="shared" si="13"/>
        <v>-4.1682949068646613E-2</v>
      </c>
      <c r="S114" s="220">
        <f t="shared" si="13"/>
        <v>1.97831184056272</v>
      </c>
      <c r="T114" s="221">
        <f t="shared" si="13"/>
        <v>1.3730949589683472</v>
      </c>
      <c r="U114" s="210"/>
      <c r="V114" s="219">
        <f t="shared" si="14"/>
        <v>4.5230736438239365</v>
      </c>
      <c r="W114" s="220">
        <f t="shared" si="14"/>
        <v>3.9241180859000333</v>
      </c>
      <c r="X114" s="220">
        <f t="shared" si="14"/>
        <v>3.197271661515507</v>
      </c>
      <c r="Y114" s="221">
        <f t="shared" si="14"/>
        <v>5.2925503570286683</v>
      </c>
      <c r="Z114" s="219">
        <f t="shared" si="14"/>
        <v>8.6654943337241086</v>
      </c>
      <c r="AA114" s="220">
        <f t="shared" si="14"/>
        <v>8.0988667448221978</v>
      </c>
      <c r="AB114" s="220">
        <f t="shared" si="14"/>
        <v>7.4345447440406405</v>
      </c>
      <c r="AC114" s="221">
        <f t="shared" si="14"/>
        <v>9.3806174286830775</v>
      </c>
    </row>
    <row r="117" spans="1:30">
      <c r="K117" s="476" t="s">
        <v>336</v>
      </c>
      <c r="L117" s="477"/>
      <c r="M117" s="477"/>
      <c r="N117" s="477"/>
      <c r="O117" s="477"/>
      <c r="P117" s="478"/>
      <c r="R117" s="476" t="s">
        <v>337</v>
      </c>
      <c r="S117" s="477"/>
      <c r="T117" s="477"/>
      <c r="U117" s="477"/>
      <c r="V117" s="477"/>
      <c r="W117" s="478"/>
      <c r="Y117" s="476" t="s">
        <v>338</v>
      </c>
      <c r="Z117" s="477"/>
      <c r="AA117" s="477"/>
      <c r="AB117" s="477"/>
      <c r="AC117" s="477"/>
      <c r="AD117" s="478"/>
    </row>
    <row r="118" spans="1:30">
      <c r="A118" s="485" t="s">
        <v>339</v>
      </c>
      <c r="B118" s="486"/>
      <c r="C118" s="486"/>
      <c r="D118" s="486"/>
      <c r="E118" s="486"/>
      <c r="F118" s="486"/>
      <c r="G118" s="486"/>
      <c r="H118" s="486"/>
      <c r="I118" s="487"/>
      <c r="K118" s="146"/>
      <c r="L118" s="146"/>
      <c r="M118" s="479">
        <v>0.5</v>
      </c>
      <c r="N118" s="475"/>
      <c r="O118" s="479">
        <v>0.5</v>
      </c>
      <c r="P118" s="475"/>
      <c r="R118" s="146"/>
      <c r="S118" s="146"/>
      <c r="T118" s="479">
        <v>0.5</v>
      </c>
      <c r="U118" s="475"/>
      <c r="V118" s="479">
        <v>0.5</v>
      </c>
      <c r="W118" s="475"/>
      <c r="Y118" s="146"/>
      <c r="Z118" s="146"/>
      <c r="AA118" s="479">
        <v>0.5</v>
      </c>
      <c r="AB118" s="475"/>
      <c r="AC118" s="479">
        <v>0.5</v>
      </c>
      <c r="AD118" s="475"/>
    </row>
    <row r="119" spans="1:30">
      <c r="A119" s="488"/>
      <c r="B119" s="489"/>
      <c r="C119" s="489"/>
      <c r="D119" s="489"/>
      <c r="E119" s="489"/>
      <c r="F119" s="489"/>
      <c r="G119" s="489"/>
      <c r="H119" s="489"/>
      <c r="I119" s="490"/>
      <c r="K119" s="146"/>
      <c r="L119" s="146"/>
      <c r="M119" s="191">
        <v>0.5</v>
      </c>
      <c r="N119" s="191">
        <v>0.5</v>
      </c>
      <c r="O119" s="191">
        <v>0.5</v>
      </c>
      <c r="P119" s="191">
        <v>0.5</v>
      </c>
      <c r="R119" s="146"/>
      <c r="S119" s="146"/>
      <c r="T119" s="191">
        <v>0.5</v>
      </c>
      <c r="U119" s="191">
        <v>0.5</v>
      </c>
      <c r="V119" s="191">
        <v>0.5</v>
      </c>
      <c r="W119" s="191">
        <v>0.5</v>
      </c>
      <c r="Y119" s="146"/>
      <c r="Z119" s="146"/>
      <c r="AA119" s="191">
        <v>0.5</v>
      </c>
      <c r="AB119" s="191">
        <v>0.5</v>
      </c>
      <c r="AC119" s="191">
        <v>0.5</v>
      </c>
      <c r="AD119" s="191">
        <v>0.5</v>
      </c>
    </row>
    <row r="120" spans="1:30">
      <c r="A120" s="488"/>
      <c r="B120" s="489"/>
      <c r="C120" s="489"/>
      <c r="D120" s="489"/>
      <c r="E120" s="489"/>
      <c r="F120" s="489"/>
      <c r="G120" s="489"/>
      <c r="H120" s="489"/>
      <c r="I120" s="490"/>
      <c r="K120" s="146"/>
      <c r="L120" s="146"/>
      <c r="M120" s="475" t="s">
        <v>340</v>
      </c>
      <c r="N120" s="475"/>
      <c r="O120" s="475" t="s">
        <v>341</v>
      </c>
      <c r="P120" s="475"/>
      <c r="R120" s="146"/>
      <c r="S120" s="146"/>
      <c r="T120" s="475" t="s">
        <v>340</v>
      </c>
      <c r="U120" s="475"/>
      <c r="V120" s="475" t="s">
        <v>341</v>
      </c>
      <c r="W120" s="475"/>
      <c r="Y120" s="146"/>
      <c r="Z120" s="146"/>
      <c r="AA120" s="475" t="s">
        <v>340</v>
      </c>
      <c r="AB120" s="475"/>
      <c r="AC120" s="475" t="s">
        <v>341</v>
      </c>
      <c r="AD120" s="475"/>
    </row>
    <row r="121" spans="1:30">
      <c r="A121" s="488"/>
      <c r="B121" s="489"/>
      <c r="C121" s="489"/>
      <c r="D121" s="489"/>
      <c r="E121" s="489"/>
      <c r="F121" s="489"/>
      <c r="G121" s="489"/>
      <c r="H121" s="489"/>
      <c r="I121" s="490"/>
      <c r="K121" s="146"/>
      <c r="L121" s="146"/>
      <c r="M121" s="146" t="s">
        <v>342</v>
      </c>
      <c r="N121" s="146" t="s">
        <v>343</v>
      </c>
      <c r="O121" s="146" t="s">
        <v>342</v>
      </c>
      <c r="P121" s="146" t="s">
        <v>343</v>
      </c>
      <c r="R121" s="146"/>
      <c r="S121" s="146"/>
      <c r="T121" s="146" t="s">
        <v>342</v>
      </c>
      <c r="U121" s="146" t="s">
        <v>343</v>
      </c>
      <c r="V121" s="146" t="s">
        <v>342</v>
      </c>
      <c r="W121" s="146" t="s">
        <v>343</v>
      </c>
      <c r="Y121" s="146"/>
      <c r="Z121" s="146"/>
      <c r="AA121" s="146" t="s">
        <v>342</v>
      </c>
      <c r="AB121" s="146" t="s">
        <v>343</v>
      </c>
      <c r="AC121" s="146" t="s">
        <v>342</v>
      </c>
      <c r="AD121" s="146" t="s">
        <v>343</v>
      </c>
    </row>
    <row r="122" spans="1:30">
      <c r="A122" s="488"/>
      <c r="B122" s="489"/>
      <c r="C122" s="489"/>
      <c r="D122" s="489"/>
      <c r="E122" s="489"/>
      <c r="F122" s="489"/>
      <c r="G122" s="489"/>
      <c r="H122" s="489"/>
      <c r="I122" s="490"/>
      <c r="K122" s="191">
        <v>0.5</v>
      </c>
      <c r="L122" s="146" t="s">
        <v>344</v>
      </c>
      <c r="M122" s="192">
        <f>K122*M118*M119</f>
        <v>0.125</v>
      </c>
      <c r="N122" s="192">
        <f>K122*M118*N119</f>
        <v>0.125</v>
      </c>
      <c r="O122" s="192">
        <f>K122*O118*O119</f>
        <v>0.125</v>
      </c>
      <c r="P122" s="192">
        <f>K122*O118*P119</f>
        <v>0.125</v>
      </c>
      <c r="R122" s="191">
        <v>0.2</v>
      </c>
      <c r="S122" s="146" t="s">
        <v>344</v>
      </c>
      <c r="T122" s="192">
        <f>R122*T118*T119</f>
        <v>0.05</v>
      </c>
      <c r="U122" s="192">
        <f>R122*T118*U119</f>
        <v>0.05</v>
      </c>
      <c r="V122" s="192">
        <f>R122*V118*V119</f>
        <v>0.05</v>
      </c>
      <c r="W122" s="192">
        <f>R122*V118*W119</f>
        <v>0.05</v>
      </c>
      <c r="Y122" s="191">
        <v>0.8</v>
      </c>
      <c r="Z122" s="146" t="s">
        <v>344</v>
      </c>
      <c r="AA122" s="192">
        <f>Y122*AA118*AA119</f>
        <v>0.2</v>
      </c>
      <c r="AB122" s="192">
        <f>Y122*AA118*AB119</f>
        <v>0.2</v>
      </c>
      <c r="AC122" s="192">
        <f>Y122*AC118*AC119</f>
        <v>0.2</v>
      </c>
      <c r="AD122" s="192">
        <f>Y122*AC118*AD119</f>
        <v>0.2</v>
      </c>
    </row>
    <row r="123" spans="1:30">
      <c r="A123" s="488"/>
      <c r="B123" s="489"/>
      <c r="C123" s="489"/>
      <c r="D123" s="489"/>
      <c r="E123" s="489"/>
      <c r="F123" s="489"/>
      <c r="G123" s="489"/>
      <c r="H123" s="489"/>
      <c r="I123" s="490"/>
      <c r="K123" s="191">
        <v>0.5</v>
      </c>
      <c r="L123" s="146" t="s">
        <v>345</v>
      </c>
      <c r="M123" s="192">
        <f>K123*100%*M119</f>
        <v>0.25</v>
      </c>
      <c r="N123" s="192">
        <f>0</f>
        <v>0</v>
      </c>
      <c r="O123" s="192">
        <f>K123*100%*O119</f>
        <v>0.25</v>
      </c>
      <c r="P123" s="192">
        <f>K123*0%*P119</f>
        <v>0</v>
      </c>
      <c r="R123" s="191">
        <v>0.8</v>
      </c>
      <c r="S123" s="146" t="s">
        <v>345</v>
      </c>
      <c r="T123" s="192">
        <f>R123*100%*T119</f>
        <v>0.4</v>
      </c>
      <c r="U123" s="192">
        <f>0</f>
        <v>0</v>
      </c>
      <c r="V123" s="192">
        <f>R123*100%*V119</f>
        <v>0.4</v>
      </c>
      <c r="W123" s="192">
        <f>R123*0%*W119</f>
        <v>0</v>
      </c>
      <c r="Y123" s="191">
        <v>0.2</v>
      </c>
      <c r="Z123" s="146" t="s">
        <v>345</v>
      </c>
      <c r="AA123" s="192">
        <f>Y123*100%*AA119</f>
        <v>0.1</v>
      </c>
      <c r="AB123" s="192">
        <f>0</f>
        <v>0</v>
      </c>
      <c r="AC123" s="192">
        <f>Y123*100%*AC119</f>
        <v>0.1</v>
      </c>
      <c r="AD123" s="192">
        <f>Y123*0%*AD119</f>
        <v>0</v>
      </c>
    </row>
    <row r="124" spans="1:30">
      <c r="A124" s="488"/>
      <c r="B124" s="489"/>
      <c r="C124" s="489"/>
      <c r="D124" s="489"/>
      <c r="E124" s="489"/>
      <c r="F124" s="489"/>
      <c r="G124" s="489"/>
      <c r="H124" s="489"/>
      <c r="I124" s="490"/>
      <c r="K124" s="146"/>
      <c r="L124" s="146"/>
      <c r="M124" s="192">
        <f>SUM(M122:M123)</f>
        <v>0.375</v>
      </c>
      <c r="N124" s="192">
        <f>SUM(N122:N123)</f>
        <v>0.125</v>
      </c>
      <c r="O124" s="192">
        <f>SUM(O122:O123)</f>
        <v>0.375</v>
      </c>
      <c r="P124" s="192">
        <f>SUM(P122:P123)</f>
        <v>0.125</v>
      </c>
      <c r="R124" s="146"/>
      <c r="S124" s="146"/>
      <c r="T124" s="192">
        <f>SUM(T122:T123)</f>
        <v>0.45</v>
      </c>
      <c r="U124" s="192">
        <f>SUM(U122:U123)</f>
        <v>0.05</v>
      </c>
      <c r="V124" s="192">
        <f>SUM(V122:V123)</f>
        <v>0.45</v>
      </c>
      <c r="W124" s="192">
        <f>SUM(W122:W123)</f>
        <v>0.05</v>
      </c>
      <c r="Y124" s="146"/>
      <c r="Z124" s="146"/>
      <c r="AA124" s="192">
        <f>SUM(AA122:AA123)</f>
        <v>0.30000000000000004</v>
      </c>
      <c r="AB124" s="192">
        <f>SUM(AB122:AB123)</f>
        <v>0.2</v>
      </c>
      <c r="AC124" s="192">
        <f>SUM(AC122:AC123)</f>
        <v>0.30000000000000004</v>
      </c>
      <c r="AD124" s="192">
        <f>SUM(AD122:AD123)</f>
        <v>0.2</v>
      </c>
    </row>
    <row r="125" spans="1:30">
      <c r="A125" s="488"/>
      <c r="B125" s="489"/>
      <c r="C125" s="489"/>
      <c r="D125" s="489"/>
      <c r="E125" s="489"/>
      <c r="F125" s="489"/>
      <c r="G125" s="489"/>
      <c r="H125" s="489"/>
      <c r="I125" s="490"/>
    </row>
    <row r="126" spans="1:30">
      <c r="A126" s="491"/>
      <c r="B126" s="492"/>
      <c r="C126" s="492"/>
      <c r="D126" s="492"/>
      <c r="E126" s="492"/>
      <c r="F126" s="492"/>
      <c r="G126" s="492"/>
      <c r="H126" s="492"/>
      <c r="I126" s="493"/>
    </row>
    <row r="128" spans="1:30">
      <c r="E128" s="480" t="s">
        <v>346</v>
      </c>
      <c r="F128" s="481"/>
      <c r="G128" s="481"/>
      <c r="H128" s="481"/>
      <c r="I128" s="481"/>
      <c r="J128" s="481"/>
      <c r="K128" s="481"/>
      <c r="L128" s="481"/>
      <c r="M128" s="481"/>
      <c r="N128" s="481"/>
      <c r="O128" s="481"/>
      <c r="P128" s="481"/>
      <c r="Q128" s="481"/>
      <c r="R128" s="481"/>
      <c r="S128" s="481"/>
      <c r="T128" s="481"/>
      <c r="U128" s="482"/>
    </row>
    <row r="129" spans="1:22" ht="51">
      <c r="A129" s="193" t="s">
        <v>42</v>
      </c>
      <c r="B129" s="194" t="s">
        <v>347</v>
      </c>
      <c r="C129" s="195" t="s">
        <v>348</v>
      </c>
      <c r="D129" s="195" t="s">
        <v>349</v>
      </c>
      <c r="E129" s="196" t="s">
        <v>43</v>
      </c>
      <c r="F129" s="196" t="s">
        <v>350</v>
      </c>
      <c r="G129" s="196" t="s">
        <v>351</v>
      </c>
      <c r="H129" s="196" t="s">
        <v>352</v>
      </c>
      <c r="I129" s="196" t="s">
        <v>353</v>
      </c>
      <c r="J129" s="196" t="s">
        <v>354</v>
      </c>
      <c r="K129" s="196" t="s">
        <v>355</v>
      </c>
      <c r="L129" s="196" t="s">
        <v>356</v>
      </c>
      <c r="M129" s="196" t="s">
        <v>357</v>
      </c>
      <c r="N129" s="196" t="s">
        <v>258</v>
      </c>
      <c r="O129" s="196" t="s">
        <v>358</v>
      </c>
      <c r="P129" s="196" t="s">
        <v>359</v>
      </c>
      <c r="Q129" s="196" t="s">
        <v>255</v>
      </c>
      <c r="R129" s="196" t="s">
        <v>251</v>
      </c>
      <c r="S129" s="196" t="s">
        <v>294</v>
      </c>
      <c r="T129" s="196" t="s">
        <v>360</v>
      </c>
      <c r="U129" s="196" t="s">
        <v>238</v>
      </c>
      <c r="V129" s="196" t="s">
        <v>248</v>
      </c>
    </row>
    <row r="130" spans="1:22">
      <c r="A130" s="197" t="s">
        <v>321</v>
      </c>
      <c r="B130" s="122">
        <v>2</v>
      </c>
      <c r="C130" s="198">
        <f>[4]Cost!$E$29</f>
        <v>3.99701</v>
      </c>
      <c r="D130" s="199">
        <v>3.0000000000000001E-3</v>
      </c>
      <c r="E130" s="199">
        <v>3.0000000000000001E-3</v>
      </c>
      <c r="F130" s="199">
        <v>3.0000000000000001E-3</v>
      </c>
      <c r="G130" s="199">
        <v>3.0000000000000001E-3</v>
      </c>
      <c r="H130" s="199">
        <v>3.0000000000000001E-3</v>
      </c>
      <c r="I130" s="199">
        <v>3.0000000000000001E-3</v>
      </c>
      <c r="J130" s="199">
        <v>3.0000000000000001E-3</v>
      </c>
      <c r="K130" s="199">
        <v>3.0000000000000001E-3</v>
      </c>
      <c r="L130" s="199">
        <v>3.0000000000000001E-3</v>
      </c>
      <c r="M130" s="199">
        <v>3.0000000000000001E-3</v>
      </c>
      <c r="N130" s="199">
        <v>3.0000000000000001E-3</v>
      </c>
      <c r="O130" s="199">
        <v>3.0000000000000001E-3</v>
      </c>
      <c r="P130" s="199">
        <v>3.0000000000000001E-3</v>
      </c>
      <c r="Q130" s="199">
        <v>3.0000000000000001E-3</v>
      </c>
      <c r="R130" s="199">
        <v>3.0000000000000001E-3</v>
      </c>
      <c r="S130" s="199">
        <v>3.0000000000000001E-3</v>
      </c>
      <c r="T130" s="199">
        <v>3.0000000000000001E-3</v>
      </c>
      <c r="U130" s="199">
        <f t="shared" ref="U130:U138" si="16">D130</f>
        <v>3.0000000000000001E-3</v>
      </c>
      <c r="V130" s="199">
        <v>3.0000000000000001E-3</v>
      </c>
    </row>
    <row r="131" spans="1:22">
      <c r="A131" s="197" t="s">
        <v>322</v>
      </c>
      <c r="B131" s="122">
        <v>3</v>
      </c>
      <c r="C131" s="198">
        <f>[4]Cost!$E$28</f>
        <v>0.5</v>
      </c>
      <c r="D131" s="199">
        <v>0.37</v>
      </c>
      <c r="E131" s="199">
        <v>0.44</v>
      </c>
      <c r="F131" s="199">
        <v>0.44</v>
      </c>
      <c r="G131" s="199">
        <v>0.3</v>
      </c>
      <c r="H131" s="199">
        <v>0.37</v>
      </c>
      <c r="I131" s="199">
        <v>0.3</v>
      </c>
      <c r="J131" s="199">
        <v>0.3</v>
      </c>
      <c r="K131" s="199">
        <v>0.44</v>
      </c>
      <c r="L131" s="199">
        <v>0.3</v>
      </c>
      <c r="M131" s="199">
        <v>0.44</v>
      </c>
      <c r="N131" s="199">
        <v>0.3</v>
      </c>
      <c r="O131" s="199">
        <v>0.3</v>
      </c>
      <c r="P131" s="199">
        <v>0.3</v>
      </c>
      <c r="Q131" s="199">
        <v>0.3</v>
      </c>
      <c r="R131" s="199">
        <v>0.3</v>
      </c>
      <c r="S131" s="199">
        <v>0.44</v>
      </c>
      <c r="T131" s="199">
        <v>0.3</v>
      </c>
      <c r="U131" s="199">
        <f t="shared" si="16"/>
        <v>0.37</v>
      </c>
      <c r="V131" s="199">
        <v>0.37</v>
      </c>
    </row>
    <row r="132" spans="1:22">
      <c r="A132" s="197" t="s">
        <v>323</v>
      </c>
      <c r="B132" s="122">
        <v>4</v>
      </c>
      <c r="C132" s="198">
        <f>[4]Cost!$E$27</f>
        <v>0</v>
      </c>
      <c r="D132" s="199">
        <v>3.0000000000000001E-3</v>
      </c>
      <c r="E132" s="199">
        <v>3.0000000000000001E-3</v>
      </c>
      <c r="F132" s="199">
        <v>3.0000000000000001E-3</v>
      </c>
      <c r="G132" s="199">
        <v>3.0000000000000001E-3</v>
      </c>
      <c r="H132" s="199">
        <v>3.0000000000000001E-3</v>
      </c>
      <c r="I132" s="199">
        <v>3.0000000000000001E-3</v>
      </c>
      <c r="J132" s="199">
        <v>3.0000000000000001E-3</v>
      </c>
      <c r="K132" s="199">
        <v>3.0000000000000001E-3</v>
      </c>
      <c r="L132" s="199">
        <v>3.0000000000000001E-3</v>
      </c>
      <c r="M132" s="199">
        <v>3.0000000000000001E-3</v>
      </c>
      <c r="N132" s="199">
        <v>3.0000000000000001E-3</v>
      </c>
      <c r="O132" s="199">
        <v>3.0000000000000001E-3</v>
      </c>
      <c r="P132" s="199">
        <v>3.0000000000000001E-3</v>
      </c>
      <c r="Q132" s="199">
        <v>3.0000000000000001E-3</v>
      </c>
      <c r="R132" s="199">
        <v>3.0000000000000001E-3</v>
      </c>
      <c r="S132" s="199">
        <v>3.0000000000000001E-3</v>
      </c>
      <c r="T132" s="199">
        <v>3.0000000000000001E-3</v>
      </c>
      <c r="U132" s="199">
        <f t="shared" si="16"/>
        <v>3.0000000000000001E-3</v>
      </c>
      <c r="V132" s="199">
        <v>3.0000000000000001E-3</v>
      </c>
    </row>
    <row r="133" spans="1:22">
      <c r="A133" s="197" t="s">
        <v>273</v>
      </c>
      <c r="B133" s="122">
        <v>5</v>
      </c>
      <c r="C133" s="198">
        <f>[4]Cost!$E$30</f>
        <v>0.5</v>
      </c>
      <c r="D133" s="199">
        <v>0.12</v>
      </c>
      <c r="E133" s="199">
        <v>0.05</v>
      </c>
      <c r="F133" s="199">
        <v>0.05</v>
      </c>
      <c r="G133" s="199">
        <v>0.19</v>
      </c>
      <c r="H133" s="199">
        <v>0.12</v>
      </c>
      <c r="I133" s="199">
        <v>0.19</v>
      </c>
      <c r="J133" s="199">
        <v>0.19</v>
      </c>
      <c r="K133" s="199">
        <v>0.05</v>
      </c>
      <c r="L133" s="199">
        <v>0.19</v>
      </c>
      <c r="M133" s="199">
        <v>0.05</v>
      </c>
      <c r="N133" s="199">
        <v>0.19</v>
      </c>
      <c r="O133" s="199">
        <v>0.19</v>
      </c>
      <c r="P133" s="199">
        <v>0.19</v>
      </c>
      <c r="Q133" s="199">
        <v>0.19</v>
      </c>
      <c r="R133" s="199">
        <v>0.19</v>
      </c>
      <c r="S133" s="199">
        <v>0.05</v>
      </c>
      <c r="T133" s="199">
        <v>0.19</v>
      </c>
      <c r="U133" s="199">
        <f t="shared" si="16"/>
        <v>0.12</v>
      </c>
      <c r="V133" s="199">
        <v>0.12</v>
      </c>
    </row>
    <row r="134" spans="1:22">
      <c r="A134" s="197" t="s">
        <v>324</v>
      </c>
      <c r="B134" s="122">
        <v>6</v>
      </c>
      <c r="C134" s="198">
        <f>[4]Cost!$E$39</f>
        <v>3.99701</v>
      </c>
      <c r="D134" s="199">
        <v>3.0000000000000001E-3</v>
      </c>
      <c r="E134" s="199">
        <v>3.0000000000000001E-3</v>
      </c>
      <c r="F134" s="199">
        <v>3.0000000000000001E-3</v>
      </c>
      <c r="G134" s="199">
        <v>3.0000000000000001E-3</v>
      </c>
      <c r="H134" s="199">
        <v>3.0000000000000001E-3</v>
      </c>
      <c r="I134" s="199">
        <v>3.0000000000000001E-3</v>
      </c>
      <c r="J134" s="199">
        <v>3.0000000000000001E-3</v>
      </c>
      <c r="K134" s="199">
        <v>3.0000000000000001E-3</v>
      </c>
      <c r="L134" s="199">
        <v>3.0000000000000001E-3</v>
      </c>
      <c r="M134" s="199">
        <v>3.0000000000000001E-3</v>
      </c>
      <c r="N134" s="199">
        <v>3.0000000000000001E-3</v>
      </c>
      <c r="O134" s="199">
        <v>3.0000000000000001E-3</v>
      </c>
      <c r="P134" s="199">
        <v>3.0000000000000001E-3</v>
      </c>
      <c r="Q134" s="199">
        <v>3.0000000000000001E-3</v>
      </c>
      <c r="R134" s="199">
        <v>3.0000000000000001E-3</v>
      </c>
      <c r="S134" s="199">
        <v>3.0000000000000001E-3</v>
      </c>
      <c r="T134" s="199">
        <v>3.0000000000000001E-3</v>
      </c>
      <c r="U134" s="199">
        <f t="shared" si="16"/>
        <v>3.0000000000000001E-3</v>
      </c>
      <c r="V134" s="199">
        <v>3.0000000000000001E-3</v>
      </c>
    </row>
    <row r="135" spans="1:22">
      <c r="A135" s="197" t="s">
        <v>325</v>
      </c>
      <c r="B135" s="122">
        <v>7</v>
      </c>
      <c r="C135" s="198">
        <f>[4]Cost!$E$38</f>
        <v>0.5</v>
      </c>
      <c r="D135" s="199">
        <v>0.37</v>
      </c>
      <c r="E135" s="199">
        <v>0.44</v>
      </c>
      <c r="F135" s="199">
        <v>0.44</v>
      </c>
      <c r="G135" s="199">
        <v>0.3</v>
      </c>
      <c r="H135" s="199">
        <v>0.37</v>
      </c>
      <c r="I135" s="199">
        <v>0.3</v>
      </c>
      <c r="J135" s="199">
        <v>0.3</v>
      </c>
      <c r="K135" s="199">
        <v>0.44</v>
      </c>
      <c r="L135" s="199">
        <v>0.3</v>
      </c>
      <c r="M135" s="199">
        <v>0.44</v>
      </c>
      <c r="N135" s="199">
        <v>0.3</v>
      </c>
      <c r="O135" s="199">
        <v>0.3</v>
      </c>
      <c r="P135" s="199">
        <v>0.3</v>
      </c>
      <c r="Q135" s="199">
        <v>0.3</v>
      </c>
      <c r="R135" s="199">
        <v>0.3</v>
      </c>
      <c r="S135" s="199">
        <v>0.44</v>
      </c>
      <c r="T135" s="199">
        <v>0.3</v>
      </c>
      <c r="U135" s="199">
        <f t="shared" si="16"/>
        <v>0.37</v>
      </c>
      <c r="V135" s="199">
        <v>0.37</v>
      </c>
    </row>
    <row r="136" spans="1:22">
      <c r="A136" s="197" t="s">
        <v>326</v>
      </c>
      <c r="B136" s="122">
        <v>8</v>
      </c>
      <c r="C136" s="198">
        <f>[4]Cost!$E$37</f>
        <v>0</v>
      </c>
      <c r="D136" s="199">
        <v>3.0000000000000001E-3</v>
      </c>
      <c r="E136" s="199">
        <v>3.0000000000000001E-3</v>
      </c>
      <c r="F136" s="199">
        <v>3.0000000000000001E-3</v>
      </c>
      <c r="G136" s="199">
        <v>3.0000000000000001E-3</v>
      </c>
      <c r="H136" s="199">
        <v>3.0000000000000001E-3</v>
      </c>
      <c r="I136" s="199">
        <v>3.0000000000000001E-3</v>
      </c>
      <c r="J136" s="199">
        <v>3.0000000000000001E-3</v>
      </c>
      <c r="K136" s="199">
        <v>3.0000000000000001E-3</v>
      </c>
      <c r="L136" s="199">
        <v>3.0000000000000001E-3</v>
      </c>
      <c r="M136" s="199">
        <v>3.0000000000000001E-3</v>
      </c>
      <c r="N136" s="199">
        <v>3.0000000000000001E-3</v>
      </c>
      <c r="O136" s="199">
        <v>3.0000000000000001E-3</v>
      </c>
      <c r="P136" s="199">
        <v>3.0000000000000001E-3</v>
      </c>
      <c r="Q136" s="199">
        <v>3.0000000000000001E-3</v>
      </c>
      <c r="R136" s="199">
        <v>3.0000000000000001E-3</v>
      </c>
      <c r="S136" s="199">
        <v>3.0000000000000001E-3</v>
      </c>
      <c r="T136" s="199">
        <v>3.0000000000000001E-3</v>
      </c>
      <c r="U136" s="199">
        <f t="shared" si="16"/>
        <v>3.0000000000000001E-3</v>
      </c>
      <c r="V136" s="199">
        <v>3.0000000000000001E-3</v>
      </c>
    </row>
    <row r="137" spans="1:22">
      <c r="A137" s="197" t="s">
        <v>277</v>
      </c>
      <c r="B137" s="122">
        <v>9</v>
      </c>
      <c r="C137" s="198">
        <f>[4]Cost!$E$41</f>
        <v>0.5</v>
      </c>
      <c r="D137" s="199">
        <v>0.12</v>
      </c>
      <c r="E137" s="199">
        <v>0.05</v>
      </c>
      <c r="F137" s="199">
        <v>0.05</v>
      </c>
      <c r="G137" s="199">
        <v>0.19</v>
      </c>
      <c r="H137" s="199">
        <v>0.12</v>
      </c>
      <c r="I137" s="199">
        <v>0.19</v>
      </c>
      <c r="J137" s="199">
        <v>0.19</v>
      </c>
      <c r="K137" s="199">
        <v>0.05</v>
      </c>
      <c r="L137" s="199">
        <v>0.19</v>
      </c>
      <c r="M137" s="199">
        <v>0.05</v>
      </c>
      <c r="N137" s="199">
        <v>0.19</v>
      </c>
      <c r="O137" s="199">
        <v>0.19</v>
      </c>
      <c r="P137" s="199">
        <v>0.19</v>
      </c>
      <c r="Q137" s="199">
        <v>0.19</v>
      </c>
      <c r="R137" s="199">
        <v>0.19</v>
      </c>
      <c r="S137" s="199">
        <v>0.05</v>
      </c>
      <c r="T137" s="199">
        <v>0.19</v>
      </c>
      <c r="U137" s="199">
        <f t="shared" si="16"/>
        <v>0.12</v>
      </c>
      <c r="V137" s="199">
        <v>0.12</v>
      </c>
    </row>
    <row r="138" spans="1:22">
      <c r="A138" s="197" t="s">
        <v>278</v>
      </c>
      <c r="B138" s="122">
        <v>10</v>
      </c>
      <c r="C138" s="198">
        <f>[4]Cost!$E$40</f>
        <v>0</v>
      </c>
      <c r="D138" s="199">
        <v>3.0000000000000001E-3</v>
      </c>
      <c r="E138" s="199">
        <v>3.0000000000000001E-3</v>
      </c>
      <c r="F138" s="199">
        <v>3.0000000000000001E-3</v>
      </c>
      <c r="G138" s="199">
        <v>3.0000000000000001E-3</v>
      </c>
      <c r="H138" s="199">
        <v>3.0000000000000001E-3</v>
      </c>
      <c r="I138" s="199">
        <v>3.0000000000000001E-3</v>
      </c>
      <c r="J138" s="199">
        <v>3.0000000000000001E-3</v>
      </c>
      <c r="K138" s="199">
        <v>3.0000000000000001E-3</v>
      </c>
      <c r="L138" s="199">
        <v>3.0000000000000001E-3</v>
      </c>
      <c r="M138" s="199">
        <v>3.0000000000000001E-3</v>
      </c>
      <c r="N138" s="199">
        <v>3.0000000000000001E-3</v>
      </c>
      <c r="O138" s="199">
        <v>3.0000000000000001E-3</v>
      </c>
      <c r="P138" s="199">
        <v>3.0000000000000001E-3</v>
      </c>
      <c r="Q138" s="199">
        <v>3.0000000000000001E-3</v>
      </c>
      <c r="R138" s="199">
        <v>3.0000000000000001E-3</v>
      </c>
      <c r="S138" s="199">
        <v>3.0000000000000001E-3</v>
      </c>
      <c r="T138" s="199">
        <v>3.0000000000000001E-3</v>
      </c>
      <c r="U138" s="199">
        <f t="shared" si="16"/>
        <v>3.0000000000000001E-3</v>
      </c>
      <c r="V138" s="199">
        <v>3.0000000000000001E-3</v>
      </c>
    </row>
    <row r="139" spans="1:22">
      <c r="A139" s="200"/>
      <c r="C139" s="198"/>
      <c r="D139" s="199">
        <f t="shared" ref="D139:V139" si="17">SUM(D130:D138)</f>
        <v>0.995</v>
      </c>
      <c r="E139" s="199">
        <f t="shared" si="17"/>
        <v>0.99500000000000011</v>
      </c>
      <c r="F139" s="199">
        <f t="shared" si="17"/>
        <v>0.99500000000000011</v>
      </c>
      <c r="G139" s="199">
        <f t="shared" si="17"/>
        <v>0.995</v>
      </c>
      <c r="H139" s="199">
        <f t="shared" si="17"/>
        <v>0.995</v>
      </c>
      <c r="I139" s="199">
        <f t="shared" si="17"/>
        <v>0.995</v>
      </c>
      <c r="J139" s="199">
        <f t="shared" si="17"/>
        <v>0.995</v>
      </c>
      <c r="K139" s="199">
        <f t="shared" si="17"/>
        <v>0.99500000000000011</v>
      </c>
      <c r="L139" s="199">
        <f t="shared" si="17"/>
        <v>0.995</v>
      </c>
      <c r="M139" s="199">
        <f t="shared" si="17"/>
        <v>0.99500000000000011</v>
      </c>
      <c r="N139" s="199">
        <f t="shared" si="17"/>
        <v>0.995</v>
      </c>
      <c r="O139" s="199">
        <f t="shared" si="17"/>
        <v>0.995</v>
      </c>
      <c r="P139" s="199">
        <f t="shared" si="17"/>
        <v>0.995</v>
      </c>
      <c r="Q139" s="199">
        <f t="shared" si="17"/>
        <v>0.995</v>
      </c>
      <c r="R139" s="199">
        <f t="shared" si="17"/>
        <v>0.995</v>
      </c>
      <c r="S139" s="199">
        <f t="shared" si="17"/>
        <v>0.99500000000000011</v>
      </c>
      <c r="T139" s="199">
        <f t="shared" si="17"/>
        <v>0.995</v>
      </c>
      <c r="U139" s="199">
        <f t="shared" si="17"/>
        <v>0.995</v>
      </c>
      <c r="V139" s="199">
        <f t="shared" si="17"/>
        <v>0.995</v>
      </c>
    </row>
    <row r="140" spans="1:22">
      <c r="A140" s="201" t="s">
        <v>178</v>
      </c>
      <c r="B140" s="122">
        <v>11</v>
      </c>
      <c r="E140" s="199"/>
      <c r="F140" s="199"/>
      <c r="G140" s="199"/>
      <c r="H140" s="199"/>
      <c r="I140" s="199"/>
      <c r="J140" s="199"/>
      <c r="K140" s="199"/>
      <c r="L140" s="199"/>
      <c r="M140" s="199"/>
      <c r="N140" s="199"/>
      <c r="O140" s="199"/>
      <c r="P140" s="199"/>
      <c r="Q140" s="199"/>
      <c r="R140" s="199"/>
      <c r="S140" s="199"/>
      <c r="T140" s="199"/>
      <c r="U140" s="199"/>
      <c r="V140" s="199"/>
    </row>
    <row r="141" spans="1:22">
      <c r="A141" s="202" t="s">
        <v>321</v>
      </c>
      <c r="B141" s="122">
        <v>12</v>
      </c>
      <c r="C141" s="198">
        <f>[4]Cost!$E$29</f>
        <v>3.99701</v>
      </c>
      <c r="D141" s="199">
        <v>3.0000000000000001E-3</v>
      </c>
      <c r="E141" s="199">
        <v>3.0000000000000001E-3</v>
      </c>
      <c r="F141" s="199">
        <v>3.0000000000000001E-3</v>
      </c>
      <c r="G141" s="199">
        <v>3.0000000000000001E-3</v>
      </c>
      <c r="H141" s="199">
        <v>3.0000000000000001E-3</v>
      </c>
      <c r="I141" s="199">
        <v>3.0000000000000001E-3</v>
      </c>
      <c r="J141" s="199">
        <v>3.0000000000000001E-3</v>
      </c>
      <c r="K141" s="199">
        <v>3.0000000000000001E-3</v>
      </c>
      <c r="L141" s="199">
        <v>3.0000000000000001E-3</v>
      </c>
      <c r="M141" s="199">
        <v>3.0000000000000001E-3</v>
      </c>
      <c r="N141" s="199">
        <v>3.0000000000000001E-3</v>
      </c>
      <c r="O141" s="199">
        <v>3.0000000000000001E-3</v>
      </c>
      <c r="P141" s="199">
        <v>3.0000000000000001E-3</v>
      </c>
      <c r="Q141" s="199">
        <v>3.0000000000000001E-3</v>
      </c>
      <c r="R141" s="199">
        <v>3.0000000000000001E-3</v>
      </c>
      <c r="S141" s="199">
        <v>3.0000000000000001E-3</v>
      </c>
      <c r="T141" s="199">
        <v>3.0000000000000001E-3</v>
      </c>
      <c r="U141" s="199">
        <f t="shared" ref="U141:U149" si="18">D141</f>
        <v>3.0000000000000001E-3</v>
      </c>
      <c r="V141" s="199">
        <v>3.0000000000000001E-3</v>
      </c>
    </row>
    <row r="142" spans="1:22">
      <c r="A142" s="202" t="s">
        <v>322</v>
      </c>
      <c r="B142" s="122">
        <v>13</v>
      </c>
      <c r="C142" s="198">
        <f>[4]Cost!$E$28</f>
        <v>0.5</v>
      </c>
      <c r="D142" s="199">
        <v>0.37</v>
      </c>
      <c r="E142" s="199">
        <v>0.44</v>
      </c>
      <c r="F142" s="199">
        <v>0.44</v>
      </c>
      <c r="G142" s="199">
        <v>0.3</v>
      </c>
      <c r="H142" s="199">
        <v>0.37</v>
      </c>
      <c r="I142" s="199">
        <v>0.3</v>
      </c>
      <c r="J142" s="199">
        <v>0.3</v>
      </c>
      <c r="K142" s="199">
        <v>0.44</v>
      </c>
      <c r="L142" s="199">
        <v>0.3</v>
      </c>
      <c r="M142" s="199">
        <v>0.44</v>
      </c>
      <c r="N142" s="199">
        <v>0.3</v>
      </c>
      <c r="O142" s="199">
        <v>0.3</v>
      </c>
      <c r="P142" s="199">
        <v>0.3</v>
      </c>
      <c r="Q142" s="199">
        <v>0.3</v>
      </c>
      <c r="R142" s="199">
        <v>0.3</v>
      </c>
      <c r="S142" s="199">
        <v>0.44</v>
      </c>
      <c r="T142" s="199">
        <v>0.3</v>
      </c>
      <c r="U142" s="199">
        <f t="shared" si="18"/>
        <v>0.37</v>
      </c>
      <c r="V142" s="199">
        <v>0.37</v>
      </c>
    </row>
    <row r="143" spans="1:22">
      <c r="A143" s="202" t="s">
        <v>323</v>
      </c>
      <c r="B143" s="122">
        <v>14</v>
      </c>
      <c r="C143" s="198">
        <f>[4]Cost!$E$27</f>
        <v>0</v>
      </c>
      <c r="D143" s="199">
        <v>3.0000000000000001E-3</v>
      </c>
      <c r="E143" s="199">
        <v>3.0000000000000001E-3</v>
      </c>
      <c r="F143" s="199">
        <v>3.0000000000000001E-3</v>
      </c>
      <c r="G143" s="199">
        <v>3.0000000000000001E-3</v>
      </c>
      <c r="H143" s="199">
        <v>3.0000000000000001E-3</v>
      </c>
      <c r="I143" s="199">
        <v>3.0000000000000001E-3</v>
      </c>
      <c r="J143" s="199">
        <v>3.0000000000000001E-3</v>
      </c>
      <c r="K143" s="199">
        <v>3.0000000000000001E-3</v>
      </c>
      <c r="L143" s="199">
        <v>3.0000000000000001E-3</v>
      </c>
      <c r="M143" s="199">
        <v>3.0000000000000001E-3</v>
      </c>
      <c r="N143" s="199">
        <v>3.0000000000000001E-3</v>
      </c>
      <c r="O143" s="199">
        <v>3.0000000000000001E-3</v>
      </c>
      <c r="P143" s="199">
        <v>3.0000000000000001E-3</v>
      </c>
      <c r="Q143" s="199">
        <v>3.0000000000000001E-3</v>
      </c>
      <c r="R143" s="199">
        <v>3.0000000000000001E-3</v>
      </c>
      <c r="S143" s="199">
        <v>3.0000000000000001E-3</v>
      </c>
      <c r="T143" s="199">
        <v>3.0000000000000001E-3</v>
      </c>
      <c r="U143" s="199">
        <f t="shared" si="18"/>
        <v>3.0000000000000001E-3</v>
      </c>
      <c r="V143" s="199">
        <v>3.0000000000000001E-3</v>
      </c>
    </row>
    <row r="144" spans="1:22">
      <c r="A144" s="202" t="s">
        <v>273</v>
      </c>
      <c r="B144" s="122">
        <v>15</v>
      </c>
      <c r="C144" s="198">
        <f>[4]Cost!$E$30</f>
        <v>0.5</v>
      </c>
      <c r="D144" s="199">
        <v>0.12</v>
      </c>
      <c r="E144" s="199">
        <v>0.05</v>
      </c>
      <c r="F144" s="199">
        <v>0.05</v>
      </c>
      <c r="G144" s="199">
        <v>0.19</v>
      </c>
      <c r="H144" s="199">
        <v>0.12</v>
      </c>
      <c r="I144" s="199">
        <v>0.19</v>
      </c>
      <c r="J144" s="199">
        <v>0.19</v>
      </c>
      <c r="K144" s="199">
        <v>0.05</v>
      </c>
      <c r="L144" s="199">
        <v>0.19</v>
      </c>
      <c r="M144" s="199">
        <v>0.05</v>
      </c>
      <c r="N144" s="199">
        <v>0.19</v>
      </c>
      <c r="O144" s="199">
        <v>0.19</v>
      </c>
      <c r="P144" s="199">
        <v>0.19</v>
      </c>
      <c r="Q144" s="199">
        <v>0.19</v>
      </c>
      <c r="R144" s="199">
        <v>0.19</v>
      </c>
      <c r="S144" s="199">
        <v>0.05</v>
      </c>
      <c r="T144" s="199">
        <v>0.19</v>
      </c>
      <c r="U144" s="199">
        <f t="shared" si="18"/>
        <v>0.12</v>
      </c>
      <c r="V144" s="199">
        <v>0.12</v>
      </c>
    </row>
    <row r="145" spans="1:22">
      <c r="A145" s="202" t="s">
        <v>324</v>
      </c>
      <c r="B145" s="122">
        <v>16</v>
      </c>
      <c r="C145" s="198">
        <f>[4]Cost!$E$39</f>
        <v>3.99701</v>
      </c>
      <c r="D145" s="199">
        <v>3.0000000000000001E-3</v>
      </c>
      <c r="E145" s="199">
        <v>3.0000000000000001E-3</v>
      </c>
      <c r="F145" s="199">
        <v>3.0000000000000001E-3</v>
      </c>
      <c r="G145" s="199">
        <v>3.0000000000000001E-3</v>
      </c>
      <c r="H145" s="199">
        <v>3.0000000000000001E-3</v>
      </c>
      <c r="I145" s="199">
        <v>3.0000000000000001E-3</v>
      </c>
      <c r="J145" s="199">
        <v>3.0000000000000001E-3</v>
      </c>
      <c r="K145" s="199">
        <v>3.0000000000000001E-3</v>
      </c>
      <c r="L145" s="199">
        <v>3.0000000000000001E-3</v>
      </c>
      <c r="M145" s="199">
        <v>3.0000000000000001E-3</v>
      </c>
      <c r="N145" s="199">
        <v>3.0000000000000001E-3</v>
      </c>
      <c r="O145" s="199">
        <v>3.0000000000000001E-3</v>
      </c>
      <c r="P145" s="199">
        <v>3.0000000000000001E-3</v>
      </c>
      <c r="Q145" s="199">
        <v>3.0000000000000001E-3</v>
      </c>
      <c r="R145" s="199">
        <v>3.0000000000000001E-3</v>
      </c>
      <c r="S145" s="199">
        <v>3.0000000000000001E-3</v>
      </c>
      <c r="T145" s="199">
        <v>3.0000000000000001E-3</v>
      </c>
      <c r="U145" s="199">
        <f t="shared" si="18"/>
        <v>3.0000000000000001E-3</v>
      </c>
      <c r="V145" s="199">
        <v>3.0000000000000001E-3</v>
      </c>
    </row>
    <row r="146" spans="1:22">
      <c r="A146" s="202" t="s">
        <v>325</v>
      </c>
      <c r="B146" s="122">
        <v>17</v>
      </c>
      <c r="C146" s="198">
        <f>[4]Cost!$E$38</f>
        <v>0.5</v>
      </c>
      <c r="D146" s="199">
        <v>0.37</v>
      </c>
      <c r="E146" s="199">
        <v>0.44</v>
      </c>
      <c r="F146" s="199">
        <v>0.44</v>
      </c>
      <c r="G146" s="199">
        <v>0.3</v>
      </c>
      <c r="H146" s="199">
        <v>0.37</v>
      </c>
      <c r="I146" s="199">
        <v>0.3</v>
      </c>
      <c r="J146" s="199">
        <v>0.3</v>
      </c>
      <c r="K146" s="199">
        <v>0.44</v>
      </c>
      <c r="L146" s="199">
        <v>0.3</v>
      </c>
      <c r="M146" s="199">
        <v>0.44</v>
      </c>
      <c r="N146" s="199">
        <v>0.3</v>
      </c>
      <c r="O146" s="199">
        <v>0.3</v>
      </c>
      <c r="P146" s="199">
        <v>0.3</v>
      </c>
      <c r="Q146" s="199">
        <v>0.3</v>
      </c>
      <c r="R146" s="199">
        <v>0.3</v>
      </c>
      <c r="S146" s="199">
        <v>0.44</v>
      </c>
      <c r="T146" s="199">
        <v>0.3</v>
      </c>
      <c r="U146" s="199">
        <f t="shared" si="18"/>
        <v>0.37</v>
      </c>
      <c r="V146" s="199">
        <v>0.37</v>
      </c>
    </row>
    <row r="147" spans="1:22">
      <c r="A147" s="202" t="s">
        <v>326</v>
      </c>
      <c r="B147" s="122">
        <v>18</v>
      </c>
      <c r="C147" s="198">
        <f>[4]Cost!$E$37</f>
        <v>0</v>
      </c>
      <c r="D147" s="199">
        <v>3.0000000000000001E-3</v>
      </c>
      <c r="E147" s="199">
        <v>3.0000000000000001E-3</v>
      </c>
      <c r="F147" s="199">
        <v>3.0000000000000001E-3</v>
      </c>
      <c r="G147" s="199">
        <v>3.0000000000000001E-3</v>
      </c>
      <c r="H147" s="199">
        <v>3.0000000000000001E-3</v>
      </c>
      <c r="I147" s="199">
        <v>3.0000000000000001E-3</v>
      </c>
      <c r="J147" s="199">
        <v>3.0000000000000001E-3</v>
      </c>
      <c r="K147" s="199">
        <v>3.0000000000000001E-3</v>
      </c>
      <c r="L147" s="199">
        <v>3.0000000000000001E-3</v>
      </c>
      <c r="M147" s="199">
        <v>3.0000000000000001E-3</v>
      </c>
      <c r="N147" s="199">
        <v>3.0000000000000001E-3</v>
      </c>
      <c r="O147" s="199">
        <v>3.0000000000000001E-3</v>
      </c>
      <c r="P147" s="199">
        <v>3.0000000000000001E-3</v>
      </c>
      <c r="Q147" s="199">
        <v>3.0000000000000001E-3</v>
      </c>
      <c r="R147" s="199">
        <v>3.0000000000000001E-3</v>
      </c>
      <c r="S147" s="199">
        <v>3.0000000000000001E-3</v>
      </c>
      <c r="T147" s="199">
        <v>3.0000000000000001E-3</v>
      </c>
      <c r="U147" s="199">
        <f t="shared" si="18"/>
        <v>3.0000000000000001E-3</v>
      </c>
      <c r="V147" s="199">
        <v>3.0000000000000001E-3</v>
      </c>
    </row>
    <row r="148" spans="1:22">
      <c r="A148" s="202" t="s">
        <v>277</v>
      </c>
      <c r="B148" s="122">
        <v>19</v>
      </c>
      <c r="C148" s="198">
        <f>[4]Cost!$E$41</f>
        <v>0.5</v>
      </c>
      <c r="D148" s="199">
        <v>0.12</v>
      </c>
      <c r="E148" s="199">
        <v>0.05</v>
      </c>
      <c r="F148" s="199">
        <v>0.05</v>
      </c>
      <c r="G148" s="199">
        <v>0.19</v>
      </c>
      <c r="H148" s="199">
        <v>0.12</v>
      </c>
      <c r="I148" s="199">
        <v>0.19</v>
      </c>
      <c r="J148" s="199">
        <v>0.19</v>
      </c>
      <c r="K148" s="199">
        <v>0.05</v>
      </c>
      <c r="L148" s="199">
        <v>0.19</v>
      </c>
      <c r="M148" s="199">
        <v>0.05</v>
      </c>
      <c r="N148" s="199">
        <v>0.19</v>
      </c>
      <c r="O148" s="199">
        <v>0.19</v>
      </c>
      <c r="P148" s="199">
        <v>0.19</v>
      </c>
      <c r="Q148" s="199">
        <v>0.19</v>
      </c>
      <c r="R148" s="199">
        <v>0.19</v>
      </c>
      <c r="S148" s="199">
        <v>0.05</v>
      </c>
      <c r="T148" s="199">
        <v>0.19</v>
      </c>
      <c r="U148" s="199">
        <f t="shared" si="18"/>
        <v>0.12</v>
      </c>
      <c r="V148" s="199">
        <v>0.12</v>
      </c>
    </row>
    <row r="149" spans="1:22">
      <c r="A149" s="202" t="s">
        <v>278</v>
      </c>
      <c r="B149" s="122">
        <v>20</v>
      </c>
      <c r="C149" s="198">
        <f>[4]Cost!$E$40</f>
        <v>0</v>
      </c>
      <c r="D149" s="199">
        <v>3.0000000000000001E-3</v>
      </c>
      <c r="E149" s="199">
        <v>3.0000000000000001E-3</v>
      </c>
      <c r="F149" s="199">
        <v>3.0000000000000001E-3</v>
      </c>
      <c r="G149" s="199">
        <v>3.0000000000000001E-3</v>
      </c>
      <c r="H149" s="199">
        <v>3.0000000000000001E-3</v>
      </c>
      <c r="I149" s="199">
        <v>3.0000000000000001E-3</v>
      </c>
      <c r="J149" s="199">
        <v>3.0000000000000001E-3</v>
      </c>
      <c r="K149" s="199">
        <v>3.0000000000000001E-3</v>
      </c>
      <c r="L149" s="199">
        <v>3.0000000000000001E-3</v>
      </c>
      <c r="M149" s="199">
        <v>3.0000000000000001E-3</v>
      </c>
      <c r="N149" s="199">
        <v>3.0000000000000001E-3</v>
      </c>
      <c r="O149" s="199">
        <v>3.0000000000000001E-3</v>
      </c>
      <c r="P149" s="199">
        <v>3.0000000000000001E-3</v>
      </c>
      <c r="Q149" s="199">
        <v>3.0000000000000001E-3</v>
      </c>
      <c r="R149" s="199">
        <v>3.0000000000000001E-3</v>
      </c>
      <c r="S149" s="199">
        <v>3.0000000000000001E-3</v>
      </c>
      <c r="T149" s="199">
        <v>3.0000000000000001E-3</v>
      </c>
      <c r="U149" s="199">
        <f t="shared" si="18"/>
        <v>3.0000000000000001E-3</v>
      </c>
      <c r="V149" s="199">
        <v>3.0000000000000001E-3</v>
      </c>
    </row>
    <row r="150" spans="1:22">
      <c r="A150" s="200"/>
      <c r="B150" s="122"/>
      <c r="C150" s="198"/>
      <c r="D150" s="199">
        <f t="shared" ref="D150:V150" si="19">SUM(D141:D149)</f>
        <v>0.995</v>
      </c>
      <c r="E150" s="199">
        <f t="shared" si="19"/>
        <v>0.99500000000000011</v>
      </c>
      <c r="F150" s="199">
        <f t="shared" si="19"/>
        <v>0.99500000000000011</v>
      </c>
      <c r="G150" s="199">
        <f t="shared" si="19"/>
        <v>0.995</v>
      </c>
      <c r="H150" s="199">
        <f t="shared" si="19"/>
        <v>0.995</v>
      </c>
      <c r="I150" s="199">
        <f t="shared" si="19"/>
        <v>0.995</v>
      </c>
      <c r="J150" s="199">
        <f t="shared" si="19"/>
        <v>0.995</v>
      </c>
      <c r="K150" s="199">
        <f t="shared" si="19"/>
        <v>0.99500000000000011</v>
      </c>
      <c r="L150" s="199">
        <f t="shared" si="19"/>
        <v>0.995</v>
      </c>
      <c r="M150" s="199">
        <f t="shared" si="19"/>
        <v>0.99500000000000011</v>
      </c>
      <c r="N150" s="199">
        <f t="shared" si="19"/>
        <v>0.995</v>
      </c>
      <c r="O150" s="199">
        <f t="shared" si="19"/>
        <v>0.995</v>
      </c>
      <c r="P150" s="199">
        <f t="shared" si="19"/>
        <v>0.995</v>
      </c>
      <c r="Q150" s="199">
        <f t="shared" si="19"/>
        <v>0.995</v>
      </c>
      <c r="R150" s="199">
        <f t="shared" si="19"/>
        <v>0.995</v>
      </c>
      <c r="S150" s="199">
        <f t="shared" si="19"/>
        <v>0.99500000000000011</v>
      </c>
      <c r="T150" s="199">
        <f t="shared" si="19"/>
        <v>0.995</v>
      </c>
      <c r="U150" s="199">
        <f t="shared" si="19"/>
        <v>0.995</v>
      </c>
      <c r="V150" s="199">
        <f t="shared" si="19"/>
        <v>0.995</v>
      </c>
    </row>
    <row r="151" spans="1:22">
      <c r="A151" s="201" t="s">
        <v>361</v>
      </c>
      <c r="B151" s="122"/>
    </row>
    <row r="152" spans="1:22">
      <c r="A152" s="117" t="s">
        <v>362</v>
      </c>
      <c r="B152" s="203">
        <v>26</v>
      </c>
      <c r="C152" s="198">
        <v>30</v>
      </c>
      <c r="D152" s="199">
        <v>0.37</v>
      </c>
      <c r="E152" s="199">
        <v>0.79</v>
      </c>
      <c r="F152" s="199">
        <v>0.79</v>
      </c>
      <c r="G152" s="199">
        <v>5.0000000000000001E-3</v>
      </c>
      <c r="H152" s="199">
        <v>5.0000000000000001E-3</v>
      </c>
      <c r="I152" s="199">
        <v>5.0000000000000001E-3</v>
      </c>
      <c r="J152" s="199">
        <v>5.0000000000000001E-3</v>
      </c>
      <c r="K152" s="199">
        <v>0.79</v>
      </c>
      <c r="L152" s="199">
        <v>5.0000000000000001E-3</v>
      </c>
      <c r="M152" s="199">
        <v>0.39</v>
      </c>
      <c r="N152" s="199">
        <v>5.0000000000000001E-3</v>
      </c>
      <c r="O152" s="199">
        <v>5.0000000000000001E-3</v>
      </c>
      <c r="P152" s="199">
        <v>5.0000000000000001E-3</v>
      </c>
      <c r="Q152" s="199">
        <v>5.0000000000000001E-3</v>
      </c>
      <c r="R152" s="199">
        <v>5.0000000000000001E-3</v>
      </c>
      <c r="S152" s="199">
        <v>0.79</v>
      </c>
      <c r="T152" s="199">
        <v>5.0000000000000001E-3</v>
      </c>
      <c r="U152" s="199">
        <v>0.37</v>
      </c>
      <c r="V152" s="199">
        <v>0.37</v>
      </c>
    </row>
    <row r="153" spans="1:22">
      <c r="A153" s="117" t="s">
        <v>363</v>
      </c>
      <c r="B153" s="203">
        <v>27</v>
      </c>
      <c r="C153" s="198">
        <v>30</v>
      </c>
      <c r="D153" s="199">
        <v>5.0000000000000001E-3</v>
      </c>
      <c r="E153" s="199">
        <v>5.0000000000000001E-3</v>
      </c>
      <c r="F153" s="199">
        <v>5.0000000000000001E-3</v>
      </c>
      <c r="G153" s="199">
        <v>5.0000000000000001E-3</v>
      </c>
      <c r="H153" s="199">
        <v>5.0000000000000001E-3</v>
      </c>
      <c r="I153" s="199">
        <v>5.0000000000000001E-3</v>
      </c>
      <c r="J153" s="199">
        <v>5.0000000000000001E-3</v>
      </c>
      <c r="K153" s="199">
        <v>5.0000000000000001E-3</v>
      </c>
      <c r="L153" s="199">
        <v>5.0000000000000001E-3</v>
      </c>
      <c r="M153" s="199">
        <v>5.0000000000000001E-3</v>
      </c>
      <c r="N153" s="199">
        <v>5.0000000000000001E-3</v>
      </c>
      <c r="O153" s="199">
        <v>5.0000000000000001E-3</v>
      </c>
      <c r="P153" s="199">
        <v>5.0000000000000001E-3</v>
      </c>
      <c r="Q153" s="199">
        <v>5.0000000000000001E-3</v>
      </c>
      <c r="R153" s="199">
        <v>5.0000000000000001E-3</v>
      </c>
      <c r="S153" s="199">
        <v>5.0000000000000001E-3</v>
      </c>
      <c r="T153" s="199">
        <v>5.0000000000000001E-3</v>
      </c>
      <c r="U153" s="199">
        <v>5.0000000000000001E-3</v>
      </c>
      <c r="V153" s="199">
        <v>5.0000000000000001E-3</v>
      </c>
    </row>
    <row r="154" spans="1:22">
      <c r="A154" s="117" t="s">
        <v>364</v>
      </c>
      <c r="B154" s="203">
        <v>28</v>
      </c>
      <c r="D154" s="199">
        <v>5.0000000000000001E-3</v>
      </c>
      <c r="E154" s="199">
        <v>5.0000000000000001E-3</v>
      </c>
      <c r="F154" s="199">
        <v>5.0000000000000001E-3</v>
      </c>
      <c r="G154" s="199">
        <v>5.0000000000000001E-3</v>
      </c>
      <c r="H154" s="199">
        <v>5.0000000000000001E-3</v>
      </c>
      <c r="I154" s="199">
        <v>5.0000000000000001E-3</v>
      </c>
      <c r="J154" s="199">
        <v>5.0000000000000001E-3</v>
      </c>
      <c r="K154" s="199">
        <v>5.0000000000000001E-3</v>
      </c>
      <c r="L154" s="199">
        <v>5.0000000000000001E-3</v>
      </c>
      <c r="M154" s="199">
        <v>5.0000000000000001E-3</v>
      </c>
      <c r="N154" s="199">
        <v>5.0000000000000001E-3</v>
      </c>
      <c r="O154" s="199">
        <v>5.0000000000000001E-3</v>
      </c>
      <c r="P154" s="199">
        <v>5.0000000000000001E-3</v>
      </c>
      <c r="Q154" s="199">
        <v>5.0000000000000001E-3</v>
      </c>
      <c r="R154" s="199">
        <v>5.0000000000000001E-3</v>
      </c>
      <c r="S154" s="199">
        <v>5.0000000000000001E-3</v>
      </c>
      <c r="T154" s="199">
        <v>5.0000000000000001E-3</v>
      </c>
      <c r="U154" s="199">
        <v>5.0000000000000001E-3</v>
      </c>
      <c r="V154" s="199">
        <v>5.0000000000000001E-3</v>
      </c>
    </row>
    <row r="155" spans="1:22">
      <c r="A155" s="117" t="s">
        <v>286</v>
      </c>
      <c r="B155" s="203">
        <v>29</v>
      </c>
      <c r="C155" s="198">
        <f>[4]Cost!E35</f>
        <v>19</v>
      </c>
      <c r="D155" s="199">
        <v>0.25</v>
      </c>
      <c r="E155" s="199">
        <v>0.1</v>
      </c>
      <c r="F155" s="199">
        <v>0.1</v>
      </c>
      <c r="G155" s="199">
        <v>0.49</v>
      </c>
      <c r="H155" s="199">
        <v>0.49</v>
      </c>
      <c r="I155" s="199">
        <v>0.49</v>
      </c>
      <c r="J155" s="199">
        <v>0.49</v>
      </c>
      <c r="K155" s="199">
        <v>0.1</v>
      </c>
      <c r="L155" s="199">
        <v>0.49</v>
      </c>
      <c r="M155" s="199">
        <v>0.3</v>
      </c>
      <c r="N155" s="199">
        <v>0.49</v>
      </c>
      <c r="O155" s="199">
        <v>0.49</v>
      </c>
      <c r="P155" s="199">
        <v>0.49</v>
      </c>
      <c r="Q155" s="199">
        <v>0.49</v>
      </c>
      <c r="R155" s="199">
        <v>0.49</v>
      </c>
      <c r="S155" s="199">
        <v>0.1</v>
      </c>
      <c r="T155" s="199">
        <v>0.49</v>
      </c>
      <c r="U155" s="199">
        <v>0.25</v>
      </c>
      <c r="V155" s="199">
        <v>0.25</v>
      </c>
    </row>
    <row r="156" spans="1:22">
      <c r="A156" s="117" t="s">
        <v>284</v>
      </c>
      <c r="B156" s="203">
        <v>27</v>
      </c>
      <c r="C156" s="198">
        <f>[4]Cost!E32</f>
        <v>28</v>
      </c>
      <c r="D156" s="199">
        <v>0.37</v>
      </c>
      <c r="E156" s="199">
        <v>0.1</v>
      </c>
      <c r="F156" s="199">
        <v>0.1</v>
      </c>
      <c r="G156" s="199">
        <v>0.49</v>
      </c>
      <c r="H156" s="199">
        <v>0.49</v>
      </c>
      <c r="I156" s="199">
        <v>0.49</v>
      </c>
      <c r="J156" s="199">
        <v>0.49</v>
      </c>
      <c r="K156" s="199">
        <v>0.1</v>
      </c>
      <c r="L156" s="199">
        <v>0.49</v>
      </c>
      <c r="M156" s="199">
        <v>0.3</v>
      </c>
      <c r="N156" s="199">
        <v>0.49</v>
      </c>
      <c r="O156" s="199">
        <v>0.49</v>
      </c>
      <c r="P156" s="199">
        <v>0.49</v>
      </c>
      <c r="Q156" s="199">
        <v>0.49</v>
      </c>
      <c r="R156" s="199">
        <v>0.49</v>
      </c>
      <c r="S156" s="199">
        <v>0.1</v>
      </c>
      <c r="T156" s="199">
        <v>0.49</v>
      </c>
      <c r="U156" s="199">
        <v>0.37</v>
      </c>
      <c r="V156" s="199">
        <v>0.37</v>
      </c>
    </row>
    <row r="157" spans="1:22">
      <c r="D157" s="199">
        <f t="shared" ref="D157:V157" si="20">SUM(D152:D156)</f>
        <v>1</v>
      </c>
      <c r="E157" s="199">
        <f t="shared" si="20"/>
        <v>1</v>
      </c>
      <c r="F157" s="199">
        <f t="shared" si="20"/>
        <v>1</v>
      </c>
      <c r="G157" s="199">
        <f t="shared" si="20"/>
        <v>0.995</v>
      </c>
      <c r="H157" s="199">
        <f t="shared" si="20"/>
        <v>0.995</v>
      </c>
      <c r="I157" s="199">
        <f t="shared" si="20"/>
        <v>0.995</v>
      </c>
      <c r="J157" s="199">
        <f t="shared" si="20"/>
        <v>0.995</v>
      </c>
      <c r="K157" s="199">
        <f t="shared" si="20"/>
        <v>1</v>
      </c>
      <c r="L157" s="199">
        <f t="shared" si="20"/>
        <v>0.995</v>
      </c>
      <c r="M157" s="199">
        <f t="shared" si="20"/>
        <v>1</v>
      </c>
      <c r="N157" s="199">
        <f t="shared" si="20"/>
        <v>0.995</v>
      </c>
      <c r="O157" s="199">
        <f t="shared" si="20"/>
        <v>0.995</v>
      </c>
      <c r="P157" s="199">
        <f t="shared" si="20"/>
        <v>0.995</v>
      </c>
      <c r="Q157" s="199">
        <f t="shared" si="20"/>
        <v>0.995</v>
      </c>
      <c r="R157" s="199">
        <f t="shared" si="20"/>
        <v>0.995</v>
      </c>
      <c r="S157" s="199">
        <f t="shared" si="20"/>
        <v>1</v>
      </c>
      <c r="T157" s="199">
        <f t="shared" si="20"/>
        <v>0.995</v>
      </c>
      <c r="U157" s="199">
        <f t="shared" si="20"/>
        <v>1</v>
      </c>
      <c r="V157" s="199">
        <f t="shared" si="20"/>
        <v>1</v>
      </c>
    </row>
    <row r="163" spans="1:12">
      <c r="A163" s="483" t="s">
        <v>365</v>
      </c>
      <c r="B163" s="483"/>
      <c r="C163" s="483"/>
      <c r="D163" s="483"/>
      <c r="E163" s="483"/>
      <c r="F163" s="483"/>
      <c r="G163" s="483"/>
      <c r="H163" s="483"/>
      <c r="I163" s="483"/>
      <c r="J163" s="483"/>
      <c r="K163" s="483"/>
      <c r="L163" s="483"/>
    </row>
    <row r="164" spans="1:12">
      <c r="A164" s="483"/>
      <c r="B164" s="483"/>
      <c r="C164" s="483"/>
      <c r="D164" s="483"/>
      <c r="E164" s="483"/>
      <c r="F164" s="483"/>
      <c r="G164" s="483"/>
      <c r="H164" s="483"/>
      <c r="I164" s="483"/>
      <c r="J164" s="483"/>
      <c r="K164" s="483"/>
      <c r="L164" s="483"/>
    </row>
    <row r="165" spans="1:12">
      <c r="A165" s="483"/>
      <c r="B165" s="483"/>
      <c r="C165" s="483"/>
      <c r="D165" s="483"/>
      <c r="E165" s="483"/>
      <c r="F165" s="483"/>
      <c r="G165" s="483"/>
      <c r="H165" s="483"/>
      <c r="I165" s="483"/>
      <c r="J165" s="483"/>
      <c r="K165" s="483"/>
      <c r="L165" s="483"/>
    </row>
    <row r="166" spans="1:12">
      <c r="A166" s="483"/>
      <c r="B166" s="483"/>
      <c r="C166" s="483"/>
      <c r="D166" s="483"/>
      <c r="E166" s="483"/>
      <c r="F166" s="483"/>
      <c r="G166" s="483"/>
      <c r="H166" s="483"/>
      <c r="I166" s="483"/>
      <c r="J166" s="483"/>
      <c r="K166" s="483"/>
      <c r="L166" s="483"/>
    </row>
    <row r="167" spans="1:12">
      <c r="A167" s="204"/>
      <c r="B167" s="204"/>
      <c r="C167" s="204"/>
      <c r="D167" s="204"/>
      <c r="E167" s="204"/>
      <c r="F167" s="204"/>
      <c r="G167" s="204"/>
      <c r="H167" s="204"/>
      <c r="I167" s="204"/>
      <c r="J167" s="204"/>
      <c r="K167" s="204"/>
      <c r="L167" s="204"/>
    </row>
    <row r="168" spans="1:12">
      <c r="A168" s="204"/>
      <c r="B168" s="204"/>
      <c r="C168" s="204"/>
      <c r="D168" s="204"/>
      <c r="E168" s="204"/>
      <c r="F168" s="204"/>
      <c r="G168" s="204"/>
      <c r="H168" s="204"/>
      <c r="I168" s="204"/>
      <c r="J168" s="204"/>
      <c r="K168" s="204"/>
      <c r="L168" s="204"/>
    </row>
    <row r="169" spans="1:12">
      <c r="A169" s="204"/>
      <c r="B169" s="204"/>
      <c r="C169" s="204"/>
      <c r="D169" s="204"/>
      <c r="E169" s="204"/>
      <c r="F169" s="204"/>
      <c r="G169" s="204"/>
      <c r="H169" s="204"/>
      <c r="I169" s="204"/>
      <c r="J169" s="204"/>
      <c r="K169" s="204"/>
      <c r="L169" s="204"/>
    </row>
    <row r="173" spans="1:12" ht="38.25" customHeight="1">
      <c r="A173" s="484" t="s">
        <v>287</v>
      </c>
      <c r="B173" s="484"/>
      <c r="C173" s="484"/>
      <c r="D173" s="484"/>
      <c r="E173" s="484"/>
      <c r="F173" s="484"/>
      <c r="G173" s="484"/>
      <c r="H173" s="484"/>
      <c r="I173" s="484"/>
      <c r="J173" s="484"/>
      <c r="K173" s="484"/>
      <c r="L173" s="484"/>
    </row>
    <row r="174" spans="1:12">
      <c r="A174" s="117" t="s">
        <v>289</v>
      </c>
    </row>
    <row r="175" spans="1:12">
      <c r="A175" s="117" t="s">
        <v>290</v>
      </c>
    </row>
    <row r="176" spans="1:12">
      <c r="A176" s="117" t="s">
        <v>292</v>
      </c>
    </row>
    <row r="177" spans="1:1">
      <c r="A177" s="117" t="s">
        <v>293</v>
      </c>
    </row>
    <row r="178" spans="1:1">
      <c r="A178" s="117" t="s">
        <v>295</v>
      </c>
    </row>
    <row r="179" spans="1:1">
      <c r="A179" s="117" t="s">
        <v>290</v>
      </c>
    </row>
    <row r="180" spans="1:1">
      <c r="A180" s="117" t="s">
        <v>298</v>
      </c>
    </row>
    <row r="181" spans="1:1">
      <c r="A181" s="117" t="s">
        <v>300</v>
      </c>
    </row>
    <row r="182" spans="1:1">
      <c r="A182" s="117" t="s">
        <v>302</v>
      </c>
    </row>
    <row r="183" spans="1:1">
      <c r="A183" s="117" t="s">
        <v>290</v>
      </c>
    </row>
    <row r="184" spans="1:1">
      <c r="A184" s="117" t="s">
        <v>298</v>
      </c>
    </row>
    <row r="185" spans="1:1">
      <c r="A185" s="117" t="s">
        <v>306</v>
      </c>
    </row>
    <row r="186" spans="1:1">
      <c r="A186" s="117" t="s">
        <v>308</v>
      </c>
    </row>
    <row r="187" spans="1:1">
      <c r="A187" s="117" t="s">
        <v>290</v>
      </c>
    </row>
    <row r="188" spans="1:1">
      <c r="A188" s="117" t="s">
        <v>298</v>
      </c>
    </row>
    <row r="189" spans="1:1">
      <c r="A189" s="117" t="s">
        <v>312</v>
      </c>
    </row>
    <row r="192" spans="1:1">
      <c r="A192" s="117" t="s">
        <v>316</v>
      </c>
    </row>
    <row r="193" spans="1:1">
      <c r="A193" s="117" t="s">
        <v>290</v>
      </c>
    </row>
    <row r="194" spans="1:1">
      <c r="A194" s="117" t="s">
        <v>318</v>
      </c>
    </row>
    <row r="195" spans="1:1">
      <c r="A195" s="117" t="s">
        <v>319</v>
      </c>
    </row>
    <row r="196" spans="1:1">
      <c r="A196" s="117" t="s">
        <v>320</v>
      </c>
    </row>
    <row r="197" spans="1:1">
      <c r="A197" s="117" t="s">
        <v>290</v>
      </c>
    </row>
    <row r="198" spans="1:1">
      <c r="A198" s="117" t="s">
        <v>318</v>
      </c>
    </row>
    <row r="199" spans="1:1">
      <c r="A199" s="117" t="s">
        <v>300</v>
      </c>
    </row>
    <row r="200" spans="1:1">
      <c r="A200" s="117" t="s">
        <v>328</v>
      </c>
    </row>
    <row r="201" spans="1:1">
      <c r="A201" s="117" t="s">
        <v>290</v>
      </c>
    </row>
    <row r="202" spans="1:1">
      <c r="A202" s="117" t="s">
        <v>318</v>
      </c>
    </row>
    <row r="203" spans="1:1">
      <c r="A203" s="117" t="s">
        <v>306</v>
      </c>
    </row>
    <row r="204" spans="1:1">
      <c r="A204" s="117" t="s">
        <v>329</v>
      </c>
    </row>
    <row r="205" spans="1:1">
      <c r="A205" s="117" t="s">
        <v>290</v>
      </c>
    </row>
    <row r="206" spans="1:1">
      <c r="A206" s="117" t="s">
        <v>318</v>
      </c>
    </row>
    <row r="207" spans="1:1">
      <c r="A207" s="117" t="s">
        <v>312</v>
      </c>
    </row>
    <row r="209" spans="1:1">
      <c r="A209" s="117" t="s">
        <v>330</v>
      </c>
    </row>
    <row r="210" spans="1:1">
      <c r="A210" s="117" t="s">
        <v>331</v>
      </c>
    </row>
  </sheetData>
  <mergeCells count="28">
    <mergeCell ref="E128:U128"/>
    <mergeCell ref="A163:L166"/>
    <mergeCell ref="A173:L173"/>
    <mergeCell ref="M120:N120"/>
    <mergeCell ref="O120:P120"/>
    <mergeCell ref="T120:U120"/>
    <mergeCell ref="A118:I126"/>
    <mergeCell ref="V120:W120"/>
    <mergeCell ref="AA120:AB120"/>
    <mergeCell ref="AC120:AD120"/>
    <mergeCell ref="K117:P117"/>
    <mergeCell ref="R117:W117"/>
    <mergeCell ref="Y117:AD117"/>
    <mergeCell ref="M118:N118"/>
    <mergeCell ref="O118:P118"/>
    <mergeCell ref="T118:U118"/>
    <mergeCell ref="V118:W118"/>
    <mergeCell ref="AA118:AB118"/>
    <mergeCell ref="AC118:AD118"/>
    <mergeCell ref="B9:J9"/>
    <mergeCell ref="L9:T9"/>
    <mergeCell ref="V9:AC9"/>
    <mergeCell ref="B10:E10"/>
    <mergeCell ref="F10:J10"/>
    <mergeCell ref="L10:O10"/>
    <mergeCell ref="P10:T10"/>
    <mergeCell ref="V10:Y10"/>
    <mergeCell ref="Z10:AC10"/>
  </mergeCells>
  <hyperlinks>
    <hyperlink ref="B3" r:id="rId1" display="C:\Documents and Settings\grist\Plan 5\Commercial\Data Sources\ECOTOPE\Commercial_Env522.xls"/>
  </hyperlinks>
  <pageMargins left="0.7" right="0.7" top="0.75" bottom="0.75" header="0.3" footer="0.3"/>
  <legacyDrawing r:id="rId2"/>
</worksheet>
</file>

<file path=xl/worksheets/sheet17.xml><?xml version="1.0" encoding="utf-8"?>
<worksheet xmlns="http://schemas.openxmlformats.org/spreadsheetml/2006/main" xmlns:r="http://schemas.openxmlformats.org/officeDocument/2006/relationships">
  <sheetPr codeName="Sheet11"/>
  <dimension ref="B2:I27"/>
  <sheetViews>
    <sheetView workbookViewId="0">
      <selection activeCell="C23" sqref="C23"/>
    </sheetView>
  </sheetViews>
  <sheetFormatPr defaultRowHeight="12.75"/>
  <cols>
    <col min="3" max="3" width="57.140625" customWidth="1"/>
    <col min="4" max="4" width="16.140625" customWidth="1"/>
    <col min="6" max="6" width="64.140625" customWidth="1"/>
    <col min="7" max="7" width="5.42578125" customWidth="1"/>
    <col min="8" max="8" width="3.7109375" customWidth="1"/>
    <col min="9" max="9" width="9.140625" hidden="1" customWidth="1"/>
  </cols>
  <sheetData>
    <row r="2" spans="2:6">
      <c r="B2" s="48" t="s">
        <v>1</v>
      </c>
      <c r="C2" s="48" t="s">
        <v>46</v>
      </c>
      <c r="D2" s="48" t="s">
        <v>47</v>
      </c>
      <c r="E2" s="48" t="s">
        <v>48</v>
      </c>
      <c r="F2" s="48" t="s">
        <v>49</v>
      </c>
    </row>
    <row r="3" spans="2:6" s="50" customFormat="1" ht="14.25" customHeight="1">
      <c r="B3" s="53">
        <f>ROW()-2</f>
        <v>1</v>
      </c>
      <c r="C3" t="s">
        <v>50</v>
      </c>
      <c r="D3" s="222">
        <v>41991</v>
      </c>
      <c r="E3" s="51"/>
      <c r="F3" s="49" t="s">
        <v>366</v>
      </c>
    </row>
    <row r="4" spans="2:6">
      <c r="B4" s="53">
        <f t="shared" ref="B4:B27" si="0">ROW()-2</f>
        <v>2</v>
      </c>
      <c r="C4" t="s">
        <v>51</v>
      </c>
      <c r="D4" s="222">
        <v>42062</v>
      </c>
      <c r="E4" s="51"/>
      <c r="F4" t="s">
        <v>367</v>
      </c>
    </row>
    <row r="5" spans="2:6">
      <c r="B5" s="53">
        <f t="shared" si="0"/>
        <v>3</v>
      </c>
      <c r="C5" t="s">
        <v>60</v>
      </c>
      <c r="D5" s="222">
        <v>42062</v>
      </c>
      <c r="E5" s="51"/>
    </row>
    <row r="6" spans="2:6">
      <c r="B6" s="53">
        <f t="shared" si="0"/>
        <v>4</v>
      </c>
      <c r="C6" t="s">
        <v>59</v>
      </c>
      <c r="D6" s="222">
        <v>42062</v>
      </c>
      <c r="E6" s="51"/>
    </row>
    <row r="7" spans="2:6">
      <c r="B7" s="53">
        <f t="shared" si="0"/>
        <v>5</v>
      </c>
      <c r="C7" t="s">
        <v>62</v>
      </c>
      <c r="D7" s="222">
        <v>42062</v>
      </c>
      <c r="E7" s="51"/>
    </row>
    <row r="8" spans="2:6">
      <c r="B8" s="53">
        <f t="shared" si="0"/>
        <v>6</v>
      </c>
      <c r="C8" t="s">
        <v>56</v>
      </c>
      <c r="D8" s="222">
        <v>42062</v>
      </c>
      <c r="E8" s="51"/>
      <c r="F8" t="s">
        <v>434</v>
      </c>
    </row>
    <row r="9" spans="2:6">
      <c r="B9" s="53">
        <f t="shared" si="0"/>
        <v>7</v>
      </c>
      <c r="C9" t="s">
        <v>61</v>
      </c>
      <c r="D9" s="222">
        <v>42062</v>
      </c>
      <c r="E9" s="51"/>
    </row>
    <row r="10" spans="2:6">
      <c r="B10" s="53">
        <f t="shared" si="0"/>
        <v>8</v>
      </c>
      <c r="C10" t="s">
        <v>53</v>
      </c>
      <c r="D10" s="222">
        <v>42062</v>
      </c>
      <c r="E10" s="51"/>
    </row>
    <row r="11" spans="2:6">
      <c r="B11" s="53">
        <f t="shared" si="0"/>
        <v>9</v>
      </c>
      <c r="C11" t="s">
        <v>54</v>
      </c>
      <c r="D11" s="222">
        <v>42062</v>
      </c>
      <c r="E11" s="51"/>
    </row>
    <row r="12" spans="2:6">
      <c r="B12" s="53">
        <f t="shared" si="0"/>
        <v>10</v>
      </c>
      <c r="C12" t="s">
        <v>63</v>
      </c>
      <c r="D12" s="222">
        <v>42062</v>
      </c>
      <c r="E12" s="51"/>
    </row>
    <row r="13" spans="2:6">
      <c r="B13" s="53">
        <f t="shared" si="0"/>
        <v>11</v>
      </c>
      <c r="C13" t="s">
        <v>57</v>
      </c>
      <c r="D13" s="222">
        <v>42062</v>
      </c>
      <c r="E13" s="51"/>
    </row>
    <row r="14" spans="2:6">
      <c r="B14" s="53">
        <f t="shared" si="0"/>
        <v>12</v>
      </c>
      <c r="C14" t="s">
        <v>55</v>
      </c>
      <c r="D14" s="222">
        <v>42062</v>
      </c>
      <c r="E14" s="51"/>
    </row>
    <row r="15" spans="2:6">
      <c r="B15" s="53">
        <f t="shared" si="0"/>
        <v>13</v>
      </c>
      <c r="C15" t="s">
        <v>58</v>
      </c>
      <c r="D15" s="222">
        <v>42062</v>
      </c>
      <c r="E15" s="51"/>
    </row>
    <row r="16" spans="2:6">
      <c r="B16" s="53">
        <f t="shared" si="0"/>
        <v>14</v>
      </c>
      <c r="C16" t="s">
        <v>52</v>
      </c>
      <c r="D16" s="222">
        <v>42062</v>
      </c>
      <c r="E16" s="51"/>
    </row>
    <row r="17" spans="2:4">
      <c r="B17" s="53">
        <f>ROW()-2</f>
        <v>15</v>
      </c>
      <c r="D17" s="52"/>
    </row>
    <row r="18" spans="2:4">
      <c r="B18" s="53">
        <f t="shared" si="0"/>
        <v>16</v>
      </c>
      <c r="D18" s="52"/>
    </row>
    <row r="19" spans="2:4">
      <c r="B19" s="53">
        <f t="shared" si="0"/>
        <v>17</v>
      </c>
      <c r="D19" s="52"/>
    </row>
    <row r="20" spans="2:4">
      <c r="B20" s="53">
        <f t="shared" si="0"/>
        <v>18</v>
      </c>
      <c r="D20" s="52"/>
    </row>
    <row r="21" spans="2:4">
      <c r="B21" s="53">
        <f t="shared" si="0"/>
        <v>19</v>
      </c>
      <c r="D21" s="52"/>
    </row>
    <row r="22" spans="2:4">
      <c r="B22" s="53">
        <f t="shared" si="0"/>
        <v>20</v>
      </c>
      <c r="D22" s="52"/>
    </row>
    <row r="23" spans="2:4">
      <c r="B23" s="53">
        <f t="shared" si="0"/>
        <v>21</v>
      </c>
      <c r="D23" s="52"/>
    </row>
    <row r="24" spans="2:4">
      <c r="B24" s="53">
        <f t="shared" si="0"/>
        <v>22</v>
      </c>
      <c r="D24" s="52"/>
    </row>
    <row r="25" spans="2:4">
      <c r="B25" s="53">
        <f t="shared" si="0"/>
        <v>23</v>
      </c>
      <c r="D25" s="52"/>
    </row>
    <row r="26" spans="2:4">
      <c r="B26" s="53">
        <f t="shared" si="0"/>
        <v>24</v>
      </c>
      <c r="D26" s="52"/>
    </row>
    <row r="27" spans="2:4">
      <c r="B27" s="53">
        <f t="shared" si="0"/>
        <v>25</v>
      </c>
      <c r="D27" s="5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5"/>
  <dimension ref="C1:F14"/>
  <sheetViews>
    <sheetView tabSelected="1" zoomScaleNormal="100" zoomScaleSheetLayoutView="90" workbookViewId="0">
      <selection activeCell="D31" sqref="D31"/>
    </sheetView>
  </sheetViews>
  <sheetFormatPr defaultRowHeight="15"/>
  <cols>
    <col min="1" max="1" width="4" style="1" customWidth="1"/>
    <col min="2" max="2" width="4.28515625" style="1" customWidth="1"/>
    <col min="3" max="3" width="28.140625" style="1" customWidth="1"/>
    <col min="4" max="4" width="73.42578125" style="1" customWidth="1"/>
    <col min="5" max="5" width="25.85546875" style="1" customWidth="1"/>
    <col min="6" max="6" width="61.42578125" style="1" customWidth="1"/>
    <col min="7" max="16384" width="9.140625" style="1"/>
  </cols>
  <sheetData>
    <row r="1" spans="3:6" ht="15.75" thickBot="1"/>
    <row r="2" spans="3:6" ht="19.5" thickBot="1">
      <c r="C2" s="2" t="s">
        <v>0</v>
      </c>
      <c r="D2" s="47" t="s">
        <v>495</v>
      </c>
      <c r="E2" s="3"/>
      <c r="F2" s="4"/>
    </row>
    <row r="3" spans="3:6">
      <c r="C3" s="5" t="s">
        <v>1</v>
      </c>
      <c r="D3" s="5" t="s">
        <v>2</v>
      </c>
      <c r="E3" s="5" t="s">
        <v>3</v>
      </c>
      <c r="F3" s="5" t="s">
        <v>4</v>
      </c>
    </row>
    <row r="4" spans="3:6" ht="30">
      <c r="C4" s="6" t="s">
        <v>5</v>
      </c>
      <c r="D4" s="229" t="s">
        <v>381</v>
      </c>
      <c r="E4" s="8"/>
      <c r="F4" s="9" t="s">
        <v>380</v>
      </c>
    </row>
    <row r="5" spans="3:6" ht="30">
      <c r="C5" s="6" t="s">
        <v>6</v>
      </c>
      <c r="D5" s="224" t="s">
        <v>382</v>
      </c>
      <c r="E5" s="225" t="s">
        <v>756</v>
      </c>
      <c r="F5" s="9"/>
    </row>
    <row r="6" spans="3:6">
      <c r="C6" s="6" t="s">
        <v>44</v>
      </c>
      <c r="D6" s="224" t="s">
        <v>383</v>
      </c>
      <c r="E6" s="225"/>
      <c r="F6" s="9"/>
    </row>
    <row r="7" spans="3:6" ht="30">
      <c r="C7" s="6" t="s">
        <v>7</v>
      </c>
      <c r="D7" s="7" t="s">
        <v>379</v>
      </c>
      <c r="E7" s="224"/>
      <c r="F7" s="9"/>
    </row>
    <row r="8" spans="3:6">
      <c r="C8" s="6" t="s">
        <v>8</v>
      </c>
      <c r="D8" s="224" t="s">
        <v>384</v>
      </c>
      <c r="E8" s="224"/>
      <c r="F8" s="9"/>
    </row>
    <row r="9" spans="3:6">
      <c r="C9" s="6" t="s">
        <v>45</v>
      </c>
      <c r="D9" s="224" t="s">
        <v>384</v>
      </c>
      <c r="E9" s="226"/>
      <c r="F9" s="9"/>
    </row>
    <row r="10" spans="3:6">
      <c r="C10" s="6" t="s">
        <v>9</v>
      </c>
      <c r="D10" s="224" t="s">
        <v>385</v>
      </c>
      <c r="E10" s="226"/>
      <c r="F10" s="9"/>
    </row>
    <row r="11" spans="3:6" ht="30">
      <c r="C11" s="6" t="s">
        <v>10</v>
      </c>
      <c r="D11" s="224" t="s">
        <v>386</v>
      </c>
      <c r="E11" s="224"/>
      <c r="F11" s="9"/>
    </row>
    <row r="12" spans="3:6">
      <c r="C12" s="6" t="s">
        <v>11</v>
      </c>
      <c r="D12" s="227" t="s">
        <v>387</v>
      </c>
      <c r="E12" s="226"/>
      <c r="F12" s="9"/>
    </row>
    <row r="13" spans="3:6">
      <c r="C13" s="6" t="s">
        <v>12</v>
      </c>
      <c r="D13" s="227" t="s">
        <v>388</v>
      </c>
      <c r="E13" s="228"/>
      <c r="F13" s="9"/>
    </row>
    <row r="14" spans="3:6">
      <c r="C14" s="6" t="s">
        <v>13</v>
      </c>
      <c r="D14" s="227" t="s">
        <v>389</v>
      </c>
      <c r="E14" s="226"/>
      <c r="F14" s="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codeName="Sheet3"/>
  <dimension ref="A1:Z248"/>
  <sheetViews>
    <sheetView topLeftCell="A133" workbookViewId="0">
      <selection activeCell="C8" sqref="C8"/>
    </sheetView>
  </sheetViews>
  <sheetFormatPr defaultRowHeight="12.75"/>
  <cols>
    <col min="1" max="1" width="27.5703125" customWidth="1"/>
    <col min="2" max="2" width="23.7109375" customWidth="1"/>
    <col min="3" max="3" width="20.5703125" customWidth="1"/>
    <col min="4" max="4" width="31.42578125" customWidth="1"/>
    <col min="5" max="5" width="11" customWidth="1"/>
    <col min="6" max="24" width="12.7109375" bestFit="1" customWidth="1"/>
    <col min="25" max="25" width="11.140625" customWidth="1"/>
  </cols>
  <sheetData>
    <row r="1" spans="1:26">
      <c r="A1" s="55" t="s">
        <v>64</v>
      </c>
      <c r="B1" s="442" t="s">
        <v>739</v>
      </c>
      <c r="C1" s="443"/>
      <c r="D1" s="443"/>
      <c r="E1" s="443"/>
      <c r="F1" s="443"/>
      <c r="G1" s="443"/>
      <c r="H1" s="443"/>
      <c r="I1" s="443"/>
      <c r="J1" s="443"/>
      <c r="K1" s="443"/>
      <c r="L1" s="443"/>
      <c r="M1" s="443"/>
      <c r="N1" s="443"/>
      <c r="O1" s="443"/>
      <c r="P1" s="443"/>
      <c r="Q1" s="443"/>
      <c r="R1" s="443"/>
      <c r="S1" s="444"/>
      <c r="T1" s="56"/>
      <c r="U1" s="56"/>
      <c r="V1" s="56"/>
      <c r="W1" s="56"/>
      <c r="X1" s="19"/>
    </row>
    <row r="2" spans="1:26">
      <c r="A2" s="57"/>
      <c r="B2" s="445"/>
      <c r="C2" s="446"/>
      <c r="D2" s="446"/>
      <c r="E2" s="446"/>
      <c r="F2" s="446"/>
      <c r="G2" s="446"/>
      <c r="H2" s="446"/>
      <c r="I2" s="446"/>
      <c r="J2" s="446"/>
      <c r="K2" s="446"/>
      <c r="L2" s="446"/>
      <c r="M2" s="446"/>
      <c r="N2" s="446"/>
      <c r="O2" s="446"/>
      <c r="P2" s="446"/>
      <c r="Q2" s="446"/>
      <c r="R2" s="446"/>
      <c r="S2" s="447"/>
      <c r="T2" s="58"/>
      <c r="U2" s="58"/>
      <c r="V2" s="58"/>
      <c r="W2" s="58"/>
      <c r="X2" s="19"/>
    </row>
    <row r="3" spans="1:26">
      <c r="A3" s="57"/>
      <c r="B3" s="445"/>
      <c r="C3" s="446"/>
      <c r="D3" s="446"/>
      <c r="E3" s="446"/>
      <c r="F3" s="446"/>
      <c r="G3" s="446"/>
      <c r="H3" s="446"/>
      <c r="I3" s="446"/>
      <c r="J3" s="446"/>
      <c r="K3" s="446"/>
      <c r="L3" s="446"/>
      <c r="M3" s="446"/>
      <c r="N3" s="446"/>
      <c r="O3" s="446"/>
      <c r="P3" s="446"/>
      <c r="Q3" s="446"/>
      <c r="R3" s="446"/>
      <c r="S3" s="447"/>
      <c r="T3" s="58"/>
      <c r="U3" s="58"/>
      <c r="V3" s="58"/>
      <c r="W3" s="58"/>
      <c r="X3" s="19"/>
    </row>
    <row r="4" spans="1:26">
      <c r="A4" s="57"/>
      <c r="B4" s="445"/>
      <c r="C4" s="446"/>
      <c r="D4" s="446"/>
      <c r="E4" s="446"/>
      <c r="F4" s="446"/>
      <c r="G4" s="446"/>
      <c r="H4" s="446"/>
      <c r="I4" s="446"/>
      <c r="J4" s="446"/>
      <c r="K4" s="446"/>
      <c r="L4" s="446"/>
      <c r="M4" s="446"/>
      <c r="N4" s="446"/>
      <c r="O4" s="446"/>
      <c r="P4" s="446"/>
      <c r="Q4" s="446"/>
      <c r="R4" s="446"/>
      <c r="S4" s="447"/>
      <c r="T4" s="58"/>
      <c r="U4" s="58"/>
      <c r="V4" s="58"/>
      <c r="W4" s="58"/>
      <c r="X4" s="19"/>
    </row>
    <row r="5" spans="1:26">
      <c r="A5" s="59" t="s">
        <v>65</v>
      </c>
      <c r="B5" s="445"/>
      <c r="C5" s="446"/>
      <c r="D5" s="448"/>
      <c r="E5" s="448"/>
      <c r="F5" s="448"/>
      <c r="G5" s="448"/>
      <c r="H5" s="448"/>
      <c r="I5" s="448"/>
      <c r="J5" s="448"/>
      <c r="K5" s="448"/>
      <c r="L5" s="448"/>
      <c r="M5" s="448"/>
      <c r="N5" s="448"/>
      <c r="O5" s="448"/>
      <c r="P5" s="448"/>
      <c r="Q5" s="448"/>
      <c r="R5" s="448"/>
      <c r="S5" s="449"/>
      <c r="T5" s="58"/>
      <c r="U5" s="58"/>
      <c r="V5" s="58"/>
      <c r="W5" s="58"/>
      <c r="X5" s="19"/>
    </row>
    <row r="6" spans="1:26">
      <c r="A6" s="60" t="s">
        <v>66</v>
      </c>
      <c r="B6" s="61"/>
      <c r="C6" s="61"/>
      <c r="D6" s="62"/>
      <c r="E6" s="63"/>
      <c r="F6" s="63"/>
      <c r="G6" s="63"/>
      <c r="H6" s="63"/>
      <c r="I6" s="63"/>
      <c r="J6" s="63"/>
      <c r="K6" s="63"/>
      <c r="L6" s="63"/>
      <c r="M6" s="63"/>
      <c r="N6" s="63"/>
      <c r="O6" s="63"/>
      <c r="P6" s="63"/>
      <c r="Q6" s="63"/>
      <c r="R6" s="63"/>
      <c r="S6" s="64"/>
      <c r="T6" s="58"/>
      <c r="U6" s="58"/>
      <c r="V6" s="58"/>
      <c r="W6" s="58"/>
      <c r="X6" s="19"/>
    </row>
    <row r="7" spans="1:26">
      <c r="A7" s="399"/>
      <c r="B7" s="65" t="s">
        <v>67</v>
      </c>
      <c r="C7" s="66" t="s">
        <v>178</v>
      </c>
      <c r="D7" s="66" t="s">
        <v>179</v>
      </c>
      <c r="E7" s="19"/>
      <c r="F7" s="19"/>
      <c r="G7" s="19"/>
      <c r="H7" s="19"/>
      <c r="I7" s="19"/>
      <c r="J7" s="19"/>
      <c r="K7" s="19"/>
      <c r="L7" s="19"/>
      <c r="M7" s="19"/>
      <c r="N7" s="19"/>
      <c r="O7" s="19"/>
      <c r="P7" s="19"/>
      <c r="Q7" s="19"/>
      <c r="R7" s="19"/>
      <c r="S7" s="19"/>
      <c r="T7" s="19"/>
      <c r="U7" s="19"/>
      <c r="V7" s="19"/>
      <c r="W7" s="19"/>
      <c r="X7" s="19"/>
    </row>
    <row r="8" spans="1:26">
      <c r="A8" s="400" t="s">
        <v>717</v>
      </c>
      <c r="B8" s="65" t="s">
        <v>68</v>
      </c>
      <c r="C8" s="66" t="str">
        <f>[1]MLIST!$D$57</f>
        <v>Secondary Glazing Systems-Retro</v>
      </c>
      <c r="D8" s="66" t="s">
        <v>69</v>
      </c>
      <c r="E8" s="67"/>
      <c r="F8" s="401" t="s">
        <v>718</v>
      </c>
      <c r="G8" s="19"/>
      <c r="H8" s="19"/>
      <c r="I8" s="19"/>
      <c r="J8" s="19"/>
      <c r="K8" s="19"/>
      <c r="L8" s="19"/>
      <c r="M8" s="19"/>
      <c r="N8" s="19"/>
      <c r="O8" s="19"/>
      <c r="P8" s="19"/>
      <c r="Q8" s="19"/>
      <c r="R8" s="19"/>
      <c r="S8" s="19"/>
      <c r="T8" s="19"/>
      <c r="U8" s="19"/>
      <c r="V8" s="19"/>
      <c r="W8" s="19"/>
      <c r="X8" s="19"/>
    </row>
    <row r="9" spans="1:26">
      <c r="A9" s="400" t="s">
        <v>719</v>
      </c>
      <c r="B9" s="68" t="s">
        <v>70</v>
      </c>
      <c r="C9" s="66">
        <f>[1]FILES!$H$4</f>
        <v>2035</v>
      </c>
      <c r="D9" s="66"/>
      <c r="E9" s="69"/>
      <c r="F9" s="19"/>
      <c r="G9" s="19"/>
      <c r="H9" s="19"/>
      <c r="I9" s="19"/>
      <c r="J9" s="19"/>
      <c r="K9" s="19"/>
      <c r="L9" s="19"/>
      <c r="M9" s="19"/>
      <c r="N9" s="19"/>
      <c r="O9" s="19"/>
      <c r="P9" s="19"/>
      <c r="Q9" s="19"/>
      <c r="R9" s="19"/>
      <c r="S9" s="19"/>
      <c r="T9" s="19"/>
      <c r="U9" s="19"/>
      <c r="V9" s="19"/>
      <c r="W9" s="19"/>
      <c r="X9" s="19"/>
    </row>
    <row r="10" spans="1:26">
      <c r="A10" s="402"/>
      <c r="B10" s="65" t="s">
        <v>193</v>
      </c>
      <c r="C10" s="403">
        <f>$Y$248</f>
        <v>40.390797895321441</v>
      </c>
      <c r="D10" s="19"/>
      <c r="E10" s="19">
        <v>1</v>
      </c>
      <c r="F10" s="19">
        <f>E10+1</f>
        <v>2</v>
      </c>
      <c r="G10" s="19">
        <f t="shared" ref="G10:V11" si="0">F10+1</f>
        <v>3</v>
      </c>
      <c r="H10" s="19">
        <f t="shared" si="0"/>
        <v>4</v>
      </c>
      <c r="I10" s="19">
        <f t="shared" si="0"/>
        <v>5</v>
      </c>
      <c r="J10" s="19">
        <f t="shared" si="0"/>
        <v>6</v>
      </c>
      <c r="K10" s="19">
        <f t="shared" si="0"/>
        <v>7</v>
      </c>
      <c r="L10" s="19">
        <f t="shared" si="0"/>
        <v>8</v>
      </c>
      <c r="M10" s="19">
        <f t="shared" si="0"/>
        <v>9</v>
      </c>
      <c r="N10" s="19">
        <f t="shared" si="0"/>
        <v>10</v>
      </c>
      <c r="O10" s="19">
        <f t="shared" si="0"/>
        <v>11</v>
      </c>
      <c r="P10" s="19">
        <f t="shared" si="0"/>
        <v>12</v>
      </c>
      <c r="Q10" s="19">
        <f t="shared" si="0"/>
        <v>13</v>
      </c>
      <c r="R10" s="19">
        <f t="shared" si="0"/>
        <v>14</v>
      </c>
      <c r="S10" s="19">
        <f t="shared" si="0"/>
        <v>15</v>
      </c>
      <c r="T10" s="19">
        <f t="shared" si="0"/>
        <v>16</v>
      </c>
      <c r="U10" s="19">
        <f t="shared" si="0"/>
        <v>17</v>
      </c>
      <c r="V10" s="19">
        <f t="shared" si="0"/>
        <v>18</v>
      </c>
      <c r="W10" s="19">
        <f>V10+1</f>
        <v>19</v>
      </c>
      <c r="X10" s="19">
        <f>W10+1</f>
        <v>20</v>
      </c>
    </row>
    <row r="11" spans="1:26">
      <c r="A11" s="65"/>
      <c r="B11" s="65"/>
      <c r="C11" s="65"/>
      <c r="D11" s="65"/>
      <c r="E11" s="65">
        <f>C9-20+1</f>
        <v>2016</v>
      </c>
      <c r="F11" s="65">
        <f>E11+1</f>
        <v>2017</v>
      </c>
      <c r="G11" s="65">
        <f t="shared" si="0"/>
        <v>2018</v>
      </c>
      <c r="H11" s="65">
        <f t="shared" si="0"/>
        <v>2019</v>
      </c>
      <c r="I11" s="65">
        <f t="shared" si="0"/>
        <v>2020</v>
      </c>
      <c r="J11" s="65">
        <f t="shared" si="0"/>
        <v>2021</v>
      </c>
      <c r="K11" s="65">
        <f t="shared" si="0"/>
        <v>2022</v>
      </c>
      <c r="L11" s="65">
        <f t="shared" si="0"/>
        <v>2023</v>
      </c>
      <c r="M11" s="65">
        <f t="shared" si="0"/>
        <v>2024</v>
      </c>
      <c r="N11" s="65">
        <f t="shared" si="0"/>
        <v>2025</v>
      </c>
      <c r="O11" s="65">
        <f t="shared" si="0"/>
        <v>2026</v>
      </c>
      <c r="P11" s="65">
        <f t="shared" si="0"/>
        <v>2027</v>
      </c>
      <c r="Q11" s="65">
        <f t="shared" si="0"/>
        <v>2028</v>
      </c>
      <c r="R11" s="65">
        <f t="shared" si="0"/>
        <v>2029</v>
      </c>
      <c r="S11" s="65">
        <f t="shared" si="0"/>
        <v>2030</v>
      </c>
      <c r="T11" s="65">
        <f t="shared" si="0"/>
        <v>2031</v>
      </c>
      <c r="U11" s="65">
        <f t="shared" si="0"/>
        <v>2032</v>
      </c>
      <c r="V11" s="65">
        <f t="shared" si="0"/>
        <v>2033</v>
      </c>
      <c r="W11" s="65">
        <f>V11+1</f>
        <v>2034</v>
      </c>
      <c r="X11" s="65">
        <f>W11+1</f>
        <v>2035</v>
      </c>
      <c r="Y11" s="404" t="s">
        <v>71</v>
      </c>
      <c r="Z11" s="70" t="s">
        <v>180</v>
      </c>
    </row>
    <row r="12" spans="1:26">
      <c r="A12" s="65"/>
      <c r="B12" s="65"/>
      <c r="C12" s="65"/>
      <c r="D12" s="65"/>
      <c r="E12" s="65" t="str">
        <f>CONCATENATE("FLOOR_",E11)</f>
        <v>FLOOR_2016</v>
      </c>
      <c r="F12" s="65" t="str">
        <f t="shared" ref="F12:X12" si="1">CONCATENATE("FLOOR_",F11)</f>
        <v>FLOOR_2017</v>
      </c>
      <c r="G12" s="65" t="str">
        <f t="shared" si="1"/>
        <v>FLOOR_2018</v>
      </c>
      <c r="H12" s="65" t="str">
        <f t="shared" si="1"/>
        <v>FLOOR_2019</v>
      </c>
      <c r="I12" s="65" t="str">
        <f t="shared" si="1"/>
        <v>FLOOR_2020</v>
      </c>
      <c r="J12" s="65" t="str">
        <f t="shared" si="1"/>
        <v>FLOOR_2021</v>
      </c>
      <c r="K12" s="65" t="str">
        <f t="shared" si="1"/>
        <v>FLOOR_2022</v>
      </c>
      <c r="L12" s="65" t="str">
        <f t="shared" si="1"/>
        <v>FLOOR_2023</v>
      </c>
      <c r="M12" s="65" t="str">
        <f t="shared" si="1"/>
        <v>FLOOR_2024</v>
      </c>
      <c r="N12" s="65" t="str">
        <f t="shared" si="1"/>
        <v>FLOOR_2025</v>
      </c>
      <c r="O12" s="65" t="str">
        <f t="shared" si="1"/>
        <v>FLOOR_2026</v>
      </c>
      <c r="P12" s="65" t="str">
        <f t="shared" si="1"/>
        <v>FLOOR_2027</v>
      </c>
      <c r="Q12" s="65" t="str">
        <f t="shared" si="1"/>
        <v>FLOOR_2028</v>
      </c>
      <c r="R12" s="65" t="str">
        <f t="shared" si="1"/>
        <v>FLOOR_2029</v>
      </c>
      <c r="S12" s="65" t="str">
        <f t="shared" si="1"/>
        <v>FLOOR_2030</v>
      </c>
      <c r="T12" s="65" t="str">
        <f t="shared" si="1"/>
        <v>FLOOR_2031</v>
      </c>
      <c r="U12" s="65" t="str">
        <f t="shared" si="1"/>
        <v>FLOOR_2032</v>
      </c>
      <c r="V12" s="65" t="str">
        <f t="shared" si="1"/>
        <v>FLOOR_2033</v>
      </c>
      <c r="W12" s="65" t="str">
        <f t="shared" si="1"/>
        <v>FLOOR_2034</v>
      </c>
      <c r="X12" s="65" t="str">
        <f t="shared" si="1"/>
        <v>FLOOR_2035</v>
      </c>
      <c r="Y12" s="405">
        <v>0.85</v>
      </c>
      <c r="Z12" s="70" t="s">
        <v>180</v>
      </c>
    </row>
    <row r="13" spans="1:26">
      <c r="A13" s="19"/>
      <c r="B13" s="19" t="s">
        <v>720</v>
      </c>
      <c r="D13" s="19" t="s">
        <v>43</v>
      </c>
      <c r="E13" s="406">
        <f>'[2]Com Forecast (Base Case)'!AJ187</f>
        <v>380.08828477966154</v>
      </c>
      <c r="F13" s="406">
        <f>'[2]Com Forecast (Base Case)'!AK187</f>
        <v>378.94801992532251</v>
      </c>
      <c r="G13" s="406">
        <f>'[2]Com Forecast (Base Case)'!AL187</f>
        <v>377.81117586554655</v>
      </c>
      <c r="H13" s="406">
        <f>'[2]Com Forecast (Base Case)'!AM187</f>
        <v>376.67774233794995</v>
      </c>
      <c r="I13" s="406">
        <f>'[2]Com Forecast (Base Case)'!AN187</f>
        <v>375.54770911093607</v>
      </c>
      <c r="J13" s="406">
        <f>'[2]Com Forecast (Base Case)'!AO187</f>
        <v>374.42106598360328</v>
      </c>
      <c r="K13" s="406">
        <f>'[2]Com Forecast (Base Case)'!AP187</f>
        <v>373.29780278565244</v>
      </c>
      <c r="L13" s="406">
        <f>'[2]Com Forecast (Base Case)'!AQ187</f>
        <v>372.17790937729552</v>
      </c>
      <c r="M13" s="406">
        <f>'[2]Com Forecast (Base Case)'!AR187</f>
        <v>371.06137564916361</v>
      </c>
      <c r="N13" s="406">
        <f>'[2]Com Forecast (Base Case)'!AS187</f>
        <v>369.94819152221612</v>
      </c>
      <c r="O13" s="406">
        <f>'[2]Com Forecast (Base Case)'!AT187</f>
        <v>368.83834694764948</v>
      </c>
      <c r="P13" s="406">
        <f>'[2]Com Forecast (Base Case)'!AU187</f>
        <v>367.73183190680658</v>
      </c>
      <c r="Q13" s="406">
        <f>'[2]Com Forecast (Base Case)'!AV187</f>
        <v>366.62863641108612</v>
      </c>
      <c r="R13" s="406">
        <f>'[2]Com Forecast (Base Case)'!AW187</f>
        <v>365.52875050185287</v>
      </c>
      <c r="S13" s="406">
        <f>'[2]Com Forecast (Base Case)'!AX187</f>
        <v>364.43216425034728</v>
      </c>
      <c r="T13" s="406">
        <f>'[2]Com Forecast (Base Case)'!AY187</f>
        <v>363.33886775759629</v>
      </c>
      <c r="U13" s="406">
        <f>'[2]Com Forecast (Base Case)'!AZ187</f>
        <v>362.24885115432346</v>
      </c>
      <c r="V13" s="406">
        <f>'[2]Com Forecast (Base Case)'!BA187</f>
        <v>361.16210460086046</v>
      </c>
      <c r="W13" s="406">
        <f>'[2]Com Forecast (Base Case)'!BB187</f>
        <v>360.07861828705791</v>
      </c>
      <c r="X13" s="406">
        <f>'[2]Com Forecast (Base Case)'!BC187</f>
        <v>358.99838243219671</v>
      </c>
      <c r="Z13" s="101">
        <f t="shared" ref="Z13:Z30" si="2">X13</f>
        <v>358.99838243219671</v>
      </c>
    </row>
    <row r="14" spans="1:26">
      <c r="A14" s="19"/>
      <c r="B14" s="19" t="s">
        <v>720</v>
      </c>
      <c r="D14" s="19" t="s">
        <v>350</v>
      </c>
      <c r="E14" s="406">
        <f>'[2]Com Forecast (Base Case)'!AJ188</f>
        <v>190.73687138333023</v>
      </c>
      <c r="F14" s="406">
        <f>'[2]Com Forecast (Base Case)'!AK188</f>
        <v>190.16466076918024</v>
      </c>
      <c r="G14" s="406">
        <f>'[2]Com Forecast (Base Case)'!AL188</f>
        <v>189.59416678687271</v>
      </c>
      <c r="H14" s="406">
        <f>'[2]Com Forecast (Base Case)'!AM188</f>
        <v>189.02538428651209</v>
      </c>
      <c r="I14" s="406">
        <f>'[2]Com Forecast (Base Case)'!AN188</f>
        <v>188.45830813365254</v>
      </c>
      <c r="J14" s="406">
        <f>'[2]Com Forecast (Base Case)'!AO188</f>
        <v>187.89293320925157</v>
      </c>
      <c r="K14" s="406">
        <f>'[2]Com Forecast (Base Case)'!AP188</f>
        <v>187.32925440962381</v>
      </c>
      <c r="L14" s="406">
        <f>'[2]Com Forecast (Base Case)'!AQ188</f>
        <v>186.76726664639497</v>
      </c>
      <c r="M14" s="406">
        <f>'[2]Com Forecast (Base Case)'!AR188</f>
        <v>186.20696484645578</v>
      </c>
      <c r="N14" s="406">
        <f>'[2]Com Forecast (Base Case)'!AS188</f>
        <v>185.64834395191642</v>
      </c>
      <c r="O14" s="406">
        <f>'[2]Com Forecast (Base Case)'!AT188</f>
        <v>185.09139892006067</v>
      </c>
      <c r="P14" s="406">
        <f>'[2]Com Forecast (Base Case)'!AU188</f>
        <v>184.5361247233005</v>
      </c>
      <c r="Q14" s="406">
        <f>'[2]Com Forecast (Base Case)'!AV188</f>
        <v>183.98251634913058</v>
      </c>
      <c r="R14" s="406">
        <f>'[2]Com Forecast (Base Case)'!AW188</f>
        <v>183.43056880008319</v>
      </c>
      <c r="S14" s="406">
        <f>'[2]Com Forecast (Base Case)'!AX188</f>
        <v>182.88027709368296</v>
      </c>
      <c r="T14" s="406">
        <f>'[2]Com Forecast (Base Case)'!AY188</f>
        <v>182.33163626240187</v>
      </c>
      <c r="U14" s="406">
        <f>'[2]Com Forecast (Base Case)'!AZ188</f>
        <v>181.78464135361469</v>
      </c>
      <c r="V14" s="406">
        <f>'[2]Com Forecast (Base Case)'!BA188</f>
        <v>181.23928742955383</v>
      </c>
      <c r="W14" s="406">
        <f>'[2]Com Forecast (Base Case)'!BB188</f>
        <v>180.69556956726515</v>
      </c>
      <c r="X14" s="406">
        <f>'[2]Com Forecast (Base Case)'!BC188</f>
        <v>180.15348285856339</v>
      </c>
      <c r="Z14" s="101">
        <f t="shared" si="2"/>
        <v>180.15348285856339</v>
      </c>
    </row>
    <row r="15" spans="1:26">
      <c r="A15" s="19"/>
      <c r="B15" s="19" t="s">
        <v>720</v>
      </c>
      <c r="D15" s="19" t="s">
        <v>351</v>
      </c>
      <c r="E15" s="406">
        <f>'[2]Com Forecast (Base Case)'!AJ189</f>
        <v>184.0913556049378</v>
      </c>
      <c r="F15" s="406">
        <f>'[2]Com Forecast (Base Case)'!AK189</f>
        <v>183.53908153812301</v>
      </c>
      <c r="G15" s="406">
        <f>'[2]Com Forecast (Base Case)'!AL189</f>
        <v>182.98846429350866</v>
      </c>
      <c r="H15" s="406">
        <f>'[2]Com Forecast (Base Case)'!AM189</f>
        <v>182.43949890062811</v>
      </c>
      <c r="I15" s="406">
        <f>'[2]Com Forecast (Base Case)'!AN189</f>
        <v>181.89218040392623</v>
      </c>
      <c r="J15" s="406">
        <f>'[2]Com Forecast (Base Case)'!AO189</f>
        <v>181.34650386271446</v>
      </c>
      <c r="K15" s="406">
        <f>'[2]Com Forecast (Base Case)'!AP189</f>
        <v>180.80246435112633</v>
      </c>
      <c r="L15" s="406">
        <f>'[2]Com Forecast (Base Case)'!AQ189</f>
        <v>180.26005695807294</v>
      </c>
      <c r="M15" s="406">
        <f>'[2]Com Forecast (Base Case)'!AR189</f>
        <v>179.71927678719871</v>
      </c>
      <c r="N15" s="406">
        <f>'[2]Com Forecast (Base Case)'!AS189</f>
        <v>179.18011895683713</v>
      </c>
      <c r="O15" s="406">
        <f>'[2]Com Forecast (Base Case)'!AT189</f>
        <v>178.64257859996661</v>
      </c>
      <c r="P15" s="406">
        <f>'[2]Com Forecast (Base Case)'!AU189</f>
        <v>178.10665086416668</v>
      </c>
      <c r="Q15" s="406">
        <f>'[2]Com Forecast (Base Case)'!AV189</f>
        <v>177.57233091157423</v>
      </c>
      <c r="R15" s="406">
        <f>'[2]Com Forecast (Base Case)'!AW189</f>
        <v>177.03961391883951</v>
      </c>
      <c r="S15" s="406">
        <f>'[2]Com Forecast (Base Case)'!AX189</f>
        <v>176.50849507708296</v>
      </c>
      <c r="T15" s="406">
        <f>'[2]Com Forecast (Base Case)'!AY189</f>
        <v>175.97896959185172</v>
      </c>
      <c r="U15" s="406">
        <f>'[2]Com Forecast (Base Case)'!AZ189</f>
        <v>175.45103268307616</v>
      </c>
      <c r="V15" s="406">
        <f>'[2]Com Forecast (Base Case)'!BA189</f>
        <v>174.92467958502692</v>
      </c>
      <c r="W15" s="406">
        <f>'[2]Com Forecast (Base Case)'!BB189</f>
        <v>174.39990554627184</v>
      </c>
      <c r="X15" s="406">
        <f>'[2]Com Forecast (Base Case)'!BC189</f>
        <v>173.87670582963304</v>
      </c>
      <c r="Z15" s="101">
        <f t="shared" si="2"/>
        <v>173.87670582963304</v>
      </c>
    </row>
    <row r="16" spans="1:26">
      <c r="A16" s="19"/>
      <c r="B16" s="19" t="s">
        <v>721</v>
      </c>
      <c r="D16" s="401" t="s">
        <v>722</v>
      </c>
      <c r="E16" s="406">
        <f>'[2]Com Forecast (Base Case)'!AJ190</f>
        <v>138.35734062238015</v>
      </c>
      <c r="F16" s="406">
        <f>'[2]Com Forecast (Base Case)'!AK190</f>
        <v>137.7208968555172</v>
      </c>
      <c r="G16" s="406">
        <f>'[2]Com Forecast (Base Case)'!AL190</f>
        <v>137.08738072998179</v>
      </c>
      <c r="H16" s="406">
        <f>'[2]Com Forecast (Base Case)'!AM190</f>
        <v>136.45677877862389</v>
      </c>
      <c r="I16" s="406">
        <f>'[2]Com Forecast (Base Case)'!AN190</f>
        <v>135.8290775962422</v>
      </c>
      <c r="J16" s="406">
        <f>'[2]Com Forecast (Base Case)'!AO190</f>
        <v>135.20426383929947</v>
      </c>
      <c r="K16" s="406">
        <f>'[2]Com Forecast (Base Case)'!AP190</f>
        <v>134.5823242256387</v>
      </c>
      <c r="L16" s="406">
        <f>'[2]Com Forecast (Base Case)'!AQ190</f>
        <v>133.96324553420075</v>
      </c>
      <c r="M16" s="406">
        <f>'[2]Com Forecast (Base Case)'!AR190</f>
        <v>133.34701460474344</v>
      </c>
      <c r="N16" s="406">
        <f>'[2]Com Forecast (Base Case)'!AS190</f>
        <v>132.73361833756161</v>
      </c>
      <c r="O16" s="406">
        <f>'[2]Com Forecast (Base Case)'!AT190</f>
        <v>132.12304369320884</v>
      </c>
      <c r="P16" s="406">
        <f>'[2]Com Forecast (Base Case)'!AU190</f>
        <v>131.51527769222005</v>
      </c>
      <c r="Q16" s="406">
        <f>'[2]Com Forecast (Base Case)'!AV190</f>
        <v>130.91030741483584</v>
      </c>
      <c r="R16" s="406">
        <f>'[2]Com Forecast (Base Case)'!AW190</f>
        <v>130.3081200007276</v>
      </c>
      <c r="S16" s="406">
        <f>'[2]Com Forecast (Base Case)'!AX190</f>
        <v>129.70870264872423</v>
      </c>
      <c r="T16" s="406">
        <f>'[2]Com Forecast (Base Case)'!AY190</f>
        <v>129.11204261654012</v>
      </c>
      <c r="U16" s="406">
        <f>'[2]Com Forecast (Base Case)'!AZ190</f>
        <v>128.51812722050403</v>
      </c>
      <c r="V16" s="406">
        <f>'[2]Com Forecast (Base Case)'!BA190</f>
        <v>127.92694383528971</v>
      </c>
      <c r="W16" s="406">
        <f>'[2]Com Forecast (Base Case)'!BB190</f>
        <v>127.33847989364737</v>
      </c>
      <c r="X16" s="406">
        <f>'[2]Com Forecast (Base Case)'!BC190</f>
        <v>126.75272288613657</v>
      </c>
      <c r="Z16" s="101">
        <f t="shared" si="2"/>
        <v>126.75272288613657</v>
      </c>
    </row>
    <row r="17" spans="1:26">
      <c r="A17" s="19"/>
      <c r="B17" s="19" t="s">
        <v>721</v>
      </c>
      <c r="D17" s="401" t="s">
        <v>723</v>
      </c>
      <c r="E17" s="406">
        <f>'[2]Com Forecast (Base Case)'!AJ191</f>
        <v>208.9574509880029</v>
      </c>
      <c r="F17" s="406">
        <f>'[2]Com Forecast (Base Case)'!AK191</f>
        <v>207.99624671345808</v>
      </c>
      <c r="G17" s="406">
        <f>'[2]Com Forecast (Base Case)'!AL191</f>
        <v>207.03946397857615</v>
      </c>
      <c r="H17" s="406">
        <f>'[2]Com Forecast (Base Case)'!AM191</f>
        <v>206.0870824442747</v>
      </c>
      <c r="I17" s="406">
        <f>'[2]Com Forecast (Base Case)'!AN191</f>
        <v>205.13908186503102</v>
      </c>
      <c r="J17" s="406">
        <f>'[2]Com Forecast (Base Case)'!AO191</f>
        <v>204.1954420884519</v>
      </c>
      <c r="K17" s="406">
        <f>'[2]Com Forecast (Base Case)'!AP191</f>
        <v>203.25614305484498</v>
      </c>
      <c r="L17" s="406">
        <f>'[2]Com Forecast (Base Case)'!AQ191</f>
        <v>202.32116479679266</v>
      </c>
      <c r="M17" s="406">
        <f>'[2]Com Forecast (Base Case)'!AR191</f>
        <v>201.3904874387274</v>
      </c>
      <c r="N17" s="406">
        <f>'[2]Com Forecast (Base Case)'!AS191</f>
        <v>200.46409119650929</v>
      </c>
      <c r="O17" s="406">
        <f>'[2]Com Forecast (Base Case)'!AT191</f>
        <v>199.54195637700533</v>
      </c>
      <c r="P17" s="406">
        <f>'[2]Com Forecast (Base Case)'!AU191</f>
        <v>198.62406337767112</v>
      </c>
      <c r="Q17" s="406">
        <f>'[2]Com Forecast (Base Case)'!AV191</f>
        <v>197.71039268613379</v>
      </c>
      <c r="R17" s="406">
        <f>'[2]Com Forecast (Base Case)'!AW191</f>
        <v>196.8009248797776</v>
      </c>
      <c r="S17" s="406">
        <f>'[2]Com Forecast (Base Case)'!AX191</f>
        <v>195.8956406253306</v>
      </c>
      <c r="T17" s="406">
        <f>'[2]Com Forecast (Base Case)'!AY191</f>
        <v>194.99452067845405</v>
      </c>
      <c r="U17" s="406">
        <f>'[2]Com Forecast (Base Case)'!AZ191</f>
        <v>194.09754588333314</v>
      </c>
      <c r="V17" s="406">
        <f>'[2]Com Forecast (Base Case)'!BA191</f>
        <v>193.20469717226982</v>
      </c>
      <c r="W17" s="406">
        <f>'[2]Com Forecast (Base Case)'!BB191</f>
        <v>192.31595556527733</v>
      </c>
      <c r="X17" s="406">
        <f>'[2]Com Forecast (Base Case)'!BC191</f>
        <v>191.43130216967708</v>
      </c>
      <c r="Z17" s="101">
        <f t="shared" si="2"/>
        <v>191.43130216967708</v>
      </c>
    </row>
    <row r="18" spans="1:26">
      <c r="A18" s="19"/>
      <c r="B18" s="19" t="s">
        <v>721</v>
      </c>
      <c r="D18" s="401" t="s">
        <v>724</v>
      </c>
      <c r="E18" s="406">
        <f>'[2]Com Forecast (Base Case)'!AJ192</f>
        <v>97.115689913224898</v>
      </c>
      <c r="F18" s="406">
        <f>'[2]Com Forecast (Base Case)'!AK192</f>
        <v>96.668957739624062</v>
      </c>
      <c r="G18" s="406">
        <f>'[2]Com Forecast (Base Case)'!AL192</f>
        <v>96.224280534021787</v>
      </c>
      <c r="H18" s="406">
        <f>'[2]Com Forecast (Base Case)'!AM192</f>
        <v>95.781648843565293</v>
      </c>
      <c r="I18" s="406">
        <f>'[2]Com Forecast (Base Case)'!AN192</f>
        <v>95.34105325888487</v>
      </c>
      <c r="J18" s="406">
        <f>'[2]Com Forecast (Base Case)'!AO192</f>
        <v>94.902484413894001</v>
      </c>
      <c r="K18" s="406">
        <f>'[2]Com Forecast (Base Case)'!AP192</f>
        <v>94.465932985590086</v>
      </c>
      <c r="L18" s="406">
        <f>'[2]Com Forecast (Base Case)'!AQ192</f>
        <v>94.031389693856369</v>
      </c>
      <c r="M18" s="406">
        <f>'[2]Com Forecast (Base Case)'!AR192</f>
        <v>93.598845301264618</v>
      </c>
      <c r="N18" s="406">
        <f>'[2]Com Forecast (Base Case)'!AS192</f>
        <v>93.168290612878806</v>
      </c>
      <c r="O18" s="406">
        <f>'[2]Com Forecast (Base Case)'!AT192</f>
        <v>92.739716476059556</v>
      </c>
      <c r="P18" s="406">
        <f>'[2]Com Forecast (Base Case)'!AU192</f>
        <v>92.313113780269674</v>
      </c>
      <c r="Q18" s="406">
        <f>'[2]Com Forecast (Base Case)'!AV192</f>
        <v>91.888473456880433</v>
      </c>
      <c r="R18" s="406">
        <f>'[2]Com Forecast (Base Case)'!AW192</f>
        <v>91.465786478978771</v>
      </c>
      <c r="S18" s="406">
        <f>'[2]Com Forecast (Base Case)'!AX192</f>
        <v>91.045043861175472</v>
      </c>
      <c r="T18" s="406">
        <f>'[2]Com Forecast (Base Case)'!AY192</f>
        <v>90.626236659414062</v>
      </c>
      <c r="U18" s="406">
        <f>'[2]Com Forecast (Base Case)'!AZ192</f>
        <v>90.209355970780734</v>
      </c>
      <c r="V18" s="406">
        <f>'[2]Com Forecast (Base Case)'!BA192</f>
        <v>89.794392933315152</v>
      </c>
      <c r="W18" s="406">
        <f>'[2]Com Forecast (Base Case)'!BB192</f>
        <v>89.381338725821905</v>
      </c>
      <c r="X18" s="406">
        <f>'[2]Com Forecast (Base Case)'!BC192</f>
        <v>88.97018456768312</v>
      </c>
      <c r="Z18" s="101">
        <f t="shared" si="2"/>
        <v>88.97018456768312</v>
      </c>
    </row>
    <row r="19" spans="1:26">
      <c r="A19" s="19"/>
      <c r="B19" s="19" t="s">
        <v>721</v>
      </c>
      <c r="D19" s="401" t="s">
        <v>725</v>
      </c>
      <c r="E19" s="406">
        <f>'[2]Com Forecast (Base Case)'!AJ193</f>
        <v>109.47966092768364</v>
      </c>
      <c r="F19" s="406">
        <f>'[2]Com Forecast (Base Case)'!AK193</f>
        <v>108.97605448741629</v>
      </c>
      <c r="G19" s="406">
        <f>'[2]Com Forecast (Base Case)'!AL193</f>
        <v>108.47476463677417</v>
      </c>
      <c r="H19" s="406">
        <f>'[2]Com Forecast (Base Case)'!AM193</f>
        <v>107.975780719445</v>
      </c>
      <c r="I19" s="406">
        <f>'[2]Com Forecast (Base Case)'!AN193</f>
        <v>107.47909212813555</v>
      </c>
      <c r="J19" s="406">
        <f>'[2]Com Forecast (Base Case)'!AO193</f>
        <v>106.98468830434612</v>
      </c>
      <c r="K19" s="406">
        <f>'[2]Com Forecast (Base Case)'!AP193</f>
        <v>106.49255873814613</v>
      </c>
      <c r="L19" s="406">
        <f>'[2]Com Forecast (Base Case)'!AQ193</f>
        <v>106.00269296795065</v>
      </c>
      <c r="M19" s="406">
        <f>'[2]Com Forecast (Base Case)'!AR193</f>
        <v>105.51508058029808</v>
      </c>
      <c r="N19" s="406">
        <f>'[2]Com Forecast (Base Case)'!AS193</f>
        <v>105.0297112096287</v>
      </c>
      <c r="O19" s="406">
        <f>'[2]Com Forecast (Base Case)'!AT193</f>
        <v>104.54657453806439</v>
      </c>
      <c r="P19" s="406">
        <f>'[2]Com Forecast (Base Case)'!AU193</f>
        <v>104.0656602951893</v>
      </c>
      <c r="Q19" s="406">
        <f>'[2]Com Forecast (Base Case)'!AV193</f>
        <v>103.58695825783141</v>
      </c>
      <c r="R19" s="406">
        <f>'[2]Com Forecast (Base Case)'!AW193</f>
        <v>103.11045824984539</v>
      </c>
      <c r="S19" s="406">
        <f>'[2]Com Forecast (Base Case)'!AX193</f>
        <v>102.6361501418961</v>
      </c>
      <c r="T19" s="406">
        <f>'[2]Com Forecast (Base Case)'!AY193</f>
        <v>102.16402385124337</v>
      </c>
      <c r="U19" s="406">
        <f>'[2]Com Forecast (Base Case)'!AZ193</f>
        <v>101.69406934152764</v>
      </c>
      <c r="V19" s="406">
        <f>'[2]Com Forecast (Base Case)'!BA193</f>
        <v>101.2262766225566</v>
      </c>
      <c r="W19" s="406">
        <f>'[2]Com Forecast (Base Case)'!BB193</f>
        <v>100.76063575009285</v>
      </c>
      <c r="X19" s="406">
        <f>'[2]Com Forecast (Base Case)'!BC193</f>
        <v>100.29713682564241</v>
      </c>
      <c r="Z19" s="101">
        <f t="shared" si="2"/>
        <v>100.29713682564241</v>
      </c>
    </row>
    <row r="20" spans="1:26">
      <c r="A20" s="19"/>
      <c r="B20" s="19" t="s">
        <v>726</v>
      </c>
      <c r="D20" s="19" t="s">
        <v>257</v>
      </c>
      <c r="E20" s="406">
        <f>'[2]Com Forecast (Base Case)'!AJ194</f>
        <v>241.11763975818661</v>
      </c>
      <c r="F20" s="406">
        <f>'[2]Com Forecast (Base Case)'!AK194</f>
        <v>240.12905743517803</v>
      </c>
      <c r="G20" s="406">
        <f>'[2]Com Forecast (Base Case)'!AL194</f>
        <v>239.14452829969383</v>
      </c>
      <c r="H20" s="406">
        <f>'[2]Com Forecast (Base Case)'!AM194</f>
        <v>238.16403573366509</v>
      </c>
      <c r="I20" s="406">
        <f>'[2]Com Forecast (Base Case)'!AN194</f>
        <v>237.18756318715711</v>
      </c>
      <c r="J20" s="406">
        <f>'[2]Com Forecast (Base Case)'!AO194</f>
        <v>236.21509417808971</v>
      </c>
      <c r="K20" s="406">
        <f>'[2]Com Forecast (Base Case)'!AP194</f>
        <v>235.24661229195956</v>
      </c>
      <c r="L20" s="406">
        <f>'[2]Com Forecast (Base Case)'!AQ194</f>
        <v>234.28210118156252</v>
      </c>
      <c r="M20" s="406">
        <f>'[2]Com Forecast (Base Case)'!AR194</f>
        <v>233.32154456671807</v>
      </c>
      <c r="N20" s="406">
        <f>'[2]Com Forecast (Base Case)'!AS194</f>
        <v>232.36492623399457</v>
      </c>
      <c r="O20" s="406">
        <f>'[2]Com Forecast (Base Case)'!AT194</f>
        <v>231.41223003643518</v>
      </c>
      <c r="P20" s="406">
        <f>'[2]Com Forecast (Base Case)'!AU194</f>
        <v>230.46343989328579</v>
      </c>
      <c r="Q20" s="406">
        <f>'[2]Com Forecast (Base Case)'!AV194</f>
        <v>229.51853978972335</v>
      </c>
      <c r="R20" s="406">
        <f>'[2]Com Forecast (Base Case)'!AW194</f>
        <v>228.57751377658545</v>
      </c>
      <c r="S20" s="406">
        <f>'[2]Com Forecast (Base Case)'!AX194</f>
        <v>227.64034597010144</v>
      </c>
      <c r="T20" s="406">
        <f>'[2]Com Forecast (Base Case)'!AY194</f>
        <v>226.70702055162403</v>
      </c>
      <c r="U20" s="406">
        <f>'[2]Com Forecast (Base Case)'!AZ194</f>
        <v>225.77752176736234</v>
      </c>
      <c r="V20" s="406">
        <f>'[2]Com Forecast (Base Case)'!BA194</f>
        <v>224.85183392811618</v>
      </c>
      <c r="W20" s="406">
        <f>'[2]Com Forecast (Base Case)'!BB194</f>
        <v>223.92994140901092</v>
      </c>
      <c r="X20" s="406">
        <f>'[2]Com Forecast (Base Case)'!BC194</f>
        <v>223.01182864923393</v>
      </c>
      <c r="Z20" s="101">
        <f t="shared" si="2"/>
        <v>223.01182864923393</v>
      </c>
    </row>
    <row r="21" spans="1:26">
      <c r="A21" s="19"/>
      <c r="B21" s="19" t="s">
        <v>727</v>
      </c>
      <c r="D21" s="19" t="s">
        <v>357</v>
      </c>
      <c r="E21" s="406">
        <f>'[2]Com Forecast (Base Case)'!AJ195</f>
        <v>122.15340627232256</v>
      </c>
      <c r="F21" s="406">
        <f>'[2]Com Forecast (Base Case)'!AK195</f>
        <v>121.65257730660603</v>
      </c>
      <c r="G21" s="406">
        <f>'[2]Com Forecast (Base Case)'!AL195</f>
        <v>121.15380173964894</v>
      </c>
      <c r="H21" s="406">
        <f>'[2]Com Forecast (Base Case)'!AM195</f>
        <v>120.65707115251638</v>
      </c>
      <c r="I21" s="406">
        <f>'[2]Com Forecast (Base Case)'!AN195</f>
        <v>120.16237716079107</v>
      </c>
      <c r="J21" s="406">
        <f>'[2]Com Forecast (Base Case)'!AO195</f>
        <v>119.66971141443182</v>
      </c>
      <c r="K21" s="406">
        <f>'[2]Com Forecast (Base Case)'!AP195</f>
        <v>119.17906559763266</v>
      </c>
      <c r="L21" s="406">
        <f>'[2]Com Forecast (Base Case)'!AQ195</f>
        <v>118.69043142868237</v>
      </c>
      <c r="M21" s="406">
        <f>'[2]Com Forecast (Base Case)'!AR195</f>
        <v>118.20380065982476</v>
      </c>
      <c r="N21" s="406">
        <f>'[2]Com Forecast (Base Case)'!AS195</f>
        <v>117.71916507711948</v>
      </c>
      <c r="O21" s="406">
        <f>'[2]Com Forecast (Base Case)'!AT195</f>
        <v>117.23651650030328</v>
      </c>
      <c r="P21" s="406">
        <f>'[2]Com Forecast (Base Case)'!AU195</f>
        <v>116.75584678265207</v>
      </c>
      <c r="Q21" s="406">
        <f>'[2]Com Forecast (Base Case)'!AV195</f>
        <v>116.27714781084319</v>
      </c>
      <c r="R21" s="406">
        <f>'[2]Com Forecast (Base Case)'!AW195</f>
        <v>115.80041150481873</v>
      </c>
      <c r="S21" s="406">
        <f>'[2]Com Forecast (Base Case)'!AX195</f>
        <v>115.32562981764897</v>
      </c>
      <c r="T21" s="406">
        <f>'[2]Com Forecast (Base Case)'!AY195</f>
        <v>114.8527947353966</v>
      </c>
      <c r="U21" s="406">
        <f>'[2]Com Forecast (Base Case)'!AZ195</f>
        <v>114.38189827698147</v>
      </c>
      <c r="V21" s="406">
        <f>'[2]Com Forecast (Base Case)'!BA195</f>
        <v>113.91293249404585</v>
      </c>
      <c r="W21" s="406">
        <f>'[2]Com Forecast (Base Case)'!BB195</f>
        <v>113.44588947082025</v>
      </c>
      <c r="X21" s="406">
        <f>'[2]Com Forecast (Base Case)'!BC195</f>
        <v>112.98076132398991</v>
      </c>
      <c r="Z21" s="101">
        <f t="shared" si="2"/>
        <v>112.98076132398991</v>
      </c>
    </row>
    <row r="22" spans="1:26">
      <c r="A22" s="19"/>
      <c r="B22" s="19" t="s">
        <v>728</v>
      </c>
      <c r="D22" s="19" t="s">
        <v>258</v>
      </c>
      <c r="E22" s="406">
        <f>'[2]Com Forecast (Base Case)'!AJ196</f>
        <v>448.69829599576161</v>
      </c>
      <c r="F22" s="406">
        <f>'[2]Com Forecast (Base Case)'!AK196</f>
        <v>447.03811230057732</v>
      </c>
      <c r="G22" s="406">
        <f>'[2]Com Forecast (Base Case)'!AL196</f>
        <v>445.3840712850652</v>
      </c>
      <c r="H22" s="406">
        <f>'[2]Com Forecast (Base Case)'!AM196</f>
        <v>443.73615022131042</v>
      </c>
      <c r="I22" s="406">
        <f>'[2]Com Forecast (Base Case)'!AN196</f>
        <v>442.09432646549152</v>
      </c>
      <c r="J22" s="406">
        <f>'[2]Com Forecast (Base Case)'!AO196</f>
        <v>440.45857745756916</v>
      </c>
      <c r="K22" s="406">
        <f>'[2]Com Forecast (Base Case)'!AP196</f>
        <v>438.82888072097626</v>
      </c>
      <c r="L22" s="406">
        <f>'[2]Com Forecast (Base Case)'!AQ196</f>
        <v>437.2052138623086</v>
      </c>
      <c r="M22" s="406">
        <f>'[2]Com Forecast (Base Case)'!AR196</f>
        <v>435.58755457101802</v>
      </c>
      <c r="N22" s="406">
        <f>'[2]Com Forecast (Base Case)'!AS196</f>
        <v>433.97588061910528</v>
      </c>
      <c r="O22" s="406">
        <f>'[2]Com Forecast (Base Case)'!AT196</f>
        <v>432.37016986081449</v>
      </c>
      <c r="P22" s="406">
        <f>'[2]Com Forecast (Base Case)'!AU196</f>
        <v>430.77040023232951</v>
      </c>
      <c r="Q22" s="406">
        <f>'[2]Com Forecast (Base Case)'!AV196</f>
        <v>429.17654975146979</v>
      </c>
      <c r="R22" s="406">
        <f>'[2]Com Forecast (Base Case)'!AW196</f>
        <v>427.58859651738936</v>
      </c>
      <c r="S22" s="406">
        <f>'[2]Com Forecast (Base Case)'!AX196</f>
        <v>426.00651871027503</v>
      </c>
      <c r="T22" s="406">
        <f>'[2]Com Forecast (Base Case)'!AY196</f>
        <v>424.43029459104702</v>
      </c>
      <c r="U22" s="406">
        <f>'[2]Com Forecast (Base Case)'!AZ196</f>
        <v>422.85990250106011</v>
      </c>
      <c r="V22" s="406">
        <f>'[2]Com Forecast (Base Case)'!BA196</f>
        <v>421.2953208618062</v>
      </c>
      <c r="W22" s="406">
        <f>'[2]Com Forecast (Base Case)'!BB196</f>
        <v>419.73652817461749</v>
      </c>
      <c r="X22" s="406">
        <f>'[2]Com Forecast (Base Case)'!BC196</f>
        <v>418.18350302037135</v>
      </c>
      <c r="Z22" s="101">
        <f t="shared" si="2"/>
        <v>418.18350302037135</v>
      </c>
    </row>
    <row r="23" spans="1:26">
      <c r="A23" s="19"/>
      <c r="B23" s="19" t="s">
        <v>729</v>
      </c>
      <c r="D23" s="19" t="s">
        <v>358</v>
      </c>
      <c r="E23" s="406">
        <f>'[2]Com Forecast (Base Case)'!AJ197</f>
        <v>53.720939527021244</v>
      </c>
      <c r="F23" s="406">
        <f>'[2]Com Forecast (Base Case)'!AK197</f>
        <v>53.237451071278059</v>
      </c>
      <c r="G23" s="406">
        <f>'[2]Com Forecast (Base Case)'!AL197</f>
        <v>52.758314011636557</v>
      </c>
      <c r="H23" s="406">
        <f>'[2]Com Forecast (Base Case)'!AM197</f>
        <v>52.283489185531828</v>
      </c>
      <c r="I23" s="406">
        <f>'[2]Com Forecast (Base Case)'!AN197</f>
        <v>51.812937782862043</v>
      </c>
      <c r="J23" s="406">
        <f>'[2]Com Forecast (Base Case)'!AO197</f>
        <v>51.346621342816277</v>
      </c>
      <c r="K23" s="406">
        <f>'[2]Com Forecast (Base Case)'!AP197</f>
        <v>50.884501750730934</v>
      </c>
      <c r="L23" s="406">
        <f>'[2]Com Forecast (Base Case)'!AQ197</f>
        <v>50.426541234974358</v>
      </c>
      <c r="M23" s="406">
        <f>'[2]Com Forecast (Base Case)'!AR197</f>
        <v>49.97270236385959</v>
      </c>
      <c r="N23" s="406">
        <f>'[2]Com Forecast (Base Case)'!AS197</f>
        <v>49.522948042584851</v>
      </c>
      <c r="O23" s="406">
        <f>'[2]Com Forecast (Base Case)'!AT197</f>
        <v>49.077241510201581</v>
      </c>
      <c r="P23" s="406">
        <f>'[2]Com Forecast (Base Case)'!AU197</f>
        <v>48.635546336609778</v>
      </c>
      <c r="Q23" s="406">
        <f>'[2]Com Forecast (Base Case)'!AV197</f>
        <v>48.197826419580288</v>
      </c>
      <c r="R23" s="406">
        <f>'[2]Com Forecast (Base Case)'!AW197</f>
        <v>47.76404598180406</v>
      </c>
      <c r="S23" s="406">
        <f>'[2]Com Forecast (Base Case)'!AX197</f>
        <v>47.33416956796782</v>
      </c>
      <c r="T23" s="406">
        <f>'[2]Com Forecast (Base Case)'!AY197</f>
        <v>46.908162041856116</v>
      </c>
      <c r="U23" s="406">
        <f>'[2]Com Forecast (Base Case)'!AZ197</f>
        <v>46.485988583479411</v>
      </c>
      <c r="V23" s="406">
        <f>'[2]Com Forecast (Base Case)'!BA197</f>
        <v>46.067614686228097</v>
      </c>
      <c r="W23" s="406">
        <f>'[2]Com Forecast (Base Case)'!BB197</f>
        <v>45.653006154052044</v>
      </c>
      <c r="X23" s="406">
        <f>'[2]Com Forecast (Base Case)'!BC197</f>
        <v>45.242129098665572</v>
      </c>
      <c r="Z23" s="101">
        <f t="shared" si="2"/>
        <v>45.242129098665572</v>
      </c>
    </row>
    <row r="24" spans="1:26">
      <c r="A24" s="19"/>
      <c r="B24" s="19" t="s">
        <v>730</v>
      </c>
      <c r="D24" s="19" t="s">
        <v>731</v>
      </c>
      <c r="E24" s="406">
        <f>'[2]Com Forecast (Base Case)'!AJ198</f>
        <v>22.491017060912501</v>
      </c>
      <c r="F24" s="406">
        <f>'[2]Com Forecast (Base Case)'!AK198</f>
        <v>22.384859460384995</v>
      </c>
      <c r="G24" s="406">
        <f>'[2]Com Forecast (Base Case)'!AL198</f>
        <v>22.279202923731983</v>
      </c>
      <c r="H24" s="406">
        <f>'[2]Com Forecast (Base Case)'!AM198</f>
        <v>22.174045085931969</v>
      </c>
      <c r="I24" s="406">
        <f>'[2]Com Forecast (Base Case)'!AN198</f>
        <v>22.069383593126368</v>
      </c>
      <c r="J24" s="406">
        <f>'[2]Com Forecast (Base Case)'!AO198</f>
        <v>21.965216102566814</v>
      </c>
      <c r="K24" s="406">
        <f>'[2]Com Forecast (Base Case)'!AP198</f>
        <v>21.8615402825627</v>
      </c>
      <c r="L24" s="406">
        <f>'[2]Com Forecast (Base Case)'!AQ198</f>
        <v>21.758353812429004</v>
      </c>
      <c r="M24" s="406">
        <f>'[2]Com Forecast (Base Case)'!AR198</f>
        <v>21.655654382434342</v>
      </c>
      <c r="N24" s="406">
        <f>'[2]Com Forecast (Base Case)'!AS198</f>
        <v>21.553439693749251</v>
      </c>
      <c r="O24" s="406">
        <f>'[2]Com Forecast (Base Case)'!AT198</f>
        <v>21.451707458394754</v>
      </c>
      <c r="P24" s="406">
        <f>'[2]Com Forecast (Base Case)'!AU198</f>
        <v>21.350455399191134</v>
      </c>
      <c r="Q24" s="406">
        <f>'[2]Com Forecast (Base Case)'!AV198</f>
        <v>21.249681249706953</v>
      </c>
      <c r="R24" s="406">
        <f>'[2]Com Forecast (Base Case)'!AW198</f>
        <v>21.149382754208336</v>
      </c>
      <c r="S24" s="406">
        <f>'[2]Com Forecast (Base Case)'!AX198</f>
        <v>21.049557667608472</v>
      </c>
      <c r="T24" s="406">
        <f>'[2]Com Forecast (Base Case)'!AY198</f>
        <v>20.950203755417366</v>
      </c>
      <c r="U24" s="406">
        <f>'[2]Com Forecast (Base Case)'!AZ198</f>
        <v>20.851318793691796</v>
      </c>
      <c r="V24" s="406">
        <f>'[2]Com Forecast (Base Case)'!BA198</f>
        <v>20.75290056898557</v>
      </c>
      <c r="W24" s="406">
        <f>'[2]Com Forecast (Base Case)'!BB198</f>
        <v>20.654946878299963</v>
      </c>
      <c r="X24" s="406">
        <f>'[2]Com Forecast (Base Case)'!BC198</f>
        <v>20.557455529034385</v>
      </c>
      <c r="Z24" s="101">
        <f t="shared" si="2"/>
        <v>20.557455529034385</v>
      </c>
    </row>
    <row r="25" spans="1:26">
      <c r="A25" s="19"/>
      <c r="B25" s="19" t="s">
        <v>732</v>
      </c>
      <c r="D25" s="19" t="s">
        <v>255</v>
      </c>
      <c r="E25" s="406">
        <f>'[2]Com Forecast (Base Case)'!AJ199</f>
        <v>51.550857208753726</v>
      </c>
      <c r="F25" s="406">
        <f>'[2]Com Forecast (Base Case)'!AK199</f>
        <v>51.307537162728408</v>
      </c>
      <c r="G25" s="406">
        <f>'[2]Com Forecast (Base Case)'!AL199</f>
        <v>51.065365587320336</v>
      </c>
      <c r="H25" s="406">
        <f>'[2]Com Forecast (Base Case)'!AM199</f>
        <v>50.824337061748189</v>
      </c>
      <c r="I25" s="406">
        <f>'[2]Com Forecast (Base Case)'!AN199</f>
        <v>50.584446190816735</v>
      </c>
      <c r="J25" s="406">
        <f>'[2]Com Forecast (Base Case)'!AO199</f>
        <v>50.345687604796083</v>
      </c>
      <c r="K25" s="406">
        <f>'[2]Com Forecast (Base Case)'!AP199</f>
        <v>50.108055959301453</v>
      </c>
      <c r="L25" s="406">
        <f>'[2]Com Forecast (Base Case)'!AQ199</f>
        <v>49.871545935173543</v>
      </c>
      <c r="M25" s="406">
        <f>'[2]Com Forecast (Base Case)'!AR199</f>
        <v>49.636152238359529</v>
      </c>
      <c r="N25" s="406">
        <f>'[2]Com Forecast (Base Case)'!AS199</f>
        <v>49.40186959979448</v>
      </c>
      <c r="O25" s="406">
        <f>'[2]Com Forecast (Base Case)'!AT199</f>
        <v>49.168692775283453</v>
      </c>
      <c r="P25" s="406">
        <f>'[2]Com Forecast (Base Case)'!AU199</f>
        <v>48.936616545384119</v>
      </c>
      <c r="Q25" s="406">
        <f>'[2]Com Forecast (Base Case)'!AV199</f>
        <v>48.705635715289908</v>
      </c>
      <c r="R25" s="406">
        <f>'[2]Com Forecast (Base Case)'!AW199</f>
        <v>48.475745114713739</v>
      </c>
      <c r="S25" s="406">
        <f>'[2]Com Forecast (Base Case)'!AX199</f>
        <v>48.246939597772297</v>
      </c>
      <c r="T25" s="406">
        <f>'[2]Com Forecast (Base Case)'!AY199</f>
        <v>48.019214042870807</v>
      </c>
      <c r="U25" s="406">
        <f>'[2]Com Forecast (Base Case)'!AZ199</f>
        <v>47.792563352588466</v>
      </c>
      <c r="V25" s="406">
        <f>'[2]Com Forecast (Base Case)'!BA199</f>
        <v>47.56698245356425</v>
      </c>
      <c r="W25" s="406">
        <f>'[2]Com Forecast (Base Case)'!BB199</f>
        <v>47.342466296383435</v>
      </c>
      <c r="X25" s="406">
        <f>'[2]Com Forecast (Base Case)'!BC199</f>
        <v>47.119009855464505</v>
      </c>
      <c r="Z25" s="101">
        <f t="shared" si="2"/>
        <v>47.119009855464505</v>
      </c>
    </row>
    <row r="26" spans="1:26">
      <c r="A26" s="19"/>
      <c r="B26" s="19" t="s">
        <v>733</v>
      </c>
      <c r="D26" s="19" t="s">
        <v>251</v>
      </c>
      <c r="E26" s="406">
        <f>'[2]Com Forecast (Base Case)'!AJ200</f>
        <v>170.15189589049527</v>
      </c>
      <c r="F26" s="406">
        <f>'[2]Com Forecast (Base Case)'!AK200</f>
        <v>169.74353134035809</v>
      </c>
      <c r="G26" s="406">
        <f>'[2]Com Forecast (Base Case)'!AL200</f>
        <v>169.33614686514122</v>
      </c>
      <c r="H26" s="406">
        <f>'[2]Com Forecast (Base Case)'!AM200</f>
        <v>168.92974011266489</v>
      </c>
      <c r="I26" s="406">
        <f>'[2]Com Forecast (Base Case)'!AN200</f>
        <v>168.52430873639449</v>
      </c>
      <c r="J26" s="406">
        <f>'[2]Com Forecast (Base Case)'!AO200</f>
        <v>168.11985039542716</v>
      </c>
      <c r="K26" s="406">
        <f>'[2]Com Forecast (Base Case)'!AP200</f>
        <v>167.71636275447813</v>
      </c>
      <c r="L26" s="406">
        <f>'[2]Com Forecast (Base Case)'!AQ200</f>
        <v>167.31384348386743</v>
      </c>
      <c r="M26" s="406">
        <f>'[2]Com Forecast (Base Case)'!AR200</f>
        <v>166.91229025950614</v>
      </c>
      <c r="N26" s="406">
        <f>'[2]Com Forecast (Base Case)'!AS200</f>
        <v>166.51170076288332</v>
      </c>
      <c r="O26" s="406">
        <f>'[2]Com Forecast (Base Case)'!AT200</f>
        <v>166.11207268105238</v>
      </c>
      <c r="P26" s="406">
        <f>'[2]Com Forecast (Base Case)'!AU200</f>
        <v>165.7134037066179</v>
      </c>
      <c r="Q26" s="406">
        <f>'[2]Com Forecast (Base Case)'!AV200</f>
        <v>165.31569153772202</v>
      </c>
      <c r="R26" s="406">
        <f>'[2]Com Forecast (Base Case)'!AW200</f>
        <v>164.91893387803151</v>
      </c>
      <c r="S26" s="406">
        <f>'[2]Com Forecast (Base Case)'!AX200</f>
        <v>164.52312843672422</v>
      </c>
      <c r="T26" s="406">
        <f>'[2]Com Forecast (Base Case)'!AY200</f>
        <v>164.12827292847609</v>
      </c>
      <c r="U26" s="406">
        <f>'[2]Com Forecast (Base Case)'!AZ200</f>
        <v>163.73436507344778</v>
      </c>
      <c r="V26" s="406">
        <f>'[2]Com Forecast (Base Case)'!BA200</f>
        <v>163.3414025972715</v>
      </c>
      <c r="W26" s="406">
        <f>'[2]Com Forecast (Base Case)'!BB200</f>
        <v>162.94938323103807</v>
      </c>
      <c r="X26" s="406">
        <f>'[2]Com Forecast (Base Case)'!BC200</f>
        <v>162.55830471128357</v>
      </c>
      <c r="Z26" s="101">
        <f t="shared" si="2"/>
        <v>162.55830471128357</v>
      </c>
    </row>
    <row r="27" spans="1:26">
      <c r="A27" s="19"/>
      <c r="B27" s="19" t="s">
        <v>734</v>
      </c>
      <c r="D27" s="19" t="s">
        <v>294</v>
      </c>
      <c r="E27" s="406">
        <f>'[2]Com Forecast (Base Case)'!AJ201</f>
        <v>105.02947953487826</v>
      </c>
      <c r="F27" s="406">
        <f>'[2]Com Forecast (Base Case)'!AK201</f>
        <v>104.80891762785501</v>
      </c>
      <c r="G27" s="406">
        <f>'[2]Com Forecast (Base Case)'!AL201</f>
        <v>104.58881890083651</v>
      </c>
      <c r="H27" s="406">
        <f>'[2]Com Forecast (Base Case)'!AM201</f>
        <v>104.36918238114475</v>
      </c>
      <c r="I27" s="406">
        <f>'[2]Com Forecast (Base Case)'!AN201</f>
        <v>104.15000709814436</v>
      </c>
      <c r="J27" s="406">
        <f>'[2]Com Forecast (Base Case)'!AO201</f>
        <v>103.93129208323826</v>
      </c>
      <c r="K27" s="406">
        <f>'[2]Com Forecast (Base Case)'!AP201</f>
        <v>103.71303636986346</v>
      </c>
      <c r="L27" s="406">
        <f>'[2]Com Forecast (Base Case)'!AQ201</f>
        <v>103.49523899348674</v>
      </c>
      <c r="M27" s="406">
        <f>'[2]Com Forecast (Base Case)'!AR201</f>
        <v>103.27789899160042</v>
      </c>
      <c r="N27" s="406">
        <f>'[2]Com Forecast (Base Case)'!AS201</f>
        <v>103.06101540371807</v>
      </c>
      <c r="O27" s="406">
        <f>'[2]Com Forecast (Base Case)'!AT201</f>
        <v>102.84458727137024</v>
      </c>
      <c r="P27" s="406">
        <f>'[2]Com Forecast (Base Case)'!AU201</f>
        <v>102.62861363810038</v>
      </c>
      <c r="Q27" s="406">
        <f>'[2]Com Forecast (Base Case)'!AV201</f>
        <v>102.41309354946036</v>
      </c>
      <c r="R27" s="406">
        <f>'[2]Com Forecast (Base Case)'!AW201</f>
        <v>102.19802605300649</v>
      </c>
      <c r="S27" s="406">
        <f>'[2]Com Forecast (Base Case)'!AX201</f>
        <v>101.98341019829519</v>
      </c>
      <c r="T27" s="406">
        <f>'[2]Com Forecast (Base Case)'!AY201</f>
        <v>101.76924503687877</v>
      </c>
      <c r="U27" s="406">
        <f>'[2]Com Forecast (Base Case)'!AZ201</f>
        <v>101.55552962230132</v>
      </c>
      <c r="V27" s="406">
        <f>'[2]Com Forecast (Base Case)'!BA201</f>
        <v>101.3422630100945</v>
      </c>
      <c r="W27" s="406">
        <f>'[2]Com Forecast (Base Case)'!BB201</f>
        <v>101.1294442577733</v>
      </c>
      <c r="X27" s="406">
        <f>'[2]Com Forecast (Base Case)'!BC201</f>
        <v>100.91707242483197</v>
      </c>
      <c r="Z27" s="101">
        <f t="shared" si="2"/>
        <v>100.91707242483197</v>
      </c>
    </row>
    <row r="28" spans="1:26">
      <c r="A28" s="19"/>
      <c r="B28" s="19" t="s">
        <v>735</v>
      </c>
      <c r="D28" s="401" t="s">
        <v>254</v>
      </c>
      <c r="E28" s="406">
        <f>'[2]Com Forecast (Base Case)'!AJ202</f>
        <v>128.74820917277606</v>
      </c>
      <c r="F28" s="406">
        <f>'[2]Com Forecast (Base Case)'!AK202</f>
        <v>128.43921347076139</v>
      </c>
      <c r="G28" s="406">
        <f>'[2]Com Forecast (Base Case)'!AL202</f>
        <v>128.1309593584316</v>
      </c>
      <c r="H28" s="406">
        <f>'[2]Com Forecast (Base Case)'!AM202</f>
        <v>127.82344505597135</v>
      </c>
      <c r="I28" s="406">
        <f>'[2]Com Forecast (Base Case)'!AN202</f>
        <v>127.51666878783702</v>
      </c>
      <c r="J28" s="406">
        <f>'[2]Com Forecast (Base Case)'!AO202</f>
        <v>127.21062878274621</v>
      </c>
      <c r="K28" s="406">
        <f>'[2]Com Forecast (Base Case)'!AP202</f>
        <v>126.90532327366765</v>
      </c>
      <c r="L28" s="406">
        <f>'[2]Com Forecast (Base Case)'!AQ202</f>
        <v>126.60075049781085</v>
      </c>
      <c r="M28" s="406">
        <f>'[2]Com Forecast (Base Case)'!AR202</f>
        <v>126.29690869661611</v>
      </c>
      <c r="N28" s="406">
        <f>'[2]Com Forecast (Base Case)'!AS202</f>
        <v>125.99379611574425</v>
      </c>
      <c r="O28" s="406">
        <f>'[2]Com Forecast (Base Case)'!AT202</f>
        <v>125.69141100506647</v>
      </c>
      <c r="P28" s="406">
        <f>'[2]Com Forecast (Base Case)'!AU202</f>
        <v>125.3897516186543</v>
      </c>
      <c r="Q28" s="406">
        <f>'[2]Com Forecast (Base Case)'!AV202</f>
        <v>125.08881621476955</v>
      </c>
      <c r="R28" s="406">
        <f>'[2]Com Forecast (Base Case)'!AW202</f>
        <v>124.78860305585408</v>
      </c>
      <c r="S28" s="406">
        <f>'[2]Com Forecast (Base Case)'!AX202</f>
        <v>124.48911040852005</v>
      </c>
      <c r="T28" s="406">
        <f>'[2]Com Forecast (Base Case)'!AY202</f>
        <v>124.1903365435396</v>
      </c>
      <c r="U28" s="406">
        <f>'[2]Com Forecast (Base Case)'!AZ202</f>
        <v>123.8922797358351</v>
      </c>
      <c r="V28" s="406">
        <f>'[2]Com Forecast (Base Case)'!BA202</f>
        <v>123.59493826446912</v>
      </c>
      <c r="W28" s="406">
        <f>'[2]Com Forecast (Base Case)'!BB202</f>
        <v>123.29831041263438</v>
      </c>
      <c r="X28" s="406">
        <f>'[2]Com Forecast (Base Case)'!BC202</f>
        <v>123.00239446764408</v>
      </c>
      <c r="Z28" s="101">
        <f t="shared" si="2"/>
        <v>123.00239446764408</v>
      </c>
    </row>
    <row r="29" spans="1:26">
      <c r="A29" s="19"/>
      <c r="B29" s="19" t="s">
        <v>736</v>
      </c>
      <c r="D29" s="19" t="s">
        <v>238</v>
      </c>
      <c r="E29" s="406">
        <f>'[2]Com Forecast (Base Case)'!AJ203</f>
        <v>375.90224900649127</v>
      </c>
      <c r="F29" s="406">
        <f>'[2]Com Forecast (Base Case)'!AK203</f>
        <v>374.21570091594884</v>
      </c>
      <c r="G29" s="406">
        <f>'[2]Com Forecast (Base Case)'!AL203</f>
        <v>372.53671980450594</v>
      </c>
      <c r="H29" s="406">
        <f>'[2]Com Forecast (Base Case)'!AM203</f>
        <v>370.86527172164978</v>
      </c>
      <c r="I29" s="406">
        <f>'[2]Com Forecast (Base Case)'!AN203</f>
        <v>369.20132286919198</v>
      </c>
      <c r="J29" s="406">
        <f>'[2]Com Forecast (Base Case)'!AO203</f>
        <v>367.54483960058553</v>
      </c>
      <c r="K29" s="406">
        <f>'[2]Com Forecast (Base Case)'!AP203</f>
        <v>365.89578842024423</v>
      </c>
      <c r="L29" s="406">
        <f>'[2]Com Forecast (Base Case)'!AQ203</f>
        <v>364.25413598286536</v>
      </c>
      <c r="M29" s="406">
        <f>'[2]Com Forecast (Base Case)'!AR203</f>
        <v>362.6198490927556</v>
      </c>
      <c r="N29" s="406">
        <f>'[2]Com Forecast (Base Case)'!AS203</f>
        <v>360.99289470315949</v>
      </c>
      <c r="O29" s="406">
        <f>'[2]Com Forecast (Base Case)'!AT203</f>
        <v>359.37323991559134</v>
      </c>
      <c r="P29" s="406">
        <f>'[2]Com Forecast (Base Case)'!AU203</f>
        <v>357.76085197917007</v>
      </c>
      <c r="Q29" s="406">
        <f>'[2]Com Forecast (Base Case)'!AV203</f>
        <v>356.15569828995689</v>
      </c>
      <c r="R29" s="406">
        <f>'[2]Com Forecast (Base Case)'!AW203</f>
        <v>354.55774639029596</v>
      </c>
      <c r="S29" s="406">
        <f>'[2]Com Forecast (Base Case)'!AX203</f>
        <v>352.96696396815821</v>
      </c>
      <c r="T29" s="406">
        <f>'[2]Com Forecast (Base Case)'!AY203</f>
        <v>351.38331885648773</v>
      </c>
      <c r="U29" s="406">
        <f>'[2]Com Forecast (Base Case)'!AZ203</f>
        <v>349.80677903255156</v>
      </c>
      <c r="V29" s="406">
        <f>'[2]Com Forecast (Base Case)'!BA203</f>
        <v>348.23731261729228</v>
      </c>
      <c r="W29" s="406">
        <f>'[2]Com Forecast (Base Case)'!BB203</f>
        <v>346.67488787468267</v>
      </c>
      <c r="X29" s="406">
        <f>'[2]Com Forecast (Base Case)'!BC203</f>
        <v>345.11947321108494</v>
      </c>
      <c r="Z29" s="101">
        <f t="shared" si="2"/>
        <v>345.11947321108494</v>
      </c>
    </row>
    <row r="30" spans="1:26">
      <c r="A30" s="19"/>
      <c r="B30" s="19" t="s">
        <v>737</v>
      </c>
      <c r="D30" s="19" t="s">
        <v>248</v>
      </c>
      <c r="E30" s="406">
        <f>'[2]Com Forecast (Base Case)'!AJ204</f>
        <v>342.64988330108076</v>
      </c>
      <c r="F30" s="406">
        <f>'[2]Com Forecast (Base Case)'!AK204</f>
        <v>339.56603435137106</v>
      </c>
      <c r="G30" s="406">
        <f>'[2]Com Forecast (Base Case)'!AL204</f>
        <v>336.50994004220871</v>
      </c>
      <c r="H30" s="406">
        <f>'[2]Com Forecast (Base Case)'!AM204</f>
        <v>333.48135058182885</v>
      </c>
      <c r="I30" s="406">
        <f>'[2]Com Forecast (Base Case)'!AN204</f>
        <v>330.48001842659238</v>
      </c>
      <c r="J30" s="406">
        <f>'[2]Com Forecast (Base Case)'!AO204</f>
        <v>327.50569826075304</v>
      </c>
      <c r="K30" s="406">
        <f>'[2]Com Forecast (Base Case)'!AP204</f>
        <v>324.55814697640625</v>
      </c>
      <c r="L30" s="406">
        <f>'[2]Com Forecast (Base Case)'!AQ204</f>
        <v>321.63712365361863</v>
      </c>
      <c r="M30" s="406">
        <f>'[2]Com Forecast (Base Case)'!AR204</f>
        <v>318.7423895407361</v>
      </c>
      <c r="N30" s="406">
        <f>'[2]Com Forecast (Base Case)'!AS204</f>
        <v>315.87370803486942</v>
      </c>
      <c r="O30" s="406">
        <f>'[2]Com Forecast (Base Case)'!AT204</f>
        <v>313.03084466255564</v>
      </c>
      <c r="P30" s="406">
        <f>'[2]Com Forecast (Base Case)'!AU204</f>
        <v>310.21356706059254</v>
      </c>
      <c r="Q30" s="406">
        <f>'[2]Com Forecast (Base Case)'!AV204</f>
        <v>307.42164495704725</v>
      </c>
      <c r="R30" s="406">
        <f>'[2]Com Forecast (Base Case)'!AW204</f>
        <v>304.65485015243382</v>
      </c>
      <c r="S30" s="406">
        <f>'[2]Com Forecast (Base Case)'!AX204</f>
        <v>301.9129565010619</v>
      </c>
      <c r="T30" s="406">
        <f>'[2]Com Forecast (Base Case)'!AY204</f>
        <v>299.19573989255235</v>
      </c>
      <c r="U30" s="406">
        <f>'[2]Com Forecast (Base Case)'!AZ204</f>
        <v>296.50297823351934</v>
      </c>
      <c r="V30" s="406">
        <f>'[2]Com Forecast (Base Case)'!BA204</f>
        <v>293.83445142941764</v>
      </c>
      <c r="W30" s="406">
        <f>'[2]Com Forecast (Base Case)'!BB204</f>
        <v>291.18994136655289</v>
      </c>
      <c r="X30" s="406">
        <f>'[2]Com Forecast (Base Case)'!BC204</f>
        <v>288.5692318942539</v>
      </c>
      <c r="Z30" s="101">
        <f t="shared" si="2"/>
        <v>288.5692318942539</v>
      </c>
    </row>
    <row r="31" spans="1:26">
      <c r="A31" s="19"/>
      <c r="B31" s="19"/>
      <c r="D31" s="19"/>
      <c r="E31" s="406"/>
      <c r="F31" s="406"/>
      <c r="G31" s="406"/>
      <c r="H31" s="406"/>
      <c r="I31" s="406"/>
      <c r="J31" s="406"/>
      <c r="K31" s="406"/>
      <c r="L31" s="406"/>
      <c r="M31" s="406"/>
      <c r="N31" s="406"/>
      <c r="O31" s="406"/>
      <c r="P31" s="406"/>
      <c r="Q31" s="406"/>
      <c r="R31" s="406"/>
      <c r="S31" s="406"/>
      <c r="T31" s="406"/>
      <c r="U31" s="406"/>
      <c r="V31" s="406"/>
      <c r="W31" s="406"/>
      <c r="X31" s="406"/>
      <c r="Z31" s="101"/>
    </row>
    <row r="32" spans="1:26">
      <c r="A32" s="19"/>
      <c r="B32" s="407"/>
      <c r="C32" s="19"/>
      <c r="D32" s="19" t="s">
        <v>636</v>
      </c>
      <c r="E32" s="408">
        <f>SUM(E13:E30)</f>
        <v>3371.0405269479006</v>
      </c>
      <c r="F32" s="408">
        <f t="shared" ref="F32:X32" si="3">SUM(F13:F30)</f>
        <v>3356.5369104716883</v>
      </c>
      <c r="G32" s="408">
        <f t="shared" si="3"/>
        <v>3342.1075656435023</v>
      </c>
      <c r="H32" s="408">
        <f t="shared" si="3"/>
        <v>3327.7520346049623</v>
      </c>
      <c r="I32" s="408">
        <f t="shared" si="3"/>
        <v>3313.4698627952139</v>
      </c>
      <c r="J32" s="408">
        <f t="shared" si="3"/>
        <v>3299.2605989245808</v>
      </c>
      <c r="K32" s="408">
        <f t="shared" si="3"/>
        <v>3285.1237949484457</v>
      </c>
      <c r="L32" s="408">
        <f t="shared" si="3"/>
        <v>3271.0590060413433</v>
      </c>
      <c r="M32" s="408">
        <f t="shared" si="3"/>
        <v>3257.0657905712806</v>
      </c>
      <c r="N32" s="408">
        <f t="shared" si="3"/>
        <v>3243.1437100742696</v>
      </c>
      <c r="O32" s="408">
        <f t="shared" si="3"/>
        <v>3229.2923292290834</v>
      </c>
      <c r="P32" s="408">
        <f t="shared" si="3"/>
        <v>3215.5112158322117</v>
      </c>
      <c r="Q32" s="408">
        <f t="shared" si="3"/>
        <v>3201.7999407730422</v>
      </c>
      <c r="R32" s="408">
        <f t="shared" si="3"/>
        <v>3188.1580780092468</v>
      </c>
      <c r="S32" s="408">
        <f t="shared" si="3"/>
        <v>3174.5852045423726</v>
      </c>
      <c r="T32" s="408">
        <f t="shared" si="3"/>
        <v>3161.0809003936483</v>
      </c>
      <c r="U32" s="408">
        <f t="shared" si="3"/>
        <v>3147.644748579979</v>
      </c>
      <c r="V32" s="408">
        <f t="shared" si="3"/>
        <v>3134.2763350901637</v>
      </c>
      <c r="W32" s="408">
        <f t="shared" si="3"/>
        <v>3120.9752488612994</v>
      </c>
      <c r="X32" s="408">
        <f t="shared" si="3"/>
        <v>3107.74108175539</v>
      </c>
      <c r="Z32" s="101">
        <f>X32</f>
        <v>3107.74108175539</v>
      </c>
    </row>
    <row r="33" spans="1:26">
      <c r="D33" t="s">
        <v>740</v>
      </c>
      <c r="E33" s="429">
        <f>'CBSA Data'!AD23</f>
        <v>84</v>
      </c>
      <c r="F33" s="418">
        <f>E33*(F32/E32)</f>
        <v>83.638597111407364</v>
      </c>
      <c r="G33" s="418">
        <f t="shared" ref="G33:X33" si="4">F33*(G32/F32)</f>
        <v>83.279044932820824</v>
      </c>
      <c r="H33" s="418">
        <f t="shared" si="4"/>
        <v>82.921332055269289</v>
      </c>
      <c r="I33" s="418">
        <f t="shared" si="4"/>
        <v>82.565447151949812</v>
      </c>
      <c r="J33" s="418">
        <f t="shared" si="4"/>
        <v>82.211378977571073</v>
      </c>
      <c r="K33" s="418">
        <f t="shared" si="4"/>
        <v>81.859116367702512</v>
      </c>
      <c r="L33" s="418">
        <f t="shared" si="4"/>
        <v>81.508648238128799</v>
      </c>
      <c r="M33" s="418">
        <f t="shared" si="4"/>
        <v>81.159963584209947</v>
      </c>
      <c r="N33" s="418">
        <f t="shared" si="4"/>
        <v>80.813051480246685</v>
      </c>
      <c r="O33" s="418">
        <f t="shared" si="4"/>
        <v>80.467901078851455</v>
      </c>
      <c r="P33" s="418">
        <f t="shared" si="4"/>
        <v>80.124501610324359</v>
      </c>
      <c r="Q33" s="418">
        <f t="shared" si="4"/>
        <v>79.782842382034673</v>
      </c>
      <c r="R33" s="418">
        <f t="shared" si="4"/>
        <v>79.442912777807607</v>
      </c>
      <c r="S33" s="418">
        <f t="shared" si="4"/>
        <v>79.104702257315978</v>
      </c>
      <c r="T33" s="418">
        <f t="shared" si="4"/>
        <v>78.768200355477418</v>
      </c>
      <c r="U33" s="418">
        <f t="shared" si="4"/>
        <v>78.433396681856181</v>
      </c>
      <c r="V33" s="418">
        <f t="shared" si="4"/>
        <v>78.100280920070546</v>
      </c>
      <c r="W33" s="418">
        <f t="shared" si="4"/>
        <v>77.76884282720485</v>
      </c>
      <c r="X33" s="418">
        <f t="shared" si="4"/>
        <v>77.439072233226597</v>
      </c>
      <c r="Z33" s="101">
        <f>X33</f>
        <v>77.439072233226597</v>
      </c>
    </row>
    <row r="34" spans="1:26">
      <c r="E34" s="409"/>
      <c r="F34" s="410"/>
      <c r="G34" s="410"/>
      <c r="H34" s="410"/>
      <c r="I34" s="410"/>
      <c r="J34" s="410"/>
      <c r="K34" s="410"/>
      <c r="L34" s="410"/>
      <c r="M34" s="410"/>
      <c r="N34" s="410"/>
      <c r="O34" s="410"/>
      <c r="P34" s="410"/>
      <c r="Q34" s="410"/>
      <c r="R34" s="410"/>
      <c r="S34" s="410"/>
      <c r="T34" s="410"/>
      <c r="U34" s="410"/>
      <c r="V34" s="410"/>
      <c r="W34" s="410"/>
      <c r="X34" s="410"/>
    </row>
    <row r="35" spans="1:26">
      <c r="A35" s="434" t="s">
        <v>716</v>
      </c>
      <c r="B35" s="434" t="s">
        <v>713</v>
      </c>
    </row>
    <row r="36" spans="1:26" ht="15">
      <c r="A36" s="86" t="s">
        <v>181</v>
      </c>
      <c r="B36" s="86"/>
      <c r="C36" s="86"/>
      <c r="D36" s="19" t="s">
        <v>182</v>
      </c>
      <c r="Y36" s="19"/>
      <c r="Z36" s="19"/>
    </row>
    <row r="37" spans="1:26" ht="15">
      <c r="A37" s="72" t="s">
        <v>183</v>
      </c>
      <c r="B37" s="72" t="s">
        <v>746</v>
      </c>
      <c r="C37" s="72" t="s">
        <v>185</v>
      </c>
      <c r="D37" s="72" t="str">
        <f>$C$8</f>
        <v>Secondary Glazing Systems-Retro</v>
      </c>
      <c r="E37" s="65">
        <f t="shared" ref="E37:X37" si="5">E11</f>
        <v>2016</v>
      </c>
      <c r="F37" s="65">
        <f t="shared" si="5"/>
        <v>2017</v>
      </c>
      <c r="G37" s="65">
        <f t="shared" si="5"/>
        <v>2018</v>
      </c>
      <c r="H37" s="65">
        <f t="shared" si="5"/>
        <v>2019</v>
      </c>
      <c r="I37" s="65">
        <f t="shared" si="5"/>
        <v>2020</v>
      </c>
      <c r="J37" s="65">
        <f t="shared" si="5"/>
        <v>2021</v>
      </c>
      <c r="K37" s="65">
        <f t="shared" si="5"/>
        <v>2022</v>
      </c>
      <c r="L37" s="65">
        <f t="shared" si="5"/>
        <v>2023</v>
      </c>
      <c r="M37" s="65">
        <f t="shared" si="5"/>
        <v>2024</v>
      </c>
      <c r="N37" s="65">
        <f t="shared" si="5"/>
        <v>2025</v>
      </c>
      <c r="O37" s="65">
        <f t="shared" si="5"/>
        <v>2026</v>
      </c>
      <c r="P37" s="65">
        <f t="shared" si="5"/>
        <v>2027</v>
      </c>
      <c r="Q37" s="65">
        <f t="shared" si="5"/>
        <v>2028</v>
      </c>
      <c r="R37" s="65">
        <f t="shared" si="5"/>
        <v>2029</v>
      </c>
      <c r="S37" s="65">
        <f t="shared" si="5"/>
        <v>2030</v>
      </c>
      <c r="T37" s="65">
        <f t="shared" si="5"/>
        <v>2031</v>
      </c>
      <c r="U37" s="65">
        <f t="shared" si="5"/>
        <v>2032</v>
      </c>
      <c r="V37" s="65">
        <f t="shared" si="5"/>
        <v>2033</v>
      </c>
      <c r="W37" s="65">
        <f t="shared" si="5"/>
        <v>2034</v>
      </c>
      <c r="X37" s="65">
        <f t="shared" si="5"/>
        <v>2035</v>
      </c>
      <c r="Y37" s="70" t="s">
        <v>71</v>
      </c>
      <c r="Z37" s="70" t="s">
        <v>180</v>
      </c>
    </row>
    <row r="38" spans="1:26" ht="15">
      <c r="A38" s="411">
        <f>VLOOKUP($D38,MMap!$B$5:$AI$44,MATCH('SC-Retro'!A$35,MMap!$B$5:$AF$5,0),FALSE)</f>
        <v>0.51610991289733787</v>
      </c>
      <c r="B38" s="411">
        <f>VLOOKUP($D38,MMap!$B$5:$AI$44,MATCH(B$35,MMap!$B$5:$AF$5,0),FALSE)</f>
        <v>0.30875837673248302</v>
      </c>
      <c r="C38" s="412">
        <v>1</v>
      </c>
      <c r="D38" t="s">
        <v>527</v>
      </c>
      <c r="E38" s="101">
        <f>E$33*$A38*$B38*$C38</f>
        <v>13.385673749424921</v>
      </c>
      <c r="F38" s="101">
        <f t="shared" ref="F38:X52" si="6">F$33*$A38*$B38*$C38</f>
        <v>13.328083021343959</v>
      </c>
      <c r="G38" s="101">
        <f t="shared" si="6"/>
        <v>13.270787209933786</v>
      </c>
      <c r="H38" s="101">
        <f t="shared" si="6"/>
        <v>13.213784497137683</v>
      </c>
      <c r="I38" s="101">
        <f t="shared" si="6"/>
        <v>13.157073077992679</v>
      </c>
      <c r="J38" s="101">
        <f t="shared" si="6"/>
        <v>13.100651160524961</v>
      </c>
      <c r="K38" s="101">
        <f t="shared" si="6"/>
        <v>13.044516965646135</v>
      </c>
      <c r="L38" s="101">
        <f t="shared" si="6"/>
        <v>12.988668727050364</v>
      </c>
      <c r="M38" s="101">
        <f t="shared" si="6"/>
        <v>12.933104691112399</v>
      </c>
      <c r="N38" s="101">
        <f t="shared" si="6"/>
        <v>12.877823116786463</v>
      </c>
      <c r="O38" s="101">
        <f t="shared" si="6"/>
        <v>12.82282227550599</v>
      </c>
      <c r="P38" s="101">
        <f t="shared" si="6"/>
        <v>12.768100451084209</v>
      </c>
      <c r="Q38" s="101">
        <f t="shared" si="6"/>
        <v>12.713655939615567</v>
      </c>
      <c r="R38" s="101">
        <f t="shared" si="6"/>
        <v>12.659487049378011</v>
      </c>
      <c r="S38" s="101">
        <f t="shared" si="6"/>
        <v>12.605592100736056</v>
      </c>
      <c r="T38" s="101">
        <f t="shared" si="6"/>
        <v>12.551969426044725</v>
      </c>
      <c r="U38" s="101">
        <f t="shared" si="6"/>
        <v>12.498617369554214</v>
      </c>
      <c r="V38" s="101">
        <f t="shared" si="6"/>
        <v>12.44553428731548</v>
      </c>
      <c r="W38" s="101">
        <f t="shared" si="6"/>
        <v>12.392718547086529</v>
      </c>
      <c r="X38" s="101">
        <f t="shared" si="6"/>
        <v>12.340168528239543</v>
      </c>
      <c r="Y38" s="435">
        <f>$Z$33*B38*$A38*$Y$12</f>
        <v>10.489143249003609</v>
      </c>
      <c r="Z38" s="413">
        <f>SUM(E38:X38)</f>
        <v>257.09883219151368</v>
      </c>
    </row>
    <row r="39" spans="1:26" ht="15">
      <c r="A39" s="411">
        <f>VLOOKUP($D39,MMap!$B$5:$AI$44,MATCH('SC-Retro'!A$35,MMap!$B$5:$AF$5,0),FALSE)</f>
        <v>0.51610991289733787</v>
      </c>
      <c r="B39" s="411">
        <f>VLOOKUP($D39,MMap!$B$5:$AI$44,MATCH(B$35,MMap!$B$5:$AF$5,0),FALSE)</f>
        <v>6.9861436709981212E-2</v>
      </c>
      <c r="C39" s="412">
        <v>1</v>
      </c>
      <c r="D39" t="s">
        <v>525</v>
      </c>
      <c r="E39" s="101">
        <f t="shared" ref="E39:T58" si="7">E$33*$A39*$B39*$C39</f>
        <v>3.028719121282788</v>
      </c>
      <c r="F39" s="101">
        <f t="shared" si="7"/>
        <v>3.0156883136736532</v>
      </c>
      <c r="G39" s="101">
        <f t="shared" si="7"/>
        <v>3.0027242355976536</v>
      </c>
      <c r="H39" s="101">
        <f t="shared" si="7"/>
        <v>2.9898264756908746</v>
      </c>
      <c r="I39" s="101">
        <f t="shared" si="7"/>
        <v>2.9769946255520701</v>
      </c>
      <c r="J39" s="101">
        <f t="shared" si="7"/>
        <v>2.9642282797189918</v>
      </c>
      <c r="K39" s="101">
        <f t="shared" si="7"/>
        <v>2.9515270356449221</v>
      </c>
      <c r="L39" s="101">
        <f t="shared" si="7"/>
        <v>2.9388904936753968</v>
      </c>
      <c r="M39" s="101">
        <f t="shared" si="7"/>
        <v>2.926318257025136</v>
      </c>
      <c r="N39" s="101">
        <f t="shared" si="7"/>
        <v>2.9138099317551602</v>
      </c>
      <c r="O39" s="101">
        <f t="shared" si="7"/>
        <v>2.9013651267501106</v>
      </c>
      <c r="P39" s="101">
        <f t="shared" si="7"/>
        <v>2.888983453695749</v>
      </c>
      <c r="Q39" s="101">
        <f t="shared" si="7"/>
        <v>2.8766645270566578</v>
      </c>
      <c r="R39" s="101">
        <f t="shared" si="7"/>
        <v>2.8644079640541267</v>
      </c>
      <c r="S39" s="101">
        <f t="shared" si="7"/>
        <v>2.8522133846442217</v>
      </c>
      <c r="T39" s="101">
        <f t="shared" si="7"/>
        <v>2.8400804114960496</v>
      </c>
      <c r="U39" s="101">
        <f t="shared" si="6"/>
        <v>2.8280086699701878</v>
      </c>
      <c r="V39" s="101">
        <f t="shared" si="6"/>
        <v>2.815997788097321</v>
      </c>
      <c r="W39" s="101">
        <f t="shared" si="6"/>
        <v>2.8040473965570372</v>
      </c>
      <c r="X39" s="101">
        <f t="shared" si="6"/>
        <v>2.7921571286568145</v>
      </c>
      <c r="Y39" s="435">
        <f t="shared" ref="Y39:Y58" si="8">$Z$33*B39*$A39*$Y$12</f>
        <v>2.3733335593582923</v>
      </c>
      <c r="Z39" s="413"/>
    </row>
    <row r="40" spans="1:26" ht="15">
      <c r="A40" s="411">
        <f>VLOOKUP($D40,MMap!$B$5:$AI$44,MATCH('SC-Retro'!A$35,MMap!$B$5:$AF$5,0),FALSE)</f>
        <v>0.51610991289733787</v>
      </c>
      <c r="B40" s="411">
        <f>VLOOKUP($D40,MMap!$B$5:$AI$44,MATCH(B$35,MMap!$B$5:$AF$5,0),FALSE)</f>
        <v>1.3478022272303979E-2</v>
      </c>
      <c r="C40" s="412">
        <v>1</v>
      </c>
      <c r="D40" t="s">
        <v>526</v>
      </c>
      <c r="E40" s="101">
        <f t="shared" si="7"/>
        <v>0.58431583568292367</v>
      </c>
      <c r="F40" s="101">
        <f t="shared" si="6"/>
        <v>0.58180186626784958</v>
      </c>
      <c r="G40" s="101">
        <f t="shared" si="6"/>
        <v>0.57930077065234464</v>
      </c>
      <c r="H40" s="101">
        <f t="shared" si="6"/>
        <v>0.57681246947399856</v>
      </c>
      <c r="I40" s="101">
        <f t="shared" si="6"/>
        <v>0.57433688394197402</v>
      </c>
      <c r="J40" s="101">
        <f t="shared" si="6"/>
        <v>0.57187393583244028</v>
      </c>
      <c r="K40" s="101">
        <f t="shared" si="6"/>
        <v>0.56942354748404511</v>
      </c>
      <c r="L40" s="101">
        <f t="shared" si="6"/>
        <v>0.56698564179342492</v>
      </c>
      <c r="M40" s="101">
        <f t="shared" si="6"/>
        <v>0.56456014221075335</v>
      </c>
      <c r="N40" s="101">
        <f t="shared" si="6"/>
        <v>0.5621469727353271</v>
      </c>
      <c r="O40" s="101">
        <f t="shared" si="6"/>
        <v>0.55974605791118959</v>
      </c>
      <c r="P40" s="101">
        <f t="shared" si="6"/>
        <v>0.55735732282279093</v>
      </c>
      <c r="Q40" s="101">
        <f t="shared" si="6"/>
        <v>0.55498069309068543</v>
      </c>
      <c r="R40" s="101">
        <f t="shared" si="6"/>
        <v>0.55261609486726515</v>
      </c>
      <c r="S40" s="101">
        <f t="shared" si="6"/>
        <v>0.55026345483252903</v>
      </c>
      <c r="T40" s="101">
        <f t="shared" si="6"/>
        <v>0.54792270018988998</v>
      </c>
      <c r="U40" s="101">
        <f t="shared" si="6"/>
        <v>0.54559375866201243</v>
      </c>
      <c r="V40" s="101">
        <f t="shared" si="6"/>
        <v>0.54327655848669187</v>
      </c>
      <c r="W40" s="101">
        <f t="shared" si="6"/>
        <v>0.54097102841276368</v>
      </c>
      <c r="X40" s="101">
        <f t="shared" si="6"/>
        <v>0.53867709769604866</v>
      </c>
      <c r="Y40" s="435">
        <f t="shared" si="8"/>
        <v>0.45787553304164136</v>
      </c>
      <c r="Z40" s="413"/>
    </row>
    <row r="41" spans="1:26" ht="15">
      <c r="A41" s="411">
        <f>VLOOKUP($D41,MMap!$B$5:$AI$44,MATCH('SC-Retro'!A$35,MMap!$B$5:$AF$5,0),FALSE)</f>
        <v>0.51610991289733787</v>
      </c>
      <c r="B41" s="411">
        <f>VLOOKUP($D41,MMap!$B$5:$AI$44,MATCH(B$35,MMap!$B$5:$AF$5,0),FALSE)</f>
        <v>0.15112697139254835</v>
      </c>
      <c r="C41" s="412">
        <v>1</v>
      </c>
      <c r="D41" t="s">
        <v>523</v>
      </c>
      <c r="E41" s="101">
        <f t="shared" si="7"/>
        <v>6.5518427555151151</v>
      </c>
      <c r="F41" s="101">
        <f t="shared" si="6"/>
        <v>6.5236540067359732</v>
      </c>
      <c r="G41" s="101">
        <f t="shared" si="6"/>
        <v>6.4956096098728553</v>
      </c>
      <c r="H41" s="101">
        <f t="shared" si="6"/>
        <v>6.4677086750473727</v>
      </c>
      <c r="I41" s="101">
        <f t="shared" si="6"/>
        <v>6.4399503187901006</v>
      </c>
      <c r="J41" s="101">
        <f t="shared" si="6"/>
        <v>6.4123336639893642</v>
      </c>
      <c r="K41" s="101">
        <f t="shared" si="6"/>
        <v>6.3848578398404818</v>
      </c>
      <c r="L41" s="101">
        <f t="shared" si="6"/>
        <v>6.3575219817954052</v>
      </c>
      <c r="M41" s="101">
        <f t="shared" si="6"/>
        <v>6.3303252315128145</v>
      </c>
      <c r="N41" s="101">
        <f t="shared" si="6"/>
        <v>6.3032667368086228</v>
      </c>
      <c r="O41" s="101">
        <f t="shared" si="6"/>
        <v>6.2763456516069018</v>
      </c>
      <c r="P41" s="101">
        <f t="shared" si="6"/>
        <v>6.2495611358912235</v>
      </c>
      <c r="Q41" s="101">
        <f t="shared" si="6"/>
        <v>6.2229123556564065</v>
      </c>
      <c r="R41" s="101">
        <f t="shared" si="6"/>
        <v>6.1963984828606895</v>
      </c>
      <c r="S41" s="101">
        <f t="shared" si="6"/>
        <v>6.1700186953782836</v>
      </c>
      <c r="T41" s="101">
        <f t="shared" si="6"/>
        <v>6.1437721769523552</v>
      </c>
      <c r="U41" s="101">
        <f t="shared" si="6"/>
        <v>6.1176581171483644</v>
      </c>
      <c r="V41" s="101">
        <f t="shared" si="6"/>
        <v>6.0916757113078521</v>
      </c>
      <c r="W41" s="101">
        <f t="shared" si="6"/>
        <v>6.0658241605025678</v>
      </c>
      <c r="X41" s="101">
        <f t="shared" si="6"/>
        <v>6.0401026714890165</v>
      </c>
      <c r="Y41" s="435">
        <f t="shared" si="8"/>
        <v>5.1340872707656642</v>
      </c>
      <c r="Z41" s="413"/>
    </row>
    <row r="42" spans="1:26" ht="15">
      <c r="A42" s="411">
        <f>VLOOKUP($D42,MMap!$B$5:$AI$44,MATCH('SC-Retro'!A$35,MMap!$B$5:$AF$5,0),FALSE)</f>
        <v>0.51610991289733787</v>
      </c>
      <c r="B42" s="411">
        <f>VLOOKUP($D42,MMap!$B$5:$AI$44,MATCH(B$35,MMap!$B$5:$AF$5,0),FALSE)</f>
        <v>3.4194853136759948E-2</v>
      </c>
      <c r="C42" s="412">
        <v>1</v>
      </c>
      <c r="D42" t="s">
        <v>516</v>
      </c>
      <c r="E42" s="101">
        <f t="shared" si="7"/>
        <v>1.4824574246118367</v>
      </c>
      <c r="F42" s="101">
        <f t="shared" si="6"/>
        <v>1.4760792770467139</v>
      </c>
      <c r="G42" s="101">
        <f t="shared" si="6"/>
        <v>1.4697337913719404</v>
      </c>
      <c r="H42" s="101">
        <f t="shared" si="6"/>
        <v>1.463420766238541</v>
      </c>
      <c r="I42" s="101">
        <f t="shared" si="6"/>
        <v>1.4571400017476694</v>
      </c>
      <c r="J42" s="101">
        <f t="shared" si="6"/>
        <v>1.4508912994390202</v>
      </c>
      <c r="K42" s="101">
        <f t="shared" si="6"/>
        <v>1.4446744622793444</v>
      </c>
      <c r="L42" s="101">
        <f t="shared" si="6"/>
        <v>1.4384892946510541</v>
      </c>
      <c r="M42" s="101">
        <f t="shared" si="6"/>
        <v>1.4323356023409324</v>
      </c>
      <c r="N42" s="101">
        <f t="shared" si="6"/>
        <v>1.4262131925289321</v>
      </c>
      <c r="O42" s="101">
        <f t="shared" si="6"/>
        <v>1.4201218737770733</v>
      </c>
      <c r="P42" s="101">
        <f t="shared" si="6"/>
        <v>1.4140614560184335</v>
      </c>
      <c r="Q42" s="101">
        <f t="shared" si="6"/>
        <v>1.408031750546229</v>
      </c>
      <c r="R42" s="101">
        <f t="shared" si="6"/>
        <v>1.4020325700029934</v>
      </c>
      <c r="S42" s="101">
        <f t="shared" si="6"/>
        <v>1.3960637283698427</v>
      </c>
      <c r="T42" s="101">
        <f t="shared" si="6"/>
        <v>1.3901250409558359</v>
      </c>
      <c r="U42" s="101">
        <f t="shared" si="6"/>
        <v>1.3842163243874177</v>
      </c>
      <c r="V42" s="101">
        <f t="shared" si="6"/>
        <v>1.3783373965979615</v>
      </c>
      <c r="W42" s="101">
        <f t="shared" si="6"/>
        <v>1.3724880768173906</v>
      </c>
      <c r="X42" s="101">
        <f t="shared" si="6"/>
        <v>1.3666681855618941</v>
      </c>
      <c r="Y42" s="435">
        <f t="shared" si="8"/>
        <v>1.1616679577276099</v>
      </c>
      <c r="Z42" s="413"/>
    </row>
    <row r="43" spans="1:26" ht="15">
      <c r="A43" s="411">
        <f>VLOOKUP($D43,MMap!$B$5:$AI$44,MATCH('SC-Retro'!A$35,MMap!$B$5:$AF$5,0),FALSE)</f>
        <v>0.51610991289733787</v>
      </c>
      <c r="B43" s="411">
        <f>VLOOKUP($D43,MMap!$B$5:$AI$44,MATCH(B$35,MMap!$B$5:$AF$5,0),FALSE)</f>
        <v>6.5970442905244134E-3</v>
      </c>
      <c r="C43" s="412">
        <v>1</v>
      </c>
      <c r="D43" t="s">
        <v>520</v>
      </c>
      <c r="E43" s="101">
        <f t="shared" si="7"/>
        <v>0.28600319614964459</v>
      </c>
      <c r="F43" s="101">
        <f t="shared" si="6"/>
        <v>0.28477269161113017</v>
      </c>
      <c r="G43" s="101">
        <f t="shared" si="6"/>
        <v>0.28354848836995972</v>
      </c>
      <c r="H43" s="101">
        <f t="shared" si="6"/>
        <v>0.28233054758086895</v>
      </c>
      <c r="I43" s="101">
        <f t="shared" si="6"/>
        <v>0.28111883067835969</v>
      </c>
      <c r="J43" s="101">
        <f t="shared" si="6"/>
        <v>0.27991329937446457</v>
      </c>
      <c r="K43" s="101">
        <f t="shared" si="6"/>
        <v>0.27871391565653097</v>
      </c>
      <c r="L43" s="101">
        <f t="shared" si="6"/>
        <v>0.277520641785023</v>
      </c>
      <c r="M43" s="101">
        <f t="shared" si="6"/>
        <v>0.27633344029134294</v>
      </c>
      <c r="N43" s="101">
        <f t="shared" si="6"/>
        <v>0.27515227397567044</v>
      </c>
      <c r="O43" s="101">
        <f t="shared" si="6"/>
        <v>0.27397710590482077</v>
      </c>
      <c r="P43" s="101">
        <f t="shared" si="6"/>
        <v>0.27280789941012035</v>
      </c>
      <c r="Q43" s="101">
        <f t="shared" si="6"/>
        <v>0.27164461808530044</v>
      </c>
      <c r="R43" s="101">
        <f t="shared" si="6"/>
        <v>0.2704872257844097</v>
      </c>
      <c r="S43" s="101">
        <f t="shared" si="6"/>
        <v>0.2693356866197425</v>
      </c>
      <c r="T43" s="101">
        <f t="shared" si="6"/>
        <v>0.26818996495978703</v>
      </c>
      <c r="U43" s="101">
        <f t="shared" si="6"/>
        <v>0.26705002542718803</v>
      </c>
      <c r="V43" s="101">
        <f t="shared" si="6"/>
        <v>0.26591583289672949</v>
      </c>
      <c r="W43" s="101">
        <f t="shared" si="6"/>
        <v>0.26478735249333268</v>
      </c>
      <c r="X43" s="101">
        <f t="shared" si="6"/>
        <v>0.26366454959007141</v>
      </c>
      <c r="Y43" s="435">
        <f t="shared" si="8"/>
        <v>0.22411486715156068</v>
      </c>
      <c r="Z43" s="413"/>
    </row>
    <row r="44" spans="1:26" ht="15">
      <c r="A44" s="411">
        <f>VLOOKUP($D44,MMap!$B$5:$AI$44,MATCH('SC-Retro'!A$35,MMap!$B$5:$AF$5,0),FALSE)</f>
        <v>0.51610991289733787</v>
      </c>
      <c r="B44" s="411">
        <f>VLOOKUP($D44,MMap!$B$5:$AI$44,MATCH(B$35,MMap!$B$5:$AF$5,0),FALSE)</f>
        <v>3.1414062941924809E-2</v>
      </c>
      <c r="C44" s="412">
        <v>1</v>
      </c>
      <c r="D44" t="s">
        <v>511</v>
      </c>
      <c r="E44" s="101">
        <f t="shared" si="7"/>
        <v>1.3619011802514975</v>
      </c>
      <c r="F44" s="101">
        <f t="shared" si="6"/>
        <v>1.3560417157214901</v>
      </c>
      <c r="G44" s="101">
        <f t="shared" si="6"/>
        <v>1.3502122569550734</v>
      </c>
      <c r="H44" s="101">
        <f t="shared" si="6"/>
        <v>1.344412618977352</v>
      </c>
      <c r="I44" s="101">
        <f t="shared" si="6"/>
        <v>1.3386426181456319</v>
      </c>
      <c r="J44" s="101">
        <f t="shared" si="6"/>
        <v>1.3329020721387759</v>
      </c>
      <c r="K44" s="101">
        <f t="shared" si="6"/>
        <v>1.3271907999466515</v>
      </c>
      <c r="L44" s="101">
        <f t="shared" si="6"/>
        <v>1.3215086218596637</v>
      </c>
      <c r="M44" s="101">
        <f t="shared" si="6"/>
        <v>1.3158553594583817</v>
      </c>
      <c r="N44" s="101">
        <f t="shared" si="6"/>
        <v>1.3102308356032497</v>
      </c>
      <c r="O44" s="101">
        <f t="shared" si="6"/>
        <v>1.3046348744243874</v>
      </c>
      <c r="P44" s="101">
        <f t="shared" si="6"/>
        <v>1.2990673013114733</v>
      </c>
      <c r="Q44" s="101">
        <f t="shared" si="6"/>
        <v>1.293527942903717</v>
      </c>
      <c r="R44" s="101">
        <f t="shared" si="6"/>
        <v>1.288016627079916</v>
      </c>
      <c r="S44" s="101">
        <f t="shared" si="6"/>
        <v>1.2825331829485942</v>
      </c>
      <c r="T44" s="101">
        <f t="shared" si="6"/>
        <v>1.2770774408382275</v>
      </c>
      <c r="U44" s="101">
        <f t="shared" si="6"/>
        <v>1.2716492322875455</v>
      </c>
      <c r="V44" s="101">
        <f t="shared" si="6"/>
        <v>1.2662483900359236</v>
      </c>
      <c r="W44" s="101">
        <f t="shared" si="6"/>
        <v>1.2608747480138509</v>
      </c>
      <c r="X44" s="101">
        <f t="shared" si="6"/>
        <v>1.2555281413334793</v>
      </c>
      <c r="Y44" s="435">
        <f t="shared" si="8"/>
        <v>1.0671989201334575</v>
      </c>
      <c r="Z44" s="413"/>
    </row>
    <row r="45" spans="1:26" ht="15">
      <c r="A45" s="411">
        <f>VLOOKUP($D45,MMap!$B$5:$AI$44,MATCH('SC-Retro'!A$35,MMap!$B$5:$AF$5,0),FALSE)</f>
        <v>0.51610991289733787</v>
      </c>
      <c r="B45" s="411">
        <f>VLOOKUP($D45,MMap!$B$5:$AI$44,MATCH(B$35,MMap!$B$5:$AF$5,0),FALSE)</f>
        <v>7.1079255994474181E-3</v>
      </c>
      <c r="C45" s="412">
        <v>1</v>
      </c>
      <c r="D45" t="s">
        <v>507</v>
      </c>
      <c r="E45" s="101">
        <f t="shared" si="7"/>
        <v>0.30815155240897146</v>
      </c>
      <c r="F45" s="101">
        <f t="shared" si="6"/>
        <v>0.30682575644272259</v>
      </c>
      <c r="G45" s="101">
        <f t="shared" si="6"/>
        <v>0.30550674975220504</v>
      </c>
      <c r="H45" s="101">
        <f t="shared" si="6"/>
        <v>0.30419449048394093</v>
      </c>
      <c r="I45" s="101">
        <f t="shared" si="6"/>
        <v>0.30288893708588366</v>
      </c>
      <c r="J45" s="101">
        <f t="shared" si="6"/>
        <v>0.30159004830500957</v>
      </c>
      <c r="K45" s="101">
        <f t="shared" si="6"/>
        <v>0.30029778318493067</v>
      </c>
      <c r="L45" s="101">
        <f t="shared" si="6"/>
        <v>0.29901210106352577</v>
      </c>
      <c r="M45" s="101">
        <f t="shared" si="6"/>
        <v>0.29773296157059387</v>
      </c>
      <c r="N45" s="101">
        <f t="shared" si="6"/>
        <v>0.29646032462552557</v>
      </c>
      <c r="O45" s="101">
        <f t="shared" si="6"/>
        <v>0.29519415043499553</v>
      </c>
      <c r="P45" s="101">
        <f t="shared" si="6"/>
        <v>0.29393439949067363</v>
      </c>
      <c r="Q45" s="101">
        <f t="shared" si="6"/>
        <v>0.2926810325669556</v>
      </c>
      <c r="R45" s="101">
        <f t="shared" si="6"/>
        <v>0.29143401071871344</v>
      </c>
      <c r="S45" s="101">
        <f t="shared" si="6"/>
        <v>0.29019329527906412</v>
      </c>
      <c r="T45" s="101">
        <f t="shared" si="6"/>
        <v>0.28895884785715792</v>
      </c>
      <c r="U45" s="101">
        <f t="shared" si="6"/>
        <v>0.28773063033598395</v>
      </c>
      <c r="V45" s="101">
        <f t="shared" si="6"/>
        <v>0.28650860487019658</v>
      </c>
      <c r="W45" s="101">
        <f t="shared" si="6"/>
        <v>0.28529273388395809</v>
      </c>
      <c r="X45" s="101">
        <f t="shared" si="6"/>
        <v>0.28408298006880062</v>
      </c>
      <c r="Y45" s="435">
        <f t="shared" si="8"/>
        <v>0.24147053305848051</v>
      </c>
      <c r="Z45" s="413"/>
    </row>
    <row r="46" spans="1:26" ht="15">
      <c r="A46" s="411">
        <f>VLOOKUP($D46,MMap!$B$5:$AI$44,MATCH('SC-Retro'!A$35,MMap!$B$5:$AF$5,0),FALSE)</f>
        <v>0.51610991289733787</v>
      </c>
      <c r="B46" s="411">
        <f>VLOOKUP($D46,MMap!$B$5:$AI$44,MATCH(B$35,MMap!$B$5:$AF$5,0),FALSE)</f>
        <v>1.3712970137865015E-3</v>
      </c>
      <c r="C46" s="412">
        <v>1</v>
      </c>
      <c r="D46" t="s">
        <v>508</v>
      </c>
      <c r="E46" s="101">
        <f t="shared" si="7"/>
        <v>5.945015851670539E-2</v>
      </c>
      <c r="F46" s="101">
        <f t="shared" si="6"/>
        <v>5.919437924271459E-2</v>
      </c>
      <c r="G46" s="101">
        <f t="shared" si="6"/>
        <v>5.8939909790190814E-2</v>
      </c>
      <c r="H46" s="101">
        <f t="shared" si="6"/>
        <v>5.8686742084549083E-2</v>
      </c>
      <c r="I46" s="101">
        <f t="shared" si="6"/>
        <v>5.8434868109358065E-2</v>
      </c>
      <c r="J46" s="101">
        <f t="shared" si="6"/>
        <v>5.8184279905875491E-2</v>
      </c>
      <c r="K46" s="101">
        <f t="shared" si="6"/>
        <v>5.7934969572587466E-2</v>
      </c>
      <c r="L46" s="101">
        <f t="shared" si="6"/>
        <v>5.7686929264751628E-2</v>
      </c>
      <c r="M46" s="101">
        <f t="shared" si="6"/>
        <v>5.7440151193944265E-2</v>
      </c>
      <c r="N46" s="101">
        <f t="shared" si="6"/>
        <v>5.7194627627611176E-2</v>
      </c>
      <c r="O46" s="101">
        <f t="shared" si="6"/>
        <v>5.6950350888622471E-2</v>
      </c>
      <c r="P46" s="101">
        <f t="shared" si="6"/>
        <v>5.6707313354830945E-2</v>
      </c>
      <c r="Q46" s="101">
        <f t="shared" si="6"/>
        <v>5.6465507458634316E-2</v>
      </c>
      <c r="R46" s="101">
        <f t="shared" si="6"/>
        <v>5.6224925686541222E-2</v>
      </c>
      <c r="S46" s="101">
        <f t="shared" si="6"/>
        <v>5.5985560578740684E-2</v>
      </c>
      <c r="T46" s="101">
        <f t="shared" si="6"/>
        <v>5.5747404728675502E-2</v>
      </c>
      <c r="U46" s="101">
        <f t="shared" si="6"/>
        <v>5.5510450782618861E-2</v>
      </c>
      <c r="V46" s="101">
        <f t="shared" si="6"/>
        <v>5.5274691439254946E-2</v>
      </c>
      <c r="W46" s="101">
        <f t="shared" si="6"/>
        <v>5.5040119449262799E-2</v>
      </c>
      <c r="X46" s="101">
        <f t="shared" si="6"/>
        <v>5.4806727614903815E-2</v>
      </c>
      <c r="Y46" s="435">
        <f t="shared" si="8"/>
        <v>4.6585718472668236E-2</v>
      </c>
      <c r="Z46" s="413"/>
    </row>
    <row r="47" spans="1:26" ht="15">
      <c r="A47" s="411">
        <f>VLOOKUP($D47,MMap!$B$5:$AI$44,MATCH('SC-Retro'!A$35,MMap!$B$5:$AF$5,0),FALSE)</f>
        <v>0.51610991289733787</v>
      </c>
      <c r="B47" s="411">
        <f>VLOOKUP($D47,MMap!$B$5:$AI$44,MATCH(B$35,MMap!$B$5:$AF$5,0),FALSE)</f>
        <v>0.16427175830648058</v>
      </c>
      <c r="C47" s="412">
        <v>1</v>
      </c>
      <c r="D47" t="s">
        <v>524</v>
      </c>
      <c r="E47" s="101">
        <f t="shared" si="7"/>
        <v>7.1217117611682195</v>
      </c>
      <c r="F47" s="101">
        <f t="shared" si="6"/>
        <v>7.0910711992371445</v>
      </c>
      <c r="G47" s="101">
        <f t="shared" si="6"/>
        <v>7.0605875447253172</v>
      </c>
      <c r="H47" s="101">
        <f t="shared" si="6"/>
        <v>7.0302598303541259</v>
      </c>
      <c r="I47" s="101">
        <f t="shared" si="6"/>
        <v>7.0000870958113577</v>
      </c>
      <c r="J47" s="101">
        <f t="shared" si="6"/>
        <v>6.9700683876955427</v>
      </c>
      <c r="K47" s="101">
        <f t="shared" si="6"/>
        <v>6.9402027594607727</v>
      </c>
      <c r="L47" s="101">
        <f t="shared" si="6"/>
        <v>6.9104892713619659</v>
      </c>
      <c r="M47" s="101">
        <f t="shared" si="6"/>
        <v>6.8809269904006234</v>
      </c>
      <c r="N47" s="101">
        <f t="shared" si="6"/>
        <v>6.8515149902710197</v>
      </c>
      <c r="O47" s="101">
        <f t="shared" si="6"/>
        <v>6.8222523513068722</v>
      </c>
      <c r="P47" s="101">
        <f t="shared" si="6"/>
        <v>6.7931381604284393</v>
      </c>
      <c r="Q47" s="101">
        <f t="shared" si="6"/>
        <v>6.7641715110900789</v>
      </c>
      <c r="R47" s="101">
        <f t="shared" si="6"/>
        <v>6.735351503228256</v>
      </c>
      <c r="S47" s="101">
        <f t="shared" si="6"/>
        <v>6.7066772432099686</v>
      </c>
      <c r="T47" s="101">
        <f t="shared" si="6"/>
        <v>6.6781478437816464</v>
      </c>
      <c r="U47" s="101">
        <f t="shared" si="6"/>
        <v>6.649762424018423</v>
      </c>
      <c r="V47" s="101">
        <f t="shared" si="6"/>
        <v>6.6215201092739084</v>
      </c>
      <c r="W47" s="101">
        <f t="shared" si="6"/>
        <v>6.5934200311303277</v>
      </c>
      <c r="X47" s="101">
        <f t="shared" si="6"/>
        <v>6.5654613273491096</v>
      </c>
      <c r="Y47" s="435">
        <f t="shared" si="8"/>
        <v>5.5806421282467422</v>
      </c>
      <c r="Z47" s="413"/>
    </row>
    <row r="48" spans="1:26" ht="15">
      <c r="A48" s="411">
        <f>VLOOKUP($D48,MMap!$B$5:$AI$44,MATCH('SC-Retro'!A$35,MMap!$B$5:$AF$5,0),FALSE)</f>
        <v>0.51610991289733787</v>
      </c>
      <c r="B48" s="411">
        <f>VLOOKUP($D48,MMap!$B$5:$AI$44,MATCH(B$35,MMap!$B$5:$AF$5,0),FALSE)</f>
        <v>3.7169067824543205E-2</v>
      </c>
      <c r="C48" s="412">
        <v>1</v>
      </c>
      <c r="D48" t="s">
        <v>515</v>
      </c>
      <c r="E48" s="101">
        <f t="shared" si="7"/>
        <v>1.61139924602162</v>
      </c>
      <c r="F48" s="101">
        <f t="shared" si="6"/>
        <v>1.6044663371860461</v>
      </c>
      <c r="G48" s="101">
        <f t="shared" si="6"/>
        <v>1.5975689311208103</v>
      </c>
      <c r="H48" s="101">
        <f t="shared" si="6"/>
        <v>1.5907068089639202</v>
      </c>
      <c r="I48" s="101">
        <f t="shared" si="6"/>
        <v>1.5838797534296407</v>
      </c>
      <c r="J48" s="101">
        <f t="shared" si="6"/>
        <v>1.5770875487959009</v>
      </c>
      <c r="K48" s="101">
        <f t="shared" si="6"/>
        <v>1.5703299808918081</v>
      </c>
      <c r="L48" s="101">
        <f t="shared" si="6"/>
        <v>1.5636068370852643</v>
      </c>
      <c r="M48" s="101">
        <f t="shared" si="6"/>
        <v>1.5569179062706908</v>
      </c>
      <c r="N48" s="101">
        <f t="shared" si="6"/>
        <v>1.5502629788568556</v>
      </c>
      <c r="O48" s="101">
        <f t="shared" si="6"/>
        <v>1.5436418467548039</v>
      </c>
      <c r="P48" s="101">
        <f t="shared" si="6"/>
        <v>1.5370543033658899</v>
      </c>
      <c r="Q48" s="101">
        <f t="shared" si="6"/>
        <v>1.5305001435699097</v>
      </c>
      <c r="R48" s="101">
        <f t="shared" si="6"/>
        <v>1.5239791637133393</v>
      </c>
      <c r="S48" s="101">
        <f t="shared" si="6"/>
        <v>1.5174911615976632</v>
      </c>
      <c r="T48" s="101">
        <f t="shared" si="6"/>
        <v>1.5110359364678121</v>
      </c>
      <c r="U48" s="101">
        <f t="shared" si="6"/>
        <v>1.5046132890006865</v>
      </c>
      <c r="V48" s="101">
        <f t="shared" si="6"/>
        <v>1.4982230212937904</v>
      </c>
      <c r="W48" s="101">
        <f t="shared" si="6"/>
        <v>1.4918649368539496</v>
      </c>
      <c r="X48" s="101">
        <f t="shared" si="6"/>
        <v>1.4855388405861323</v>
      </c>
      <c r="Y48" s="435">
        <f t="shared" si="8"/>
        <v>1.2627080144982123</v>
      </c>
      <c r="Z48" s="413"/>
    </row>
    <row r="49" spans="1:26" ht="15">
      <c r="A49" s="411">
        <f>VLOOKUP($D49,MMap!$B$5:$AI$44,MATCH('SC-Retro'!A$35,MMap!$B$5:$AF$5,0),FALSE)</f>
        <v>0.51610991289733787</v>
      </c>
      <c r="B49" s="411">
        <f>VLOOKUP($D49,MMap!$B$5:$AI$44,MATCH(B$35,MMap!$B$5:$AF$5,0),FALSE)</f>
        <v>7.1708448547894918E-3</v>
      </c>
      <c r="C49" s="412">
        <v>1</v>
      </c>
      <c r="D49" t="s">
        <v>521</v>
      </c>
      <c r="E49" s="101">
        <f t="shared" si="7"/>
        <v>0.31087930552608117</v>
      </c>
      <c r="F49" s="101">
        <f t="shared" si="6"/>
        <v>0.30954177363297641</v>
      </c>
      <c r="G49" s="101">
        <f t="shared" si="6"/>
        <v>0.30821109111417433</v>
      </c>
      <c r="H49" s="101">
        <f t="shared" si="6"/>
        <v>0.30688721574571054</v>
      </c>
      <c r="I49" s="101">
        <f t="shared" si="6"/>
        <v>0.30557010560772035</v>
      </c>
      <c r="J49" s="101">
        <f t="shared" si="6"/>
        <v>0.30425971908200905</v>
      </c>
      <c r="K49" s="101">
        <f t="shared" si="6"/>
        <v>0.30295601484964307</v>
      </c>
      <c r="L49" s="101">
        <f t="shared" si="6"/>
        <v>0.30165895188856096</v>
      </c>
      <c r="M49" s="101">
        <f t="shared" si="6"/>
        <v>0.30036848947120504</v>
      </c>
      <c r="N49" s="101">
        <f t="shared" si="6"/>
        <v>0.29908458716217307</v>
      </c>
      <c r="O49" s="101">
        <f t="shared" si="6"/>
        <v>0.29780720481588974</v>
      </c>
      <c r="P49" s="101">
        <f t="shared" si="6"/>
        <v>0.29653630257429769</v>
      </c>
      <c r="Q49" s="101">
        <f t="shared" si="6"/>
        <v>0.29527184086456826</v>
      </c>
      <c r="R49" s="101">
        <f t="shared" si="6"/>
        <v>0.29401378039683179</v>
      </c>
      <c r="S49" s="101">
        <f t="shared" si="6"/>
        <v>0.2927620821619264</v>
      </c>
      <c r="T49" s="101">
        <f t="shared" si="6"/>
        <v>0.29151670742916713</v>
      </c>
      <c r="U49" s="101">
        <f t="shared" si="6"/>
        <v>0.29027761774413197</v>
      </c>
      <c r="V49" s="101">
        <f t="shared" si="6"/>
        <v>0.28904477492646879</v>
      </c>
      <c r="W49" s="101">
        <f t="shared" si="6"/>
        <v>0.28781814106771908</v>
      </c>
      <c r="X49" s="101">
        <f t="shared" si="6"/>
        <v>0.28659767852916096</v>
      </c>
      <c r="Y49" s="435">
        <f t="shared" si="8"/>
        <v>0.24360802674978682</v>
      </c>
      <c r="Z49" s="413"/>
    </row>
    <row r="50" spans="1:26" ht="15">
      <c r="A50" s="411">
        <f>VLOOKUP($D50,MMap!$B$5:$AI$44,MATCH('SC-Retro'!A$35,MMap!$B$5:$AF$5,0),FALSE)</f>
        <v>0.51610991289733787</v>
      </c>
      <c r="B50" s="411">
        <f>VLOOKUP($D50,MMap!$B$5:$AI$44,MATCH(B$35,MMap!$B$5:$AF$5,0),FALSE)</f>
        <v>3.0700181786273827E-2</v>
      </c>
      <c r="C50" s="412">
        <v>1</v>
      </c>
      <c r="D50" t="s">
        <v>522</v>
      </c>
      <c r="E50" s="101">
        <f t="shared" si="7"/>
        <v>1.3309521244022828</v>
      </c>
      <c r="F50" s="101">
        <f t="shared" si="6"/>
        <v>1.3252258155649317</v>
      </c>
      <c r="G50" s="101">
        <f t="shared" si="6"/>
        <v>1.3195288306134647</v>
      </c>
      <c r="H50" s="101">
        <f t="shared" si="6"/>
        <v>1.3138609887765211</v>
      </c>
      <c r="I50" s="101">
        <f t="shared" si="6"/>
        <v>1.3082221105846668</v>
      </c>
      <c r="J50" s="101">
        <f t="shared" si="6"/>
        <v>1.3026120178599927</v>
      </c>
      <c r="K50" s="101">
        <f t="shared" si="6"/>
        <v>1.2970305337058017</v>
      </c>
      <c r="L50" s="101">
        <f t="shared" si="6"/>
        <v>1.2914774824963799</v>
      </c>
      <c r="M50" s="101">
        <f t="shared" si="6"/>
        <v>1.2859526898668587</v>
      </c>
      <c r="N50" s="101">
        <f t="shared" si="6"/>
        <v>1.2804559827031592</v>
      </c>
      <c r="O50" s="101">
        <f t="shared" si="6"/>
        <v>1.2749871891320248</v>
      </c>
      <c r="P50" s="101">
        <f t="shared" si="6"/>
        <v>1.2695461385111348</v>
      </c>
      <c r="Q50" s="101">
        <f t="shared" si="6"/>
        <v>1.264132661419304</v>
      </c>
      <c r="R50" s="101">
        <f t="shared" si="6"/>
        <v>1.2587465896467656</v>
      </c>
      <c r="S50" s="101">
        <f t="shared" si="6"/>
        <v>1.2533877561855327</v>
      </c>
      <c r="T50" s="101">
        <f t="shared" si="6"/>
        <v>1.2480559952198491</v>
      </c>
      <c r="U50" s="101">
        <f t="shared" si="6"/>
        <v>1.2427511421167077</v>
      </c>
      <c r="V50" s="101">
        <f t="shared" si="6"/>
        <v>1.2374730334164639</v>
      </c>
      <c r="W50" s="101">
        <f t="shared" si="6"/>
        <v>1.2322215068235183</v>
      </c>
      <c r="X50" s="101">
        <f t="shared" si="6"/>
        <v>1.2269964011970806</v>
      </c>
      <c r="Y50" s="435">
        <f t="shared" si="8"/>
        <v>1.0429469410175183</v>
      </c>
      <c r="Z50" s="413"/>
    </row>
    <row r="51" spans="1:26" ht="15">
      <c r="A51" s="411">
        <f>VLOOKUP($D51,MMap!$B$5:$AI$44,MATCH('SC-Retro'!A$35,MMap!$B$5:$AF$5,0),FALSE)</f>
        <v>0.51610991289733787</v>
      </c>
      <c r="B51" s="411">
        <f>VLOOKUP($D51,MMap!$B$5:$AI$44,MATCH(B$35,MMap!$B$5:$AF$5,0),FALSE)</f>
        <v>6.9463987650931541E-3</v>
      </c>
      <c r="C51" s="412">
        <v>1</v>
      </c>
      <c r="D51" t="s">
        <v>517</v>
      </c>
      <c r="E51" s="101">
        <f t="shared" si="7"/>
        <v>0.3011488419746019</v>
      </c>
      <c r="F51" s="101">
        <f t="shared" si="6"/>
        <v>0.29985317457715011</v>
      </c>
      <c r="G51" s="101">
        <f t="shared" si="6"/>
        <v>0.29856414216987887</v>
      </c>
      <c r="H51" s="101">
        <f t="shared" si="6"/>
        <v>0.2972817038504259</v>
      </c>
      <c r="I51" s="101">
        <f t="shared" si="6"/>
        <v>0.29600581901101042</v>
      </c>
      <c r="J51" s="101">
        <f t="shared" si="6"/>
        <v>0.29473644733607923</v>
      </c>
      <c r="K51" s="101">
        <f t="shared" si="6"/>
        <v>0.29347354879997367</v>
      </c>
      <c r="L51" s="101">
        <f t="shared" si="6"/>
        <v>0.29221708366461502</v>
      </c>
      <c r="M51" s="101">
        <f t="shared" si="6"/>
        <v>0.29096701247721052</v>
      </c>
      <c r="N51" s="101">
        <f t="shared" si="6"/>
        <v>0.28972329606797825</v>
      </c>
      <c r="O51" s="101">
        <f t="shared" si="6"/>
        <v>0.28848589554789206</v>
      </c>
      <c r="P51" s="101">
        <f t="shared" si="6"/>
        <v>0.28725477230644408</v>
      </c>
      <c r="Q51" s="101">
        <f t="shared" si="6"/>
        <v>0.28602988800942775</v>
      </c>
      <c r="R51" s="101">
        <f t="shared" si="6"/>
        <v>0.28481120459673887</v>
      </c>
      <c r="S51" s="101">
        <f t="shared" si="6"/>
        <v>0.28359868428019502</v>
      </c>
      <c r="T51" s="101">
        <f t="shared" si="6"/>
        <v>0.28239228954137441</v>
      </c>
      <c r="U51" s="101">
        <f t="shared" si="6"/>
        <v>0.28119198312947108</v>
      </c>
      <c r="V51" s="101">
        <f t="shared" si="6"/>
        <v>0.27999772805917073</v>
      </c>
      <c r="W51" s="101">
        <f t="shared" si="6"/>
        <v>0.27880948760854241</v>
      </c>
      <c r="X51" s="101">
        <f t="shared" si="6"/>
        <v>0.27762722531694922</v>
      </c>
      <c r="Y51" s="435">
        <f t="shared" si="8"/>
        <v>0.23598314151940683</v>
      </c>
      <c r="Z51" s="413"/>
    </row>
    <row r="52" spans="1:26" ht="15">
      <c r="A52" s="411">
        <f>VLOOKUP($D52,MMap!$B$5:$AI$44,MATCH('SC-Retro'!A$35,MMap!$B$5:$AF$5,0),FALSE)</f>
        <v>0.51610991289733787</v>
      </c>
      <c r="B52" s="411">
        <f>VLOOKUP($D52,MMap!$B$5:$AI$44,MATCH(B$35,MMap!$B$5:$AF$5,0),FALSE)</f>
        <v>1.3401344386445209E-3</v>
      </c>
      <c r="C52" s="412">
        <v>1</v>
      </c>
      <c r="D52" t="s">
        <v>519</v>
      </c>
      <c r="E52" s="101">
        <f t="shared" si="7"/>
        <v>5.8099160145561907E-2</v>
      </c>
      <c r="F52" s="101">
        <f t="shared" si="6"/>
        <v>5.7849193427687948E-2</v>
      </c>
      <c r="G52" s="101">
        <f t="shared" si="6"/>
        <v>5.7600506765730981E-2</v>
      </c>
      <c r="H52" s="101">
        <f t="shared" si="6"/>
        <v>5.7353092268600067E-2</v>
      </c>
      <c r="I52" s="101">
        <f t="shared" si="6"/>
        <v>5.7106942102036429E-2</v>
      </c>
      <c r="J52" s="101">
        <f t="shared" ref="F52:X58" si="9">J$33*$A52*$B52*$C52</f>
        <v>5.6862048488159317E-2</v>
      </c>
      <c r="K52" s="101">
        <f t="shared" si="9"/>
        <v>5.6618403705015904E-2</v>
      </c>
      <c r="L52" s="101">
        <f t="shared" si="9"/>
        <v>5.6376000086134727E-2</v>
      </c>
      <c r="M52" s="101">
        <f t="shared" si="9"/>
        <v>5.6134830020083161E-2</v>
      </c>
      <c r="N52" s="101">
        <f t="shared" si="9"/>
        <v>5.5894885950028457E-2</v>
      </c>
      <c r="O52" s="101">
        <f t="shared" si="9"/>
        <v>5.565616037330267E-2</v>
      </c>
      <c r="P52" s="101">
        <f t="shared" si="9"/>
        <v>5.5418645840971038E-2</v>
      </c>
      <c r="Q52" s="101">
        <f t="shared" si="9"/>
        <v>5.5182334957404239E-2</v>
      </c>
      <c r="R52" s="101">
        <f t="shared" si="9"/>
        <v>5.4947220379854174E-2</v>
      </c>
      <c r="S52" s="101">
        <f t="shared" si="9"/>
        <v>5.4713294818033248E-2</v>
      </c>
      <c r="T52" s="101">
        <f t="shared" si="9"/>
        <v>5.4480551033697484E-2</v>
      </c>
      <c r="U52" s="101">
        <f t="shared" si="9"/>
        <v>5.4248981840232684E-2</v>
      </c>
      <c r="V52" s="101">
        <f t="shared" si="9"/>
        <v>5.4018580102244661E-2</v>
      </c>
      <c r="W52" s="101">
        <f t="shared" si="9"/>
        <v>5.3789338735152473E-2</v>
      </c>
      <c r="X52" s="101">
        <f t="shared" si="9"/>
        <v>5.3561250704785339E-2</v>
      </c>
      <c r="Y52" s="435">
        <f t="shared" si="8"/>
        <v>4.5527063099067532E-2</v>
      </c>
      <c r="Z52" s="413"/>
    </row>
    <row r="53" spans="1:26" ht="15">
      <c r="A53" s="411">
        <f>VLOOKUP($D53,MMap!$B$5:$AI$44,MATCH('SC-Retro'!A$35,MMap!$B$5:$AF$5,0),FALSE)</f>
        <v>0.51610991289733787</v>
      </c>
      <c r="B53" s="411">
        <f>VLOOKUP($D53,MMap!$B$5:$AI$44,MATCH(B$35,MMap!$B$5:$AF$5,0),FALSE)</f>
        <v>8.703271620763034E-2</v>
      </c>
      <c r="C53" s="412">
        <v>1</v>
      </c>
      <c r="D53" t="s">
        <v>518</v>
      </c>
      <c r="E53" s="101">
        <f t="shared" si="7"/>
        <v>3.773149596815661</v>
      </c>
      <c r="F53" s="101">
        <f t="shared" si="9"/>
        <v>3.7569159401087404</v>
      </c>
      <c r="G53" s="101">
        <f t="shared" si="9"/>
        <v>3.7407654144222167</v>
      </c>
      <c r="H53" s="101">
        <f t="shared" si="9"/>
        <v>3.7246975072828197</v>
      </c>
      <c r="I53" s="101">
        <f t="shared" si="9"/>
        <v>3.7087117099081452</v>
      </c>
      <c r="J53" s="101">
        <f t="shared" si="9"/>
        <v>3.6928075171771639</v>
      </c>
      <c r="K53" s="101">
        <f t="shared" si="9"/>
        <v>3.676984427600988</v>
      </c>
      <c r="L53" s="101">
        <f t="shared" si="9"/>
        <v>3.6612419432938719</v>
      </c>
      <c r="M53" s="101">
        <f t="shared" si="9"/>
        <v>3.64557956994447</v>
      </c>
      <c r="N53" s="101">
        <f t="shared" si="9"/>
        <v>3.629996816787334</v>
      </c>
      <c r="O53" s="101">
        <f t="shared" si="9"/>
        <v>3.614493196574653</v>
      </c>
      <c r="P53" s="101">
        <f t="shared" si="9"/>
        <v>3.599068225548228</v>
      </c>
      <c r="Q53" s="101">
        <f t="shared" si="9"/>
        <v>3.5837214234116854</v>
      </c>
      <c r="R53" s="101">
        <f t="shared" si="9"/>
        <v>3.5684523133029344</v>
      </c>
      <c r="S53" s="101">
        <f t="shared" si="9"/>
        <v>3.5532604217668413</v>
      </c>
      <c r="T53" s="101">
        <f t="shared" si="9"/>
        <v>3.5381452787281527</v>
      </c>
      <c r="U53" s="101">
        <f t="shared" si="9"/>
        <v>3.5231064174646245</v>
      </c>
      <c r="V53" s="101">
        <f t="shared" si="9"/>
        <v>3.5081433745804054</v>
      </c>
      <c r="W53" s="101">
        <f t="shared" si="9"/>
        <v>3.493255689979625</v>
      </c>
      <c r="X53" s="101">
        <f t="shared" si="9"/>
        <v>3.4784429068402116</v>
      </c>
      <c r="Y53" s="435">
        <f t="shared" si="8"/>
        <v>2.9566764708141799</v>
      </c>
      <c r="Z53" s="413"/>
    </row>
    <row r="54" spans="1:26" ht="15">
      <c r="A54" s="411">
        <f>VLOOKUP($D54,MMap!$B$5:$AI$44,MATCH('SC-Retro'!A$35,MMap!$B$5:$AF$5,0),FALSE)</f>
        <v>0.51610991289733787</v>
      </c>
      <c r="B54" s="411">
        <f>VLOOKUP($D54,MMap!$B$5:$AI$44,MATCH(B$35,MMap!$B$5:$AF$5,0),FALSE)</f>
        <v>1.9692520278746014E-2</v>
      </c>
      <c r="C54" s="412">
        <v>1</v>
      </c>
      <c r="D54" t="s">
        <v>513</v>
      </c>
      <c r="E54" s="101">
        <f t="shared" si="7"/>
        <v>0.85373441376658388</v>
      </c>
      <c r="F54" s="101">
        <f t="shared" si="9"/>
        <v>0.85006129372817696</v>
      </c>
      <c r="G54" s="101">
        <f t="shared" si="9"/>
        <v>0.84640698339003306</v>
      </c>
      <c r="H54" s="101">
        <f t="shared" si="9"/>
        <v>0.84277136679701858</v>
      </c>
      <c r="I54" s="101">
        <f t="shared" si="9"/>
        <v>0.83915432882911589</v>
      </c>
      <c r="J54" s="101">
        <f t="shared" si="9"/>
        <v>0.83555575519475112</v>
      </c>
      <c r="K54" s="101">
        <f t="shared" si="9"/>
        <v>0.83197553242417943</v>
      </c>
      <c r="L54" s="101">
        <f t="shared" si="9"/>
        <v>0.82841354786292365</v>
      </c>
      <c r="M54" s="101">
        <f t="shared" si="9"/>
        <v>0.82486968966527108</v>
      </c>
      <c r="N54" s="101">
        <f t="shared" si="9"/>
        <v>0.82134384678782346</v>
      </c>
      <c r="O54" s="101">
        <f t="shared" si="9"/>
        <v>0.81783590898310365</v>
      </c>
      <c r="P54" s="101">
        <f t="shared" si="9"/>
        <v>0.81434576679321391</v>
      </c>
      <c r="Q54" s="101">
        <f t="shared" si="9"/>
        <v>0.81087331154354925</v>
      </c>
      <c r="R54" s="101">
        <f t="shared" si="9"/>
        <v>0.80741843533656477</v>
      </c>
      <c r="S54" s="101">
        <f t="shared" si="9"/>
        <v>0.80398103104559304</v>
      </c>
      <c r="T54" s="101">
        <f t="shared" si="9"/>
        <v>0.80056099230871836</v>
      </c>
      <c r="U54" s="101">
        <f t="shared" si="9"/>
        <v>0.79715821352269534</v>
      </c>
      <c r="V54" s="101">
        <f t="shared" si="9"/>
        <v>0.79377258983692789</v>
      </c>
      <c r="W54" s="101">
        <f t="shared" si="9"/>
        <v>0.79040401714749209</v>
      </c>
      <c r="X54" s="101">
        <f t="shared" si="9"/>
        <v>0.78705239209121258</v>
      </c>
      <c r="Y54" s="435">
        <f t="shared" si="8"/>
        <v>0.66899453327753067</v>
      </c>
      <c r="Z54" s="413"/>
    </row>
    <row r="55" spans="1:26" ht="15">
      <c r="A55" s="411">
        <f>VLOOKUP($D55,MMap!$B$5:$AI$44,MATCH('SC-Retro'!A$35,MMap!$B$5:$AF$5,0),FALSE)</f>
        <v>0.51610991289733787</v>
      </c>
      <c r="B55" s="411">
        <f>VLOOKUP($D55,MMap!$B$5:$AI$44,MATCH(B$35,MMap!$B$5:$AF$5,0),FALSE)</f>
        <v>3.7991807700229574E-3</v>
      </c>
      <c r="C55" s="412">
        <v>1</v>
      </c>
      <c r="D55" t="s">
        <v>514</v>
      </c>
      <c r="E55" s="101">
        <f t="shared" si="7"/>
        <v>0.16470676792901434</v>
      </c>
      <c r="F55" s="101">
        <f t="shared" si="9"/>
        <v>0.16399813100401073</v>
      </c>
      <c r="G55" s="101">
        <f t="shared" si="9"/>
        <v>0.16329312294166756</v>
      </c>
      <c r="H55" s="101">
        <f t="shared" si="9"/>
        <v>0.16259172137133304</v>
      </c>
      <c r="I55" s="101">
        <f t="shared" si="9"/>
        <v>0.16189390408347015</v>
      </c>
      <c r="J55" s="101">
        <f t="shared" si="9"/>
        <v>0.16119964902836958</v>
      </c>
      <c r="K55" s="101">
        <f t="shared" si="9"/>
        <v>0.16050893431487329</v>
      </c>
      <c r="L55" s="101">
        <f t="shared" si="9"/>
        <v>0.15982173820910883</v>
      </c>
      <c r="M55" s="101">
        <f t="shared" si="9"/>
        <v>0.15913803913323477</v>
      </c>
      <c r="N55" s="101">
        <f t="shared" si="9"/>
        <v>0.15845781566419617</v>
      </c>
      <c r="O55" s="101">
        <f t="shared" si="9"/>
        <v>0.15778104653249128</v>
      </c>
      <c r="P55" s="101">
        <f t="shared" si="9"/>
        <v>0.15710771062094797</v>
      </c>
      <c r="Q55" s="101">
        <f t="shared" si="9"/>
        <v>0.15643778696351088</v>
      </c>
      <c r="R55" s="101">
        <f t="shared" si="9"/>
        <v>0.15577125474403911</v>
      </c>
      <c r="S55" s="101">
        <f t="shared" si="9"/>
        <v>0.1551080932951133</v>
      </c>
      <c r="T55" s="101">
        <f t="shared" si="9"/>
        <v>0.15444828209685385</v>
      </c>
      <c r="U55" s="101">
        <f t="shared" si="9"/>
        <v>0.15379180077574772</v>
      </c>
      <c r="V55" s="101">
        <f t="shared" si="9"/>
        <v>0.15313862910348672</v>
      </c>
      <c r="W55" s="101">
        <f t="shared" si="9"/>
        <v>0.15248874699581452</v>
      </c>
      <c r="X55" s="101">
        <f t="shared" si="9"/>
        <v>0.1518421345113837</v>
      </c>
      <c r="Y55" s="435">
        <f t="shared" si="8"/>
        <v>0.12906581433467615</v>
      </c>
      <c r="Z55" s="413"/>
    </row>
    <row r="56" spans="1:26" ht="15">
      <c r="A56" s="411">
        <f>VLOOKUP($D56,MMap!$B$5:$AI$44,MATCH('SC-Retro'!A$35,MMap!$B$5:$AF$5,0),FALSE)</f>
        <v>0.51610991289733787</v>
      </c>
      <c r="B56" s="411">
        <f>VLOOKUP($D56,MMap!$B$5:$AI$44,MATCH(B$35,MMap!$B$5:$AF$5,0),FALSE)</f>
        <v>1.114627040395879E-2</v>
      </c>
      <c r="C56" s="412">
        <v>1</v>
      </c>
      <c r="D56" t="s">
        <v>512</v>
      </c>
      <c r="E56" s="101">
        <f t="shared" si="7"/>
        <v>0.48322685437465707</v>
      </c>
      <c r="F56" s="101">
        <f t="shared" si="9"/>
        <v>0.48114781174350785</v>
      </c>
      <c r="G56" s="101">
        <f t="shared" si="9"/>
        <v>0.47907941569300866</v>
      </c>
      <c r="H56" s="101">
        <f t="shared" si="9"/>
        <v>0.47702160059076421</v>
      </c>
      <c r="I56" s="101">
        <f t="shared" si="9"/>
        <v>0.4749743012770678</v>
      </c>
      <c r="J56" s="101">
        <f t="shared" si="9"/>
        <v>0.47293745306112472</v>
      </c>
      <c r="K56" s="101">
        <f t="shared" si="9"/>
        <v>0.47091099171730821</v>
      </c>
      <c r="L56" s="101">
        <f t="shared" si="9"/>
        <v>0.46889485348144544</v>
      </c>
      <c r="M56" s="101">
        <f t="shared" si="9"/>
        <v>0.46688897504713678</v>
      </c>
      <c r="N56" s="101">
        <f t="shared" si="9"/>
        <v>0.46489329356210513</v>
      </c>
      <c r="O56" s="101">
        <f t="shared" si="9"/>
        <v>0.46290774662457695</v>
      </c>
      <c r="P56" s="101">
        <f t="shared" si="9"/>
        <v>0.46093227227969269</v>
      </c>
      <c r="Q56" s="101">
        <f t="shared" si="9"/>
        <v>0.45896680901594866</v>
      </c>
      <c r="R56" s="101">
        <f t="shared" si="9"/>
        <v>0.45701129576166932</v>
      </c>
      <c r="S56" s="101">
        <f t="shared" si="9"/>
        <v>0.45506567188150754</v>
      </c>
      <c r="T56" s="101">
        <f t="shared" si="9"/>
        <v>0.45312987717297737</v>
      </c>
      <c r="U56" s="101">
        <f t="shared" si="9"/>
        <v>0.45120385186301221</v>
      </c>
      <c r="V56" s="101">
        <f t="shared" si="9"/>
        <v>0.44928753660455639</v>
      </c>
      <c r="W56" s="101">
        <f t="shared" si="9"/>
        <v>0.44738087247318226</v>
      </c>
      <c r="X56" s="101">
        <f t="shared" si="9"/>
        <v>0.44548380096373741</v>
      </c>
      <c r="Y56" s="435">
        <f t="shared" si="8"/>
        <v>0.37866123081917674</v>
      </c>
      <c r="Z56" s="413"/>
    </row>
    <row r="57" spans="1:26" ht="15">
      <c r="A57" s="411">
        <f>VLOOKUP($D57,MMap!$B$5:$AI$44,MATCH('SC-Retro'!A$35,MMap!$B$5:$AF$5,0),FALSE)</f>
        <v>0.51610991289733787</v>
      </c>
      <c r="B57" s="411">
        <f>VLOOKUP($D57,MMap!$B$5:$AI$44,MATCH(B$35,MMap!$B$5:$AF$5,0),FALSE)</f>
        <v>2.5220189088284608E-3</v>
      </c>
      <c r="C57" s="412">
        <v>1</v>
      </c>
      <c r="D57" t="s">
        <v>509</v>
      </c>
      <c r="E57" s="101">
        <f t="shared" si="7"/>
        <v>0.10933767258631527</v>
      </c>
      <c r="F57" s="101">
        <f t="shared" si="9"/>
        <v>0.10886725650649753</v>
      </c>
      <c r="G57" s="101">
        <f t="shared" si="9"/>
        <v>0.10839924938292619</v>
      </c>
      <c r="H57" s="101">
        <f t="shared" si="9"/>
        <v>0.10793363636524002</v>
      </c>
      <c r="I57" s="101">
        <f t="shared" si="9"/>
        <v>0.10747040271003101</v>
      </c>
      <c r="J57" s="101">
        <f t="shared" si="9"/>
        <v>0.10700953377998985</v>
      </c>
      <c r="K57" s="101">
        <f t="shared" si="9"/>
        <v>0.10655101504305879</v>
      </c>
      <c r="L57" s="101">
        <f t="shared" si="9"/>
        <v>0.1060948320715913</v>
      </c>
      <c r="M57" s="101">
        <f t="shared" si="9"/>
        <v>0.10564097054151925</v>
      </c>
      <c r="N57" s="101">
        <f t="shared" si="9"/>
        <v>0.10518941623152682</v>
      </c>
      <c r="O57" s="101">
        <f t="shared" si="9"/>
        <v>0.10474015502223173</v>
      </c>
      <c r="P57" s="101">
        <f t="shared" si="9"/>
        <v>0.10429317289537304</v>
      </c>
      <c r="Q57" s="101">
        <f t="shared" si="9"/>
        <v>0.10384845593300601</v>
      </c>
      <c r="R57" s="101">
        <f t="shared" si="9"/>
        <v>0.10340599031670393</v>
      </c>
      <c r="S57" s="101">
        <f t="shared" si="9"/>
        <v>0.1029657623267663</v>
      </c>
      <c r="T57" s="101">
        <f t="shared" si="9"/>
        <v>0.1025277583414342</v>
      </c>
      <c r="U57" s="101">
        <f t="shared" si="9"/>
        <v>0.10209196483611163</v>
      </c>
      <c r="V57" s="101">
        <f t="shared" si="9"/>
        <v>0.10165836838259427</v>
      </c>
      <c r="W57" s="101">
        <f t="shared" si="9"/>
        <v>0.101226955648304</v>
      </c>
      <c r="X57" s="101">
        <f t="shared" si="9"/>
        <v>0.10079771339553033</v>
      </c>
      <c r="Y57" s="435">
        <f t="shared" si="8"/>
        <v>8.5678056386200782E-2</v>
      </c>
      <c r="Z57" s="413"/>
    </row>
    <row r="58" spans="1:26" ht="15">
      <c r="A58" s="411">
        <f>VLOOKUP($D58,MMap!$B$5:$AI$44,MATCH('SC-Retro'!A$35,MMap!$B$5:$AF$5,0),FALSE)</f>
        <v>0.51610991289733787</v>
      </c>
      <c r="B58" s="411">
        <f>VLOOKUP($D58,MMap!$B$5:$AI$44,MATCH(B$35,MMap!$B$5:$AF$5,0),FALSE)</f>
        <v>4.8656066386772878E-4</v>
      </c>
      <c r="C58" s="412">
        <v>1</v>
      </c>
      <c r="D58" t="s">
        <v>510</v>
      </c>
      <c r="E58" s="101">
        <f t="shared" si="7"/>
        <v>2.1093977675235728E-2</v>
      </c>
      <c r="F58" s="101">
        <f t="shared" si="9"/>
        <v>2.1003222622095981E-2</v>
      </c>
      <c r="G58" s="101">
        <f t="shared" si="9"/>
        <v>2.091293231699852E-2</v>
      </c>
      <c r="H58" s="101">
        <f t="shared" si="9"/>
        <v>2.0823103894936419E-2</v>
      </c>
      <c r="I58" s="101">
        <f t="shared" si="9"/>
        <v>2.0733734511536723E-2</v>
      </c>
      <c r="J58" s="101">
        <f t="shared" si="9"/>
        <v>2.064482134289557E-2</v>
      </c>
      <c r="K58" s="101">
        <f t="shared" si="9"/>
        <v>2.0556361585414767E-2</v>
      </c>
      <c r="L58" s="101">
        <f t="shared" si="9"/>
        <v>2.0468352455639653E-2</v>
      </c>
      <c r="M58" s="101">
        <f t="shared" si="9"/>
        <v>2.0380791190098443E-2</v>
      </c>
      <c r="N58" s="101">
        <f t="shared" si="9"/>
        <v>2.0293675045142848E-2</v>
      </c>
      <c r="O58" s="101">
        <f t="shared" si="9"/>
        <v>2.0207001296790116E-2</v>
      </c>
      <c r="P58" s="101">
        <f t="shared" si="9"/>
        <v>2.0120767240566325E-2</v>
      </c>
      <c r="Q58" s="101">
        <f t="shared" si="9"/>
        <v>2.0034970191351077E-2</v>
      </c>
      <c r="R58" s="101">
        <f t="shared" si="9"/>
        <v>1.9949607483223487E-2</v>
      </c>
      <c r="S58" s="101">
        <f t="shared" si="9"/>
        <v>1.9864676469309436E-2</v>
      </c>
      <c r="T58" s="101">
        <f t="shared" si="9"/>
        <v>1.9780174521630188E-2</v>
      </c>
      <c r="U58" s="101">
        <f t="shared" si="9"/>
        <v>1.969609903095217E-2</v>
      </c>
      <c r="V58" s="101">
        <f t="shared" si="9"/>
        <v>1.961244740663818E-2</v>
      </c>
      <c r="W58" s="101">
        <f t="shared" si="9"/>
        <v>1.9529217076499707E-2</v>
      </c>
      <c r="X58" s="101">
        <f t="shared" si="9"/>
        <v>1.9446405486650584E-2</v>
      </c>
      <c r="Y58" s="435">
        <f t="shared" si="8"/>
        <v>1.6529444663652994E-2</v>
      </c>
      <c r="Z58" s="413"/>
    </row>
    <row r="59" spans="1:26" ht="15">
      <c r="A59" s="411"/>
      <c r="B59" s="411"/>
      <c r="C59" s="412"/>
      <c r="E59" s="101"/>
      <c r="F59" s="101"/>
      <c r="G59" s="101"/>
      <c r="H59" s="101"/>
      <c r="I59" s="101"/>
      <c r="J59" s="101"/>
      <c r="K59" s="101"/>
      <c r="L59" s="101"/>
      <c r="M59" s="101"/>
      <c r="N59" s="101"/>
      <c r="O59" s="101"/>
      <c r="P59" s="101"/>
      <c r="Q59" s="101"/>
      <c r="R59" s="101"/>
      <c r="S59" s="101"/>
      <c r="T59" s="101"/>
      <c r="U59" s="101"/>
      <c r="V59" s="101"/>
      <c r="W59" s="101"/>
      <c r="X59" s="101"/>
      <c r="Y59" s="413"/>
      <c r="Z59" s="413"/>
    </row>
    <row r="60" spans="1:26" ht="15">
      <c r="A60" s="411"/>
      <c r="B60" s="411"/>
      <c r="C60" s="412"/>
      <c r="D60" t="str">
        <f>D33</f>
        <v>Total Single Pane Glazing (million sf)</v>
      </c>
      <c r="E60" s="101">
        <f>SUM(E38:E58)</f>
        <v>43.187954696230221</v>
      </c>
      <c r="F60" s="101">
        <f t="shared" ref="F60:X60" si="10">SUM(F38:F58)</f>
        <v>43.002142177425185</v>
      </c>
      <c r="G60" s="101">
        <f t="shared" si="10"/>
        <v>42.817281186952229</v>
      </c>
      <c r="H60" s="101">
        <f t="shared" si="10"/>
        <v>42.633365858976589</v>
      </c>
      <c r="I60" s="101">
        <f t="shared" si="10"/>
        <v>42.45039036990952</v>
      </c>
      <c r="J60" s="101">
        <f t="shared" si="10"/>
        <v>42.268348938070886</v>
      </c>
      <c r="K60" s="101">
        <f t="shared" si="10"/>
        <v>42.087235823354469</v>
      </c>
      <c r="L60" s="101">
        <f t="shared" si="10"/>
        <v>41.90704532689611</v>
      </c>
      <c r="M60" s="101">
        <f t="shared" si="10"/>
        <v>41.727771790744704</v>
      </c>
      <c r="N60" s="101">
        <f t="shared" si="10"/>
        <v>41.549409597535906</v>
      </c>
      <c r="O60" s="101">
        <f t="shared" si="10"/>
        <v>41.37195317016873</v>
      </c>
      <c r="P60" s="101">
        <f t="shared" si="10"/>
        <v>41.195396971484712</v>
      </c>
      <c r="Q60" s="101">
        <f t="shared" si="10"/>
        <v>41.019735503949896</v>
      </c>
      <c r="R60" s="101">
        <f t="shared" si="10"/>
        <v>40.84496330933959</v>
      </c>
      <c r="S60" s="101">
        <f t="shared" si="10"/>
        <v>40.671074968425529</v>
      </c>
      <c r="T60" s="101">
        <f t="shared" si="10"/>
        <v>40.498065100666018</v>
      </c>
      <c r="U60" s="101">
        <f t="shared" si="10"/>
        <v>40.325928363898335</v>
      </c>
      <c r="V60" s="101">
        <f t="shared" si="10"/>
        <v>40.154659454034068</v>
      </c>
      <c r="W60" s="101">
        <f t="shared" si="10"/>
        <v>39.984253104756817</v>
      </c>
      <c r="X60" s="101">
        <f t="shared" si="10"/>
        <v>39.814704087222509</v>
      </c>
      <c r="Y60" s="413">
        <f>SUM(Y38:Y58)</f>
        <v>33.842498474139127</v>
      </c>
      <c r="Z60" s="413"/>
    </row>
    <row r="61" spans="1:26" ht="15">
      <c r="A61" s="412"/>
      <c r="B61" s="415"/>
      <c r="C61" s="412"/>
      <c r="E61" s="101"/>
      <c r="F61" s="101"/>
      <c r="G61" s="101"/>
      <c r="H61" s="101"/>
      <c r="I61" s="101"/>
      <c r="J61" s="101"/>
      <c r="K61" s="101"/>
      <c r="L61" s="101"/>
      <c r="M61" s="101"/>
      <c r="N61" s="101"/>
      <c r="O61" s="101"/>
      <c r="P61" s="101"/>
      <c r="Q61" s="101"/>
      <c r="R61" s="101"/>
      <c r="S61" s="101"/>
      <c r="T61" s="101"/>
      <c r="U61" s="101"/>
      <c r="V61" s="101"/>
      <c r="W61" s="101"/>
      <c r="X61" s="101"/>
      <c r="Y61" s="101"/>
    </row>
    <row r="62" spans="1:26" ht="15">
      <c r="A62" s="412"/>
      <c r="B62" s="415"/>
      <c r="C62" s="412"/>
      <c r="E62" s="101"/>
      <c r="F62" s="101"/>
      <c r="G62" s="101"/>
      <c r="H62" s="101"/>
      <c r="I62" s="101"/>
      <c r="J62" s="101"/>
      <c r="K62" s="101"/>
      <c r="L62" s="101"/>
      <c r="M62" s="101"/>
      <c r="N62" s="101"/>
      <c r="O62" s="101"/>
      <c r="P62" s="101"/>
      <c r="Q62" s="101"/>
      <c r="R62" s="101"/>
      <c r="S62" s="101"/>
      <c r="T62" s="101"/>
      <c r="U62" s="101"/>
      <c r="V62" s="101"/>
      <c r="W62" s="101"/>
      <c r="X62" s="101"/>
      <c r="Y62" s="101"/>
    </row>
    <row r="63" spans="1:26" ht="15">
      <c r="A63" s="86" t="s">
        <v>181</v>
      </c>
      <c r="B63" s="86"/>
      <c r="C63" s="86"/>
      <c r="D63" s="19" t="s">
        <v>738</v>
      </c>
    </row>
    <row r="64" spans="1:26" ht="15">
      <c r="A64" s="72" t="s">
        <v>183</v>
      </c>
      <c r="B64" s="72" t="s">
        <v>184</v>
      </c>
      <c r="C64" s="72" t="s">
        <v>185</v>
      </c>
      <c r="D64" s="72" t="str">
        <f>$C$8</f>
        <v>Secondary Glazing Systems-Retro</v>
      </c>
      <c r="E64" s="87">
        <f t="shared" ref="E64:X64" si="11">E11</f>
        <v>2016</v>
      </c>
      <c r="F64" s="87">
        <f t="shared" si="11"/>
        <v>2017</v>
      </c>
      <c r="G64" s="87">
        <f t="shared" si="11"/>
        <v>2018</v>
      </c>
      <c r="H64" s="87">
        <f t="shared" si="11"/>
        <v>2019</v>
      </c>
      <c r="I64" s="87">
        <f t="shared" si="11"/>
        <v>2020</v>
      </c>
      <c r="J64" s="87">
        <f t="shared" si="11"/>
        <v>2021</v>
      </c>
      <c r="K64" s="87">
        <f t="shared" si="11"/>
        <v>2022</v>
      </c>
      <c r="L64" s="87">
        <f t="shared" si="11"/>
        <v>2023</v>
      </c>
      <c r="M64" s="87">
        <f t="shared" si="11"/>
        <v>2024</v>
      </c>
      <c r="N64" s="87">
        <f t="shared" si="11"/>
        <v>2025</v>
      </c>
      <c r="O64" s="87">
        <f t="shared" si="11"/>
        <v>2026</v>
      </c>
      <c r="P64" s="87">
        <f t="shared" si="11"/>
        <v>2027</v>
      </c>
      <c r="Q64" s="87">
        <f t="shared" si="11"/>
        <v>2028</v>
      </c>
      <c r="R64" s="87">
        <f t="shared" si="11"/>
        <v>2029</v>
      </c>
      <c r="S64" s="87">
        <f t="shared" si="11"/>
        <v>2030</v>
      </c>
      <c r="T64" s="87">
        <f t="shared" si="11"/>
        <v>2031</v>
      </c>
      <c r="U64" s="87">
        <f t="shared" si="11"/>
        <v>2032</v>
      </c>
      <c r="V64" s="87">
        <f t="shared" si="11"/>
        <v>2033</v>
      </c>
      <c r="W64" s="87">
        <f t="shared" si="11"/>
        <v>2034</v>
      </c>
      <c r="X64" s="87">
        <f t="shared" si="11"/>
        <v>2035</v>
      </c>
      <c r="Y64" s="70" t="s">
        <v>71</v>
      </c>
      <c r="Z64" s="70" t="s">
        <v>180</v>
      </c>
    </row>
    <row r="65" spans="1:26">
      <c r="A65" s="414"/>
      <c r="B65" s="414"/>
      <c r="D65" t="s">
        <v>527</v>
      </c>
      <c r="E65">
        <v>0</v>
      </c>
      <c r="F65">
        <v>0</v>
      </c>
      <c r="G65">
        <v>0</v>
      </c>
      <c r="H65">
        <v>0</v>
      </c>
      <c r="I65">
        <v>0</v>
      </c>
      <c r="J65">
        <v>0</v>
      </c>
      <c r="K65">
        <v>0</v>
      </c>
      <c r="L65">
        <v>0</v>
      </c>
      <c r="M65">
        <v>0</v>
      </c>
      <c r="N65">
        <v>0</v>
      </c>
      <c r="O65">
        <v>0</v>
      </c>
      <c r="P65">
        <v>0</v>
      </c>
      <c r="Q65">
        <v>0</v>
      </c>
      <c r="R65">
        <v>0</v>
      </c>
      <c r="S65">
        <v>0</v>
      </c>
      <c r="T65">
        <v>0</v>
      </c>
      <c r="U65">
        <v>0</v>
      </c>
      <c r="V65">
        <v>0</v>
      </c>
      <c r="W65">
        <v>0</v>
      </c>
      <c r="X65">
        <v>0</v>
      </c>
      <c r="Y65" s="413">
        <f>Z65*$A65*$B65</f>
        <v>0</v>
      </c>
      <c r="Z65" s="413">
        <f>X65</f>
        <v>0</v>
      </c>
    </row>
    <row r="66" spans="1:26">
      <c r="A66" s="414"/>
      <c r="B66" s="414"/>
      <c r="D66" t="s">
        <v>525</v>
      </c>
      <c r="E66">
        <v>0</v>
      </c>
      <c r="F66">
        <v>0</v>
      </c>
      <c r="G66">
        <v>0</v>
      </c>
      <c r="H66">
        <v>0</v>
      </c>
      <c r="I66">
        <v>0</v>
      </c>
      <c r="J66">
        <v>0</v>
      </c>
      <c r="K66">
        <v>0</v>
      </c>
      <c r="L66">
        <v>0</v>
      </c>
      <c r="M66">
        <v>0</v>
      </c>
      <c r="N66">
        <v>0</v>
      </c>
      <c r="O66">
        <v>0</v>
      </c>
      <c r="P66">
        <v>0</v>
      </c>
      <c r="Q66">
        <v>0</v>
      </c>
      <c r="R66">
        <v>0</v>
      </c>
      <c r="S66">
        <v>0</v>
      </c>
      <c r="T66">
        <v>0</v>
      </c>
      <c r="U66">
        <v>0</v>
      </c>
      <c r="V66">
        <v>0</v>
      </c>
      <c r="W66">
        <v>0</v>
      </c>
      <c r="X66">
        <v>0</v>
      </c>
      <c r="Y66" s="413">
        <f t="shared" ref="Y66:Y85" si="12">Z66*$A66*$B66</f>
        <v>0</v>
      </c>
      <c r="Z66" s="413">
        <f t="shared" ref="Z66:Z85" si="13">X66</f>
        <v>0</v>
      </c>
    </row>
    <row r="67" spans="1:26">
      <c r="A67" s="414"/>
      <c r="B67" s="414"/>
      <c r="D67" t="s">
        <v>526</v>
      </c>
      <c r="E67">
        <v>0</v>
      </c>
      <c r="F67">
        <v>0</v>
      </c>
      <c r="G67">
        <v>0</v>
      </c>
      <c r="H67">
        <v>0</v>
      </c>
      <c r="I67">
        <v>0</v>
      </c>
      <c r="J67">
        <v>0</v>
      </c>
      <c r="K67">
        <v>0</v>
      </c>
      <c r="L67">
        <v>0</v>
      </c>
      <c r="M67">
        <v>0</v>
      </c>
      <c r="N67">
        <v>0</v>
      </c>
      <c r="O67">
        <v>0</v>
      </c>
      <c r="P67">
        <v>0</v>
      </c>
      <c r="Q67">
        <v>0</v>
      </c>
      <c r="R67">
        <v>0</v>
      </c>
      <c r="S67">
        <v>0</v>
      </c>
      <c r="T67">
        <v>0</v>
      </c>
      <c r="U67">
        <v>0</v>
      </c>
      <c r="V67">
        <v>0</v>
      </c>
      <c r="W67">
        <v>0</v>
      </c>
      <c r="X67">
        <v>0</v>
      </c>
      <c r="Y67" s="413">
        <f t="shared" si="12"/>
        <v>0</v>
      </c>
      <c r="Z67" s="413">
        <f t="shared" si="13"/>
        <v>0</v>
      </c>
    </row>
    <row r="68" spans="1:26">
      <c r="A68" s="414"/>
      <c r="B68" s="414"/>
      <c r="D68" t="s">
        <v>523</v>
      </c>
      <c r="E68">
        <v>0</v>
      </c>
      <c r="F68">
        <v>0</v>
      </c>
      <c r="G68">
        <v>0</v>
      </c>
      <c r="H68">
        <v>0</v>
      </c>
      <c r="I68">
        <v>0</v>
      </c>
      <c r="J68">
        <v>0</v>
      </c>
      <c r="K68">
        <v>0</v>
      </c>
      <c r="L68">
        <v>0</v>
      </c>
      <c r="M68">
        <v>0</v>
      </c>
      <c r="N68">
        <v>0</v>
      </c>
      <c r="O68">
        <v>0</v>
      </c>
      <c r="P68">
        <v>0</v>
      </c>
      <c r="Q68">
        <v>0</v>
      </c>
      <c r="R68">
        <v>0</v>
      </c>
      <c r="S68">
        <v>0</v>
      </c>
      <c r="T68">
        <v>0</v>
      </c>
      <c r="U68">
        <v>0</v>
      </c>
      <c r="V68">
        <v>0</v>
      </c>
      <c r="W68">
        <v>0</v>
      </c>
      <c r="X68">
        <v>0</v>
      </c>
      <c r="Y68" s="413">
        <f t="shared" si="12"/>
        <v>0</v>
      </c>
      <c r="Z68" s="413">
        <f t="shared" si="13"/>
        <v>0</v>
      </c>
    </row>
    <row r="69" spans="1:26">
      <c r="A69" s="414"/>
      <c r="B69" s="414"/>
      <c r="D69" t="s">
        <v>516</v>
      </c>
      <c r="E69">
        <v>0</v>
      </c>
      <c r="F69">
        <v>0</v>
      </c>
      <c r="G69">
        <v>0</v>
      </c>
      <c r="H69">
        <v>0</v>
      </c>
      <c r="I69">
        <v>0</v>
      </c>
      <c r="J69">
        <v>0</v>
      </c>
      <c r="K69">
        <v>0</v>
      </c>
      <c r="L69">
        <v>0</v>
      </c>
      <c r="M69">
        <v>0</v>
      </c>
      <c r="N69">
        <v>0</v>
      </c>
      <c r="O69">
        <v>0</v>
      </c>
      <c r="P69">
        <v>0</v>
      </c>
      <c r="Q69">
        <v>0</v>
      </c>
      <c r="R69">
        <v>0</v>
      </c>
      <c r="S69">
        <v>0</v>
      </c>
      <c r="T69">
        <v>0</v>
      </c>
      <c r="U69">
        <v>0</v>
      </c>
      <c r="V69">
        <v>0</v>
      </c>
      <c r="W69">
        <v>0</v>
      </c>
      <c r="X69">
        <v>0</v>
      </c>
      <c r="Y69" s="413">
        <f t="shared" si="12"/>
        <v>0</v>
      </c>
      <c r="Z69" s="413">
        <f t="shared" si="13"/>
        <v>0</v>
      </c>
    </row>
    <row r="70" spans="1:26">
      <c r="A70" s="414"/>
      <c r="B70" s="414"/>
      <c r="D70" t="s">
        <v>520</v>
      </c>
      <c r="E70">
        <v>0</v>
      </c>
      <c r="F70">
        <v>0</v>
      </c>
      <c r="G70">
        <v>0</v>
      </c>
      <c r="H70">
        <v>0</v>
      </c>
      <c r="I70">
        <v>0</v>
      </c>
      <c r="J70">
        <v>0</v>
      </c>
      <c r="K70">
        <v>0</v>
      </c>
      <c r="L70">
        <v>0</v>
      </c>
      <c r="M70">
        <v>0</v>
      </c>
      <c r="N70">
        <v>0</v>
      </c>
      <c r="O70">
        <v>0</v>
      </c>
      <c r="P70">
        <v>0</v>
      </c>
      <c r="Q70">
        <v>0</v>
      </c>
      <c r="R70">
        <v>0</v>
      </c>
      <c r="S70">
        <v>0</v>
      </c>
      <c r="T70">
        <v>0</v>
      </c>
      <c r="U70">
        <v>0</v>
      </c>
      <c r="V70">
        <v>0</v>
      </c>
      <c r="W70">
        <v>0</v>
      </c>
      <c r="X70">
        <v>0</v>
      </c>
      <c r="Y70" s="413">
        <f t="shared" si="12"/>
        <v>0</v>
      </c>
      <c r="Z70" s="413">
        <f t="shared" si="13"/>
        <v>0</v>
      </c>
    </row>
    <row r="71" spans="1:26">
      <c r="A71" s="414"/>
      <c r="B71" s="414"/>
      <c r="D71" t="s">
        <v>511</v>
      </c>
      <c r="E71">
        <v>0</v>
      </c>
      <c r="F71">
        <v>0</v>
      </c>
      <c r="G71">
        <v>0</v>
      </c>
      <c r="H71">
        <v>0</v>
      </c>
      <c r="I71">
        <v>0</v>
      </c>
      <c r="J71">
        <v>0</v>
      </c>
      <c r="K71">
        <v>0</v>
      </c>
      <c r="L71">
        <v>0</v>
      </c>
      <c r="M71">
        <v>0</v>
      </c>
      <c r="N71">
        <v>0</v>
      </c>
      <c r="O71">
        <v>0</v>
      </c>
      <c r="P71">
        <v>0</v>
      </c>
      <c r="Q71">
        <v>0</v>
      </c>
      <c r="R71">
        <v>0</v>
      </c>
      <c r="S71">
        <v>0</v>
      </c>
      <c r="T71">
        <v>0</v>
      </c>
      <c r="U71">
        <v>0</v>
      </c>
      <c r="V71">
        <v>0</v>
      </c>
      <c r="W71">
        <v>0</v>
      </c>
      <c r="X71">
        <v>0</v>
      </c>
      <c r="Y71" s="413">
        <f t="shared" si="12"/>
        <v>0</v>
      </c>
      <c r="Z71" s="413">
        <f t="shared" si="13"/>
        <v>0</v>
      </c>
    </row>
    <row r="72" spans="1:26">
      <c r="A72" s="414"/>
      <c r="B72" s="414"/>
      <c r="D72" t="s">
        <v>507</v>
      </c>
      <c r="E72">
        <v>0</v>
      </c>
      <c r="F72">
        <v>0</v>
      </c>
      <c r="G72">
        <v>0</v>
      </c>
      <c r="H72">
        <v>0</v>
      </c>
      <c r="I72">
        <v>0</v>
      </c>
      <c r="J72">
        <v>0</v>
      </c>
      <c r="K72">
        <v>0</v>
      </c>
      <c r="L72">
        <v>0</v>
      </c>
      <c r="M72">
        <v>0</v>
      </c>
      <c r="N72">
        <v>0</v>
      </c>
      <c r="O72">
        <v>0</v>
      </c>
      <c r="P72">
        <v>0</v>
      </c>
      <c r="Q72">
        <v>0</v>
      </c>
      <c r="R72">
        <v>0</v>
      </c>
      <c r="S72">
        <v>0</v>
      </c>
      <c r="T72">
        <v>0</v>
      </c>
      <c r="U72">
        <v>0</v>
      </c>
      <c r="V72">
        <v>0</v>
      </c>
      <c r="W72">
        <v>0</v>
      </c>
      <c r="X72">
        <v>0</v>
      </c>
      <c r="Y72" s="413">
        <f t="shared" si="12"/>
        <v>0</v>
      </c>
      <c r="Z72" s="413">
        <f t="shared" si="13"/>
        <v>0</v>
      </c>
    </row>
    <row r="73" spans="1:26">
      <c r="A73" s="414"/>
      <c r="B73" s="414"/>
      <c r="D73" t="s">
        <v>508</v>
      </c>
      <c r="E73">
        <v>0</v>
      </c>
      <c r="F73">
        <v>0</v>
      </c>
      <c r="G73">
        <v>0</v>
      </c>
      <c r="H73">
        <v>0</v>
      </c>
      <c r="I73">
        <v>0</v>
      </c>
      <c r="J73">
        <v>0</v>
      </c>
      <c r="K73">
        <v>0</v>
      </c>
      <c r="L73">
        <v>0</v>
      </c>
      <c r="M73">
        <v>0</v>
      </c>
      <c r="N73">
        <v>0</v>
      </c>
      <c r="O73">
        <v>0</v>
      </c>
      <c r="P73">
        <v>0</v>
      </c>
      <c r="Q73">
        <v>0</v>
      </c>
      <c r="R73">
        <v>0</v>
      </c>
      <c r="S73">
        <v>0</v>
      </c>
      <c r="T73">
        <v>0</v>
      </c>
      <c r="U73">
        <v>0</v>
      </c>
      <c r="V73">
        <v>0</v>
      </c>
      <c r="W73">
        <v>0</v>
      </c>
      <c r="X73">
        <v>0</v>
      </c>
      <c r="Y73" s="413">
        <f t="shared" si="12"/>
        <v>0</v>
      </c>
      <c r="Z73" s="413">
        <f t="shared" si="13"/>
        <v>0</v>
      </c>
    </row>
    <row r="74" spans="1:26">
      <c r="A74" s="414"/>
      <c r="B74" s="414"/>
      <c r="D74" t="s">
        <v>524</v>
      </c>
      <c r="E74">
        <v>0</v>
      </c>
      <c r="F74">
        <v>0</v>
      </c>
      <c r="G74">
        <v>0</v>
      </c>
      <c r="H74">
        <v>0</v>
      </c>
      <c r="I74">
        <v>0</v>
      </c>
      <c r="J74">
        <v>0</v>
      </c>
      <c r="K74">
        <v>0</v>
      </c>
      <c r="L74">
        <v>0</v>
      </c>
      <c r="M74">
        <v>0</v>
      </c>
      <c r="N74">
        <v>0</v>
      </c>
      <c r="O74">
        <v>0</v>
      </c>
      <c r="P74">
        <v>0</v>
      </c>
      <c r="Q74">
        <v>0</v>
      </c>
      <c r="R74">
        <v>0</v>
      </c>
      <c r="S74">
        <v>0</v>
      </c>
      <c r="T74">
        <v>0</v>
      </c>
      <c r="U74">
        <v>0</v>
      </c>
      <c r="V74">
        <v>0</v>
      </c>
      <c r="W74">
        <v>0</v>
      </c>
      <c r="X74">
        <v>0</v>
      </c>
      <c r="Y74" s="413">
        <f t="shared" si="12"/>
        <v>0</v>
      </c>
      <c r="Z74" s="413">
        <f t="shared" si="13"/>
        <v>0</v>
      </c>
    </row>
    <row r="75" spans="1:26">
      <c r="A75" s="414"/>
      <c r="B75" s="414"/>
      <c r="D75" t="s">
        <v>515</v>
      </c>
      <c r="E75">
        <v>0</v>
      </c>
      <c r="F75">
        <v>0</v>
      </c>
      <c r="G75">
        <v>0</v>
      </c>
      <c r="H75">
        <v>0</v>
      </c>
      <c r="I75">
        <v>0</v>
      </c>
      <c r="J75">
        <v>0</v>
      </c>
      <c r="K75">
        <v>0</v>
      </c>
      <c r="L75">
        <v>0</v>
      </c>
      <c r="M75">
        <v>0</v>
      </c>
      <c r="N75">
        <v>0</v>
      </c>
      <c r="O75">
        <v>0</v>
      </c>
      <c r="P75">
        <v>0</v>
      </c>
      <c r="Q75">
        <v>0</v>
      </c>
      <c r="R75">
        <v>0</v>
      </c>
      <c r="S75">
        <v>0</v>
      </c>
      <c r="T75">
        <v>0</v>
      </c>
      <c r="U75">
        <v>0</v>
      </c>
      <c r="V75">
        <v>0</v>
      </c>
      <c r="W75">
        <v>0</v>
      </c>
      <c r="X75">
        <v>0</v>
      </c>
      <c r="Y75" s="413">
        <f t="shared" si="12"/>
        <v>0</v>
      </c>
      <c r="Z75" s="413">
        <f t="shared" si="13"/>
        <v>0</v>
      </c>
    </row>
    <row r="76" spans="1:26">
      <c r="A76" s="414"/>
      <c r="B76" s="414"/>
      <c r="D76" t="s">
        <v>521</v>
      </c>
      <c r="E76">
        <v>0</v>
      </c>
      <c r="F76">
        <v>0</v>
      </c>
      <c r="G76">
        <v>0</v>
      </c>
      <c r="H76">
        <v>0</v>
      </c>
      <c r="I76">
        <v>0</v>
      </c>
      <c r="J76">
        <v>0</v>
      </c>
      <c r="K76">
        <v>0</v>
      </c>
      <c r="L76">
        <v>0</v>
      </c>
      <c r="M76">
        <v>0</v>
      </c>
      <c r="N76">
        <v>0</v>
      </c>
      <c r="O76">
        <v>0</v>
      </c>
      <c r="P76">
        <v>0</v>
      </c>
      <c r="Q76">
        <v>0</v>
      </c>
      <c r="R76">
        <v>0</v>
      </c>
      <c r="S76">
        <v>0</v>
      </c>
      <c r="T76">
        <v>0</v>
      </c>
      <c r="U76">
        <v>0</v>
      </c>
      <c r="V76">
        <v>0</v>
      </c>
      <c r="W76">
        <v>0</v>
      </c>
      <c r="X76">
        <v>0</v>
      </c>
      <c r="Y76" s="413">
        <f t="shared" si="12"/>
        <v>0</v>
      </c>
      <c r="Z76" s="413">
        <f t="shared" si="13"/>
        <v>0</v>
      </c>
    </row>
    <row r="77" spans="1:26">
      <c r="A77" s="414"/>
      <c r="B77" s="414"/>
      <c r="D77" t="s">
        <v>522</v>
      </c>
      <c r="E77">
        <v>0</v>
      </c>
      <c r="F77">
        <v>0</v>
      </c>
      <c r="G77">
        <v>0</v>
      </c>
      <c r="H77">
        <v>0</v>
      </c>
      <c r="I77">
        <v>0</v>
      </c>
      <c r="J77">
        <v>0</v>
      </c>
      <c r="K77">
        <v>0</v>
      </c>
      <c r="L77">
        <v>0</v>
      </c>
      <c r="M77">
        <v>0</v>
      </c>
      <c r="N77">
        <v>0</v>
      </c>
      <c r="O77">
        <v>0</v>
      </c>
      <c r="P77">
        <v>0</v>
      </c>
      <c r="Q77">
        <v>0</v>
      </c>
      <c r="R77">
        <v>0</v>
      </c>
      <c r="S77">
        <v>0</v>
      </c>
      <c r="T77">
        <v>0</v>
      </c>
      <c r="U77">
        <v>0</v>
      </c>
      <c r="V77">
        <v>0</v>
      </c>
      <c r="W77">
        <v>0</v>
      </c>
      <c r="X77">
        <v>0</v>
      </c>
      <c r="Y77" s="413">
        <f t="shared" si="12"/>
        <v>0</v>
      </c>
      <c r="Z77" s="413">
        <f t="shared" si="13"/>
        <v>0</v>
      </c>
    </row>
    <row r="78" spans="1:26">
      <c r="A78" s="414"/>
      <c r="B78" s="414"/>
      <c r="D78" t="s">
        <v>517</v>
      </c>
      <c r="E78">
        <v>0</v>
      </c>
      <c r="F78">
        <v>0</v>
      </c>
      <c r="G78">
        <v>0</v>
      </c>
      <c r="H78">
        <v>0</v>
      </c>
      <c r="I78">
        <v>0</v>
      </c>
      <c r="J78">
        <v>0</v>
      </c>
      <c r="K78">
        <v>0</v>
      </c>
      <c r="L78">
        <v>0</v>
      </c>
      <c r="M78">
        <v>0</v>
      </c>
      <c r="N78">
        <v>0</v>
      </c>
      <c r="O78">
        <v>0</v>
      </c>
      <c r="P78">
        <v>0</v>
      </c>
      <c r="Q78">
        <v>0</v>
      </c>
      <c r="R78">
        <v>0</v>
      </c>
      <c r="S78">
        <v>0</v>
      </c>
      <c r="T78">
        <v>0</v>
      </c>
      <c r="U78">
        <v>0</v>
      </c>
      <c r="V78">
        <v>0</v>
      </c>
      <c r="W78">
        <v>0</v>
      </c>
      <c r="X78">
        <v>0</v>
      </c>
      <c r="Y78" s="413">
        <f t="shared" si="12"/>
        <v>0</v>
      </c>
      <c r="Z78" s="413">
        <f t="shared" si="13"/>
        <v>0</v>
      </c>
    </row>
    <row r="79" spans="1:26">
      <c r="A79" s="414"/>
      <c r="B79" s="414"/>
      <c r="D79" t="s">
        <v>519</v>
      </c>
      <c r="E79">
        <v>0</v>
      </c>
      <c r="F79">
        <v>0</v>
      </c>
      <c r="G79">
        <v>0</v>
      </c>
      <c r="H79">
        <v>0</v>
      </c>
      <c r="I79">
        <v>0</v>
      </c>
      <c r="J79">
        <v>0</v>
      </c>
      <c r="K79">
        <v>0</v>
      </c>
      <c r="L79">
        <v>0</v>
      </c>
      <c r="M79">
        <v>0</v>
      </c>
      <c r="N79">
        <v>0</v>
      </c>
      <c r="O79">
        <v>0</v>
      </c>
      <c r="P79">
        <v>0</v>
      </c>
      <c r="Q79">
        <v>0</v>
      </c>
      <c r="R79">
        <v>0</v>
      </c>
      <c r="S79">
        <v>0</v>
      </c>
      <c r="T79">
        <v>0</v>
      </c>
      <c r="U79">
        <v>0</v>
      </c>
      <c r="V79">
        <v>0</v>
      </c>
      <c r="W79">
        <v>0</v>
      </c>
      <c r="X79">
        <v>0</v>
      </c>
      <c r="Y79" s="413">
        <f t="shared" si="12"/>
        <v>0</v>
      </c>
      <c r="Z79" s="413">
        <f t="shared" si="13"/>
        <v>0</v>
      </c>
    </row>
    <row r="80" spans="1:26">
      <c r="A80" s="414"/>
      <c r="B80" s="414"/>
      <c r="D80" t="s">
        <v>518</v>
      </c>
      <c r="E80">
        <v>0</v>
      </c>
      <c r="F80">
        <v>0</v>
      </c>
      <c r="G80">
        <v>0</v>
      </c>
      <c r="H80">
        <v>0</v>
      </c>
      <c r="I80">
        <v>0</v>
      </c>
      <c r="J80">
        <v>0</v>
      </c>
      <c r="K80">
        <v>0</v>
      </c>
      <c r="L80">
        <v>0</v>
      </c>
      <c r="M80">
        <v>0</v>
      </c>
      <c r="N80">
        <v>0</v>
      </c>
      <c r="O80">
        <v>0</v>
      </c>
      <c r="P80">
        <v>0</v>
      </c>
      <c r="Q80">
        <v>0</v>
      </c>
      <c r="R80">
        <v>0</v>
      </c>
      <c r="S80">
        <v>0</v>
      </c>
      <c r="T80">
        <v>0</v>
      </c>
      <c r="U80">
        <v>0</v>
      </c>
      <c r="V80">
        <v>0</v>
      </c>
      <c r="W80">
        <v>0</v>
      </c>
      <c r="X80">
        <v>0</v>
      </c>
      <c r="Y80" s="413">
        <f t="shared" si="12"/>
        <v>0</v>
      </c>
      <c r="Z80" s="413">
        <f t="shared" si="13"/>
        <v>0</v>
      </c>
    </row>
    <row r="81" spans="1:26">
      <c r="A81" s="414"/>
      <c r="B81" s="414"/>
      <c r="D81" t="s">
        <v>513</v>
      </c>
      <c r="E81">
        <v>0</v>
      </c>
      <c r="F81">
        <v>0</v>
      </c>
      <c r="G81">
        <v>0</v>
      </c>
      <c r="H81">
        <v>0</v>
      </c>
      <c r="I81">
        <v>0</v>
      </c>
      <c r="J81">
        <v>0</v>
      </c>
      <c r="K81">
        <v>0</v>
      </c>
      <c r="L81">
        <v>0</v>
      </c>
      <c r="M81">
        <v>0</v>
      </c>
      <c r="N81">
        <v>0</v>
      </c>
      <c r="O81">
        <v>0</v>
      </c>
      <c r="P81">
        <v>0</v>
      </c>
      <c r="Q81">
        <v>0</v>
      </c>
      <c r="R81">
        <v>0</v>
      </c>
      <c r="S81">
        <v>0</v>
      </c>
      <c r="T81">
        <v>0</v>
      </c>
      <c r="U81">
        <v>0</v>
      </c>
      <c r="V81">
        <v>0</v>
      </c>
      <c r="W81">
        <v>0</v>
      </c>
      <c r="X81">
        <v>0</v>
      </c>
      <c r="Y81" s="413">
        <f t="shared" si="12"/>
        <v>0</v>
      </c>
      <c r="Z81" s="413">
        <f t="shared" si="13"/>
        <v>0</v>
      </c>
    </row>
    <row r="82" spans="1:26">
      <c r="A82" s="414"/>
      <c r="B82" s="414"/>
      <c r="D82" t="s">
        <v>514</v>
      </c>
      <c r="E82">
        <v>0</v>
      </c>
      <c r="F82">
        <v>0</v>
      </c>
      <c r="G82">
        <v>0</v>
      </c>
      <c r="H82">
        <v>0</v>
      </c>
      <c r="I82">
        <v>0</v>
      </c>
      <c r="J82">
        <v>0</v>
      </c>
      <c r="K82">
        <v>0</v>
      </c>
      <c r="L82">
        <v>0</v>
      </c>
      <c r="M82">
        <v>0</v>
      </c>
      <c r="N82">
        <v>0</v>
      </c>
      <c r="O82">
        <v>0</v>
      </c>
      <c r="P82">
        <v>0</v>
      </c>
      <c r="Q82">
        <v>0</v>
      </c>
      <c r="R82">
        <v>0</v>
      </c>
      <c r="S82">
        <v>0</v>
      </c>
      <c r="T82">
        <v>0</v>
      </c>
      <c r="U82">
        <v>0</v>
      </c>
      <c r="V82">
        <v>0</v>
      </c>
      <c r="W82">
        <v>0</v>
      </c>
      <c r="X82">
        <v>0</v>
      </c>
      <c r="Y82" s="413">
        <f t="shared" si="12"/>
        <v>0</v>
      </c>
      <c r="Z82" s="413">
        <f t="shared" si="13"/>
        <v>0</v>
      </c>
    </row>
    <row r="83" spans="1:26">
      <c r="A83" s="414"/>
      <c r="B83" s="414"/>
      <c r="D83" t="s">
        <v>512</v>
      </c>
      <c r="E83">
        <v>0</v>
      </c>
      <c r="F83">
        <v>0</v>
      </c>
      <c r="G83">
        <v>0</v>
      </c>
      <c r="H83">
        <v>0</v>
      </c>
      <c r="I83">
        <v>0</v>
      </c>
      <c r="J83">
        <v>0</v>
      </c>
      <c r="K83">
        <v>0</v>
      </c>
      <c r="L83">
        <v>0</v>
      </c>
      <c r="M83">
        <v>0</v>
      </c>
      <c r="N83">
        <v>0</v>
      </c>
      <c r="O83">
        <v>0</v>
      </c>
      <c r="P83">
        <v>0</v>
      </c>
      <c r="Q83">
        <v>0</v>
      </c>
      <c r="R83">
        <v>0</v>
      </c>
      <c r="S83">
        <v>0</v>
      </c>
      <c r="T83">
        <v>0</v>
      </c>
      <c r="U83">
        <v>0</v>
      </c>
      <c r="V83">
        <v>0</v>
      </c>
      <c r="W83">
        <v>0</v>
      </c>
      <c r="X83">
        <v>0</v>
      </c>
      <c r="Y83" s="413">
        <f t="shared" si="12"/>
        <v>0</v>
      </c>
      <c r="Z83" s="413">
        <f t="shared" si="13"/>
        <v>0</v>
      </c>
    </row>
    <row r="84" spans="1:26">
      <c r="A84" s="414"/>
      <c r="B84" s="414"/>
      <c r="D84" t="s">
        <v>509</v>
      </c>
      <c r="E84">
        <v>0</v>
      </c>
      <c r="F84">
        <v>0</v>
      </c>
      <c r="G84">
        <v>0</v>
      </c>
      <c r="H84">
        <v>0</v>
      </c>
      <c r="I84">
        <v>0</v>
      </c>
      <c r="J84">
        <v>0</v>
      </c>
      <c r="K84">
        <v>0</v>
      </c>
      <c r="L84">
        <v>0</v>
      </c>
      <c r="M84">
        <v>0</v>
      </c>
      <c r="N84">
        <v>0</v>
      </c>
      <c r="O84">
        <v>0</v>
      </c>
      <c r="P84">
        <v>0</v>
      </c>
      <c r="Q84">
        <v>0</v>
      </c>
      <c r="R84">
        <v>0</v>
      </c>
      <c r="S84">
        <v>0</v>
      </c>
      <c r="T84">
        <v>0</v>
      </c>
      <c r="U84">
        <v>0</v>
      </c>
      <c r="V84">
        <v>0</v>
      </c>
      <c r="W84">
        <v>0</v>
      </c>
      <c r="X84">
        <v>0</v>
      </c>
      <c r="Y84" s="413">
        <f t="shared" si="12"/>
        <v>0</v>
      </c>
      <c r="Z84" s="413">
        <f t="shared" si="13"/>
        <v>0</v>
      </c>
    </row>
    <row r="85" spans="1:26">
      <c r="A85" s="414"/>
      <c r="B85" s="414"/>
      <c r="D85" t="s">
        <v>510</v>
      </c>
      <c r="E85">
        <v>0</v>
      </c>
      <c r="F85">
        <v>0</v>
      </c>
      <c r="G85">
        <v>0</v>
      </c>
      <c r="H85">
        <v>0</v>
      </c>
      <c r="I85">
        <v>0</v>
      </c>
      <c r="J85">
        <v>0</v>
      </c>
      <c r="K85">
        <v>0</v>
      </c>
      <c r="L85">
        <v>0</v>
      </c>
      <c r="M85">
        <v>0</v>
      </c>
      <c r="N85">
        <v>0</v>
      </c>
      <c r="O85">
        <v>0</v>
      </c>
      <c r="P85">
        <v>0</v>
      </c>
      <c r="Q85">
        <v>0</v>
      </c>
      <c r="R85">
        <v>0</v>
      </c>
      <c r="S85">
        <v>0</v>
      </c>
      <c r="T85">
        <v>0</v>
      </c>
      <c r="U85">
        <v>0</v>
      </c>
      <c r="V85">
        <v>0</v>
      </c>
      <c r="W85">
        <v>0</v>
      </c>
      <c r="X85">
        <v>0</v>
      </c>
      <c r="Y85" s="413">
        <f t="shared" si="12"/>
        <v>0</v>
      </c>
      <c r="Z85" s="413">
        <f t="shared" si="13"/>
        <v>0</v>
      </c>
    </row>
    <row r="86" spans="1:26">
      <c r="A86" s="414"/>
      <c r="B86" s="414"/>
      <c r="N86" s="416"/>
      <c r="O86" s="416"/>
      <c r="P86" s="416"/>
      <c r="Q86" s="416"/>
      <c r="R86" s="416"/>
      <c r="S86" s="416"/>
      <c r="T86" s="416"/>
      <c r="U86" s="416"/>
      <c r="V86" s="416"/>
      <c r="W86" s="416"/>
      <c r="X86" s="416"/>
      <c r="Y86" s="413"/>
      <c r="Z86" s="413"/>
    </row>
    <row r="87" spans="1:26">
      <c r="A87" s="414"/>
      <c r="B87" s="414"/>
      <c r="D87" t="s">
        <v>740</v>
      </c>
      <c r="N87" s="416"/>
      <c r="O87" s="416"/>
      <c r="P87" s="416"/>
      <c r="Q87" s="416"/>
      <c r="R87" s="416"/>
      <c r="S87" s="416"/>
      <c r="T87" s="416"/>
      <c r="U87" s="416"/>
      <c r="V87" s="416"/>
      <c r="W87" s="416"/>
      <c r="X87" s="416"/>
      <c r="Y87" s="413"/>
      <c r="Z87" s="413"/>
    </row>
    <row r="90" spans="1:26">
      <c r="D90" s="417" t="str">
        <f>VLOOKUP($D$91,[1]!ACHIEV,MATCH(E$11,$E$11:$Z$11,0)+1,FALSE)</f>
        <v>Retro1Slow</v>
      </c>
      <c r="E90">
        <v>2</v>
      </c>
      <c r="F90">
        <v>3</v>
      </c>
      <c r="G90">
        <v>4</v>
      </c>
      <c r="H90">
        <v>5</v>
      </c>
      <c r="I90">
        <v>6</v>
      </c>
      <c r="J90">
        <v>7</v>
      </c>
      <c r="K90">
        <v>8</v>
      </c>
      <c r="L90">
        <v>9</v>
      </c>
      <c r="M90">
        <v>10</v>
      </c>
      <c r="N90">
        <v>11</v>
      </c>
      <c r="O90">
        <v>12</v>
      </c>
      <c r="P90">
        <v>13</v>
      </c>
      <c r="Q90">
        <v>14</v>
      </c>
      <c r="R90">
        <v>15</v>
      </c>
      <c r="S90">
        <v>16</v>
      </c>
      <c r="T90">
        <v>17</v>
      </c>
      <c r="U90">
        <v>18</v>
      </c>
      <c r="V90">
        <v>19</v>
      </c>
      <c r="W90">
        <v>20</v>
      </c>
      <c r="X90">
        <v>21</v>
      </c>
    </row>
    <row r="91" spans="1:26" ht="15">
      <c r="A91" s="84" t="s">
        <v>186</v>
      </c>
      <c r="B91" s="84"/>
      <c r="C91" s="19"/>
      <c r="D91" s="72" t="str">
        <f>$C$8</f>
        <v>Secondary Glazing Systems-Retro</v>
      </c>
      <c r="E91" s="73">
        <f>VLOOKUP($D$91,[1]!ACHIEV,MATCH(E$11,$E$11:$Z$11,0)+2,FALSE)</f>
        <v>2.5643970768378654E-3</v>
      </c>
      <c r="F91" s="73">
        <f>VLOOKUP($D$91,[1]!ACHIEV,MATCH(F$11,$E$11:$Z$11,0)+2,FALSE)</f>
        <v>5.1260615529385989E-3</v>
      </c>
      <c r="G91" s="73">
        <f>VLOOKUP($D$91,[1]!ACHIEV,MATCH(G$11,$E$11:$Z$11,0)+2,FALSE)</f>
        <v>9.1015544176433795E-3</v>
      </c>
      <c r="H91" s="73">
        <f>VLOOKUP($D$91,[1]!ACHIEV,MATCH(H$11,$E$11:$Z$11,0)+2,FALSE)</f>
        <v>1.4804925730045659E-2</v>
      </c>
      <c r="I91" s="73">
        <f>VLOOKUP($D$91,[1]!ACHIEV,MATCH(I$11,$E$11:$Z$11,0)+2,FALSE)</f>
        <v>2.2471809420486211E-2</v>
      </c>
      <c r="J91" s="73">
        <f>VLOOKUP($D$91,[1]!ACHIEV,MATCH(J$11,$E$11:$Z$11,0)+2,FALSE)</f>
        <v>3.2184432813882391E-2</v>
      </c>
      <c r="K91" s="73">
        <f>VLOOKUP($D$91,[1]!ACHIEV,MATCH(K$11,$E$11:$Z$11,0)+2,FALSE)</f>
        <v>4.3779667172004086E-2</v>
      </c>
      <c r="L91" s="73">
        <f>VLOOKUP($D$91,[1]!ACHIEV,MATCH(L$11,$E$11:$Z$11,0)+2,FALSE)</f>
        <v>5.675426075474499E-2</v>
      </c>
      <c r="M91" s="73">
        <f>VLOOKUP($D$91,[1]!ACHIEV,MATCH(M$11,$E$11:$Z$11,0)+2,FALSE)</f>
        <v>7.0195239068707532E-2</v>
      </c>
      <c r="N91" s="73">
        <f>VLOOKUP($D$91,[1]!ACHIEV,MATCH(N$11,$E$11:$Z$11,0)+2,FALSE)</f>
        <v>8.2776861842756788E-2</v>
      </c>
      <c r="O91" s="73">
        <f>VLOOKUP($D$91,[1]!ACHIEV,MATCH(O$11,$E$11:$Z$11,0)+2,FALSE)</f>
        <v>9.2870259507494834E-2</v>
      </c>
      <c r="P91" s="73">
        <f>VLOOKUP($D$91,[1]!ACHIEV,MATCH(P$11,$E$11:$Z$11,0)+2,FALSE)</f>
        <v>9.8796470678915727E-2</v>
      </c>
      <c r="Q91" s="73">
        <f>VLOOKUP($D$91,[1]!ACHIEV,MATCH(Q$11,$E$11:$Z$11,0)+2,FALSE)</f>
        <v>9.9208932889988999E-2</v>
      </c>
      <c r="R91" s="73">
        <f>VLOOKUP($D$91,[1]!ACHIEV,MATCH(R$11,$E$11:$Z$11,0)+2,FALSE)</f>
        <v>9.3521150494244254E-2</v>
      </c>
      <c r="S91" s="73">
        <f>VLOOKUP($D$91,[1]!ACHIEV,MATCH(S$11,$E$11:$Z$11,0)+2,FALSE)</f>
        <v>8.2226007896862296E-2</v>
      </c>
      <c r="T91" s="73">
        <f>VLOOKUP($D$91,[1]!ACHIEV,MATCH(T$11,$E$11:$Z$11,0)+2,FALSE)</f>
        <v>6.6933566027365665E-2</v>
      </c>
      <c r="U91" s="73">
        <f>VLOOKUP($D$91,[1]!ACHIEV,MATCH(U$11,$E$11:$Z$11,0)+2,FALSE)</f>
        <v>5.0029565143448806E-2</v>
      </c>
      <c r="V91" s="73">
        <f>VLOOKUP($D$91,[1]!ACHIEV,MATCH(V$11,$E$11:$Z$11,0)+2,FALSE)</f>
        <v>3.402486521893211E-2</v>
      </c>
      <c r="W91" s="73">
        <f>VLOOKUP($D$91,[1]!ACHIEV,MATCH(W$11,$E$11:$Z$11,0)+2,FALSE)</f>
        <v>2.0846059340774659E-2</v>
      </c>
      <c r="X91" s="73">
        <f>VLOOKUP($D$91,[1]!ACHIEV,MATCH(X$11,$E$11:$Z$11,0)+2,FALSE)</f>
        <v>0.01</v>
      </c>
    </row>
    <row r="92" spans="1:26">
      <c r="A92" s="65" t="s">
        <v>72</v>
      </c>
      <c r="B92" s="65"/>
      <c r="D92" t="s">
        <v>527</v>
      </c>
      <c r="E92" s="419">
        <f>(E38+E65)*E$91*$Y$12</f>
        <v>2.9177255239351024E-2</v>
      </c>
      <c r="F92" s="419">
        <f t="shared" ref="F92:X106" si="14">(F38+F65)*F$91*$Y$12</f>
        <v>5.8072487857572241E-2</v>
      </c>
      <c r="G92" s="419">
        <f t="shared" si="14"/>
        <v>0.10266707316275139</v>
      </c>
      <c r="H92" s="419">
        <f t="shared" si="14"/>
        <v>0.16628473337900929</v>
      </c>
      <c r="I92" s="419">
        <f t="shared" si="14"/>
        <v>0.25131375292905217</v>
      </c>
      <c r="J92" s="419">
        <f t="shared" si="14"/>
        <v>0.35839147302992208</v>
      </c>
      <c r="K92" s="419">
        <f t="shared" si="14"/>
        <v>0.48542191949921615</v>
      </c>
      <c r="L92" s="419">
        <f t="shared" si="14"/>
        <v>0.62658794802321527</v>
      </c>
      <c r="M92" s="419">
        <f t="shared" si="14"/>
        <v>0.77166601933926904</v>
      </c>
      <c r="N92" s="419">
        <f t="shared" si="14"/>
        <v>0.90608791722763871</v>
      </c>
      <c r="O92" s="419">
        <f t="shared" si="14"/>
        <v>1.0122300074930177</v>
      </c>
      <c r="P92" s="419">
        <f t="shared" si="14"/>
        <v>1.0722267725648429</v>
      </c>
      <c r="Q92" s="419">
        <f t="shared" si="14"/>
        <v>1.0721120030647711</v>
      </c>
      <c r="R92" s="419">
        <f t="shared" si="14"/>
        <v>1.0063403244960947</v>
      </c>
      <c r="S92" s="419">
        <f t="shared" si="14"/>
        <v>0.88103138827678562</v>
      </c>
      <c r="T92" s="419">
        <f t="shared" si="14"/>
        <v>0.71412586319889371</v>
      </c>
      <c r="U92" s="419">
        <f t="shared" si="14"/>
        <v>0.53150533310918036</v>
      </c>
      <c r="V92" s="419">
        <f t="shared" si="14"/>
        <v>0.35993898269798136</v>
      </c>
      <c r="W92" s="419">
        <f t="shared" si="14"/>
        <v>0.21958844429217184</v>
      </c>
      <c r="X92" s="419">
        <f t="shared" si="14"/>
        <v>0.10489143249003612</v>
      </c>
    </row>
    <row r="93" spans="1:26">
      <c r="A93" s="65"/>
      <c r="B93" s="65"/>
      <c r="D93" t="s">
        <v>525</v>
      </c>
      <c r="E93" s="419">
        <f t="shared" ref="E93:T112" si="15">(E39+E66)*E$91*$Y$12</f>
        <v>6.6018126920034505E-3</v>
      </c>
      <c r="F93" s="419">
        <f t="shared" si="15"/>
        <v>1.3139813332313439E-2</v>
      </c>
      <c r="G93" s="419">
        <f t="shared" si="15"/>
        <v>2.3230039326748362E-2</v>
      </c>
      <c r="H93" s="419">
        <f t="shared" si="15"/>
        <v>3.7624535080578426E-2</v>
      </c>
      <c r="I93" s="419">
        <f t="shared" si="15"/>
        <v>5.686368749053515E-2</v>
      </c>
      <c r="J93" s="419">
        <f t="shared" si="15"/>
        <v>8.1091705026582167E-2</v>
      </c>
      <c r="K93" s="419">
        <f t="shared" si="15"/>
        <v>0.10983434057925054</v>
      </c>
      <c r="L93" s="419">
        <f t="shared" si="15"/>
        <v>0.14177537379654048</v>
      </c>
      <c r="M93" s="419">
        <f t="shared" si="15"/>
        <v>0.17460156819655251</v>
      </c>
      <c r="N93" s="419">
        <f t="shared" si="15"/>
        <v>0.20501663583340704</v>
      </c>
      <c r="O93" s="419">
        <f t="shared" si="15"/>
        <v>0.22903295241018667</v>
      </c>
      <c r="P93" s="419">
        <f t="shared" si="15"/>
        <v>0.24260816371368604</v>
      </c>
      <c r="Q93" s="419">
        <f t="shared" si="15"/>
        <v>0.24258219531000952</v>
      </c>
      <c r="R93" s="419">
        <f t="shared" si="15"/>
        <v>0.22770031904073507</v>
      </c>
      <c r="S93" s="419">
        <f t="shared" si="15"/>
        <v>0.1993472022458983</v>
      </c>
      <c r="T93" s="419">
        <f t="shared" si="15"/>
        <v>0.16158220328401388</v>
      </c>
      <c r="U93" s="419">
        <f t="shared" si="14"/>
        <v>0.1202614373834348</v>
      </c>
      <c r="V93" s="419">
        <f t="shared" si="14"/>
        <v>8.144185341729894E-2</v>
      </c>
      <c r="W93" s="419">
        <f t="shared" si="14"/>
        <v>4.9685337659526783E-2</v>
      </c>
      <c r="X93" s="419">
        <f t="shared" si="14"/>
        <v>2.3733335593582924E-2</v>
      </c>
    </row>
    <row r="94" spans="1:26">
      <c r="A94" s="65"/>
      <c r="B94" s="65"/>
      <c r="D94" t="s">
        <v>526</v>
      </c>
      <c r="E94" s="419">
        <f t="shared" si="15"/>
        <v>1.2736551478290594E-3</v>
      </c>
      <c r="F94" s="419">
        <f t="shared" si="14"/>
        <v>2.5349993513880159E-3</v>
      </c>
      <c r="G94" s="419">
        <f t="shared" si="14"/>
        <v>4.4816568650338021E-3</v>
      </c>
      <c r="H94" s="419">
        <f t="shared" si="14"/>
        <v>7.2587159051177609E-3</v>
      </c>
      <c r="I94" s="419">
        <f t="shared" si="14"/>
        <v>1.0970430649234954E-2</v>
      </c>
      <c r="J94" s="419">
        <f t="shared" si="14"/>
        <v>1.5644622525938217E-2</v>
      </c>
      <c r="K94" s="419">
        <f t="shared" si="14"/>
        <v>2.1189797380440353E-2</v>
      </c>
      <c r="L94" s="419">
        <f t="shared" si="14"/>
        <v>2.7352023314759406E-2</v>
      </c>
      <c r="M94" s="419">
        <f t="shared" si="14"/>
        <v>3.3685019028475253E-2</v>
      </c>
      <c r="N94" s="419">
        <f t="shared" si="14"/>
        <v>3.9552847952820713E-2</v>
      </c>
      <c r="O94" s="419">
        <f t="shared" si="14"/>
        <v>4.4186197408032993E-2</v>
      </c>
      <c r="P94" s="419">
        <f t="shared" si="14"/>
        <v>4.6805195941649703E-2</v>
      </c>
      <c r="Q94" s="419">
        <f t="shared" si="14"/>
        <v>4.6800185985662386E-2</v>
      </c>
      <c r="R94" s="419">
        <f t="shared" si="14"/>
        <v>4.3929099027579598E-2</v>
      </c>
      <c r="S94" s="419">
        <f t="shared" si="14"/>
        <v>3.8459072105052124E-2</v>
      </c>
      <c r="T94" s="419">
        <f t="shared" si="14"/>
        <v>3.1173257196394608E-2</v>
      </c>
      <c r="U94" s="419">
        <f t="shared" si="14"/>
        <v>2.3201445717214199E-2</v>
      </c>
      <c r="V94" s="419">
        <f t="shared" si="14"/>
        <v>1.5712174927247732E-2</v>
      </c>
      <c r="W94" s="419">
        <f t="shared" si="14"/>
        <v>9.5855470359425109E-3</v>
      </c>
      <c r="X94" s="419">
        <f t="shared" si="14"/>
        <v>4.5787553304164133E-3</v>
      </c>
    </row>
    <row r="95" spans="1:26">
      <c r="A95" s="65"/>
      <c r="B95" s="65"/>
      <c r="D95" t="s">
        <v>523</v>
      </c>
      <c r="E95" s="419">
        <f t="shared" si="15"/>
        <v>1.4281297448622662E-2</v>
      </c>
      <c r="F95" s="419">
        <f t="shared" si="14"/>
        <v>2.8424554190312649E-2</v>
      </c>
      <c r="G95" s="419">
        <f t="shared" si="14"/>
        <v>5.0252122689021315E-2</v>
      </c>
      <c r="H95" s="419">
        <f t="shared" si="14"/>
        <v>8.1390854591001108E-2</v>
      </c>
      <c r="I95" s="419">
        <f t="shared" si="14"/>
        <v>0.12300973580506297</v>
      </c>
      <c r="J95" s="419">
        <f t="shared" si="14"/>
        <v>0.17542072369053269</v>
      </c>
      <c r="K95" s="419">
        <f t="shared" si="14"/>
        <v>0.23759790849346066</v>
      </c>
      <c r="L95" s="419">
        <f t="shared" si="14"/>
        <v>0.30669399126251362</v>
      </c>
      <c r="M95" s="419">
        <f t="shared" si="14"/>
        <v>0.37770488905740635</v>
      </c>
      <c r="N95" s="419">
        <f t="shared" si="14"/>
        <v>0.44349994385622399</v>
      </c>
      <c r="O95" s="419">
        <f t="shared" si="14"/>
        <v>0.49545297200994931</v>
      </c>
      <c r="P95" s="419">
        <f t="shared" si="14"/>
        <v>0.52481939599044325</v>
      </c>
      <c r="Q95" s="419">
        <f t="shared" si="14"/>
        <v>0.52476322013170984</v>
      </c>
      <c r="R95" s="419">
        <f t="shared" si="14"/>
        <v>0.49257016778223317</v>
      </c>
      <c r="S95" s="419">
        <f t="shared" si="14"/>
        <v>0.43123560507446834</v>
      </c>
      <c r="T95" s="419">
        <f t="shared" si="14"/>
        <v>0.34954089356366264</v>
      </c>
      <c r="U95" s="419">
        <f t="shared" si="14"/>
        <v>0.26015420900263908</v>
      </c>
      <c r="V95" s="419">
        <f t="shared" si="14"/>
        <v>0.17617817827948823</v>
      </c>
      <c r="W95" s="419">
        <f t="shared" si="14"/>
        <v>0.10748125084045998</v>
      </c>
      <c r="X95" s="419">
        <f t="shared" si="14"/>
        <v>5.1340872707656637E-2</v>
      </c>
    </row>
    <row r="96" spans="1:26">
      <c r="A96" s="65"/>
      <c r="B96" s="65"/>
      <c r="D96" t="s">
        <v>516</v>
      </c>
      <c r="E96" s="419">
        <f t="shared" si="15"/>
        <v>3.2313680632795067E-3</v>
      </c>
      <c r="F96" s="419">
        <f t="shared" si="14"/>
        <v>6.4315022464847783E-3</v>
      </c>
      <c r="G96" s="419">
        <f t="shared" si="14"/>
        <v>1.1370332769377881E-2</v>
      </c>
      <c r="H96" s="419">
        <f t="shared" si="14"/>
        <v>1.8415960392572893E-2</v>
      </c>
      <c r="I96" s="419">
        <f t="shared" si="14"/>
        <v>2.7832886555504487E-2</v>
      </c>
      <c r="J96" s="419">
        <f t="shared" si="14"/>
        <v>3.9691696514985407E-2</v>
      </c>
      <c r="K96" s="419">
        <f t="shared" si="14"/>
        <v>5.3760262060911113E-2</v>
      </c>
      <c r="L96" s="419">
        <f t="shared" si="14"/>
        <v>6.939433704330486E-2</v>
      </c>
      <c r="M96" s="419">
        <f t="shared" si="14"/>
        <v>8.5461669028001508E-2</v>
      </c>
      <c r="N96" s="419">
        <f t="shared" si="14"/>
        <v>0.10034883453684182</v>
      </c>
      <c r="O96" s="419">
        <f t="shared" si="14"/>
        <v>0.11210402390745464</v>
      </c>
      <c r="P96" s="419">
        <f t="shared" si="14"/>
        <v>0.11874863900105355</v>
      </c>
      <c r="Q96" s="419">
        <f t="shared" si="14"/>
        <v>0.11873592832987738</v>
      </c>
      <c r="R96" s="419">
        <f t="shared" si="14"/>
        <v>0.11145174413051968</v>
      </c>
      <c r="S96" s="419">
        <f t="shared" si="14"/>
        <v>9.7573835080442442E-2</v>
      </c>
      <c r="T96" s="419">
        <f t="shared" si="14"/>
        <v>7.9089122282845065E-2</v>
      </c>
      <c r="U96" s="419">
        <f t="shared" si="14"/>
        <v>5.8863979657530742E-2</v>
      </c>
      <c r="V96" s="419">
        <f t="shared" si="14"/>
        <v>3.98630825236405E-2</v>
      </c>
      <c r="W96" s="419">
        <f t="shared" si="14"/>
        <v>2.4319322709764859E-2</v>
      </c>
      <c r="X96" s="419">
        <f t="shared" si="14"/>
        <v>1.16166795772761E-2</v>
      </c>
    </row>
    <row r="97" spans="1:24">
      <c r="A97" s="65"/>
      <c r="B97" s="65"/>
      <c r="D97" t="s">
        <v>520</v>
      </c>
      <c r="E97" s="419">
        <f t="shared" si="15"/>
        <v>6.2341189614656986E-4</v>
      </c>
      <c r="F97" s="419">
        <f t="shared" si="14"/>
        <v>1.2407979939254566E-3</v>
      </c>
      <c r="G97" s="419">
        <f t="shared" si="14"/>
        <v>2.1936221973987528E-3</v>
      </c>
      <c r="H97" s="419">
        <f t="shared" si="14"/>
        <v>3.552900370019204E-3</v>
      </c>
      <c r="I97" s="419">
        <f t="shared" si="14"/>
        <v>5.3696614693869264E-3</v>
      </c>
      <c r="J97" s="419">
        <f t="shared" si="14"/>
        <v>7.6575231608151618E-3</v>
      </c>
      <c r="K97" s="419">
        <f t="shared" si="14"/>
        <v>1.0371702094101602E-2</v>
      </c>
      <c r="L97" s="419">
        <f t="shared" si="14"/>
        <v>1.3387907038387667E-2</v>
      </c>
      <c r="M97" s="419">
        <f t="shared" si="14"/>
        <v>1.6487698118339847E-2</v>
      </c>
      <c r="N97" s="419">
        <f t="shared" si="14"/>
        <v>1.935980550331377E-2</v>
      </c>
      <c r="O97" s="419">
        <f t="shared" si="14"/>
        <v>2.1627676185819136E-2</v>
      </c>
      <c r="P97" s="419">
        <f t="shared" si="14"/>
        <v>2.2909588989791261E-2</v>
      </c>
      <c r="Q97" s="419">
        <f t="shared" si="14"/>
        <v>2.2907136782718572E-2</v>
      </c>
      <c r="R97" s="419">
        <f t="shared" si="14"/>
        <v>2.1501835066951244E-2</v>
      </c>
      <c r="S97" s="419">
        <f t="shared" si="14"/>
        <v>1.8824438550666508E-2</v>
      </c>
      <c r="T97" s="419">
        <f t="shared" si="14"/>
        <v>1.5258274118385871E-2</v>
      </c>
      <c r="U97" s="419">
        <f t="shared" si="14"/>
        <v>1.1356337147118789E-2</v>
      </c>
      <c r="V97" s="419">
        <f t="shared" si="14"/>
        <v>7.6905878178076007E-3</v>
      </c>
      <c r="W97" s="419">
        <f t="shared" si="14"/>
        <v>4.6918069333482353E-3</v>
      </c>
      <c r="X97" s="419">
        <f t="shared" si="14"/>
        <v>2.2411486715156071E-3</v>
      </c>
    </row>
    <row r="98" spans="1:24">
      <c r="A98" s="65"/>
      <c r="B98" s="65"/>
      <c r="D98" t="s">
        <v>511</v>
      </c>
      <c r="E98" s="419">
        <f t="shared" si="15"/>
        <v>2.9685870947421321E-3</v>
      </c>
      <c r="F98" s="419">
        <f t="shared" si="14"/>
        <v>5.9084803076697003E-3</v>
      </c>
      <c r="G98" s="419">
        <f t="shared" si="14"/>
        <v>1.0445675782238832E-2</v>
      </c>
      <c r="H98" s="419">
        <f t="shared" si="14"/>
        <v>1.691833962832149E-2</v>
      </c>
      <c r="I98" s="419">
        <f t="shared" si="14"/>
        <v>2.5569463527542934E-2</v>
      </c>
      <c r="J98" s="419">
        <f t="shared" si="14"/>
        <v>3.6463892609999791E-2</v>
      </c>
      <c r="K98" s="419">
        <f t="shared" si="14"/>
        <v>4.9388375771098718E-2</v>
      </c>
      <c r="L98" s="419">
        <f t="shared" si="14"/>
        <v>6.3751058177466985E-2</v>
      </c>
      <c r="M98" s="419">
        <f t="shared" si="14"/>
        <v>7.8511764306468002E-2</v>
      </c>
      <c r="N98" s="419">
        <f t="shared" si="14"/>
        <v>9.2188277331722482E-2</v>
      </c>
      <c r="O98" s="419">
        <f t="shared" si="14"/>
        <v>0.10298751244777267</v>
      </c>
      <c r="P98" s="419">
        <f t="shared" si="14"/>
        <v>0.10909177486236357</v>
      </c>
      <c r="Q98" s="419">
        <f t="shared" si="14"/>
        <v>0.10908009784703131</v>
      </c>
      <c r="R98" s="419">
        <f t="shared" si="14"/>
        <v>0.10238827729719525</v>
      </c>
      <c r="S98" s="419">
        <f t="shared" si="14"/>
        <v>8.9638946084751189E-2</v>
      </c>
      <c r="T98" s="419">
        <f t="shared" si="14"/>
        <v>7.2657445127143963E-2</v>
      </c>
      <c r="U98" s="419">
        <f t="shared" si="14"/>
        <v>5.4077049390394462E-2</v>
      </c>
      <c r="V98" s="419">
        <f t="shared" si="14"/>
        <v>3.6621341183962763E-2</v>
      </c>
      <c r="W98" s="419">
        <f t="shared" si="14"/>
        <v>2.2341629345623875E-2</v>
      </c>
      <c r="X98" s="419">
        <f t="shared" si="14"/>
        <v>1.0671989201334574E-2</v>
      </c>
    </row>
    <row r="99" spans="1:24">
      <c r="A99" s="65"/>
      <c r="B99" s="65"/>
      <c r="D99" t="s">
        <v>507</v>
      </c>
      <c r="E99" s="419">
        <f t="shared" si="15"/>
        <v>6.7168949918752416E-4</v>
      </c>
      <c r="F99" s="419">
        <f t="shared" si="14"/>
        <v>1.3368865565194915E-3</v>
      </c>
      <c r="G99" s="419">
        <f t="shared" si="14"/>
        <v>2.3634983616529943E-3</v>
      </c>
      <c r="H99" s="419">
        <f t="shared" si="14"/>
        <v>3.8280403132382526E-3</v>
      </c>
      <c r="I99" s="419">
        <f t="shared" si="14"/>
        <v>5.7854930993024734E-3</v>
      </c>
      <c r="J99" s="419">
        <f t="shared" si="14"/>
        <v>8.2505289499569066E-3</v>
      </c>
      <c r="K99" s="419">
        <f t="shared" si="14"/>
        <v>1.1174896450277872E-2</v>
      </c>
      <c r="L99" s="419">
        <f t="shared" si="14"/>
        <v>1.4424679139695976E-2</v>
      </c>
      <c r="M99" s="419">
        <f t="shared" si="14"/>
        <v>1.7764520953669826E-2</v>
      </c>
      <c r="N99" s="419">
        <f t="shared" si="14"/>
        <v>2.0859047033378066E-2</v>
      </c>
      <c r="O99" s="419">
        <f t="shared" si="14"/>
        <v>2.3302543752593628E-2</v>
      </c>
      <c r="P99" s="419">
        <f t="shared" si="14"/>
        <v>2.4683729088684284E-2</v>
      </c>
      <c r="Q99" s="419">
        <f t="shared" si="14"/>
        <v>2.4681086980391616E-2</v>
      </c>
      <c r="R99" s="419">
        <f t="shared" si="14"/>
        <v>2.3166957379231096E-2</v>
      </c>
      <c r="S99" s="419">
        <f t="shared" si="14"/>
        <v>2.0282220760847895E-2</v>
      </c>
      <c r="T99" s="419">
        <f t="shared" si="14"/>
        <v>1.64398892039028E-2</v>
      </c>
      <c r="U99" s="419">
        <f t="shared" si="14"/>
        <v>1.2235782567035742E-2</v>
      </c>
      <c r="V99" s="419">
        <f t="shared" si="14"/>
        <v>8.2861541650568072E-3</v>
      </c>
      <c r="W99" s="419">
        <f t="shared" si="14"/>
        <v>5.0551448710313002E-3</v>
      </c>
      <c r="X99" s="419">
        <f t="shared" si="14"/>
        <v>2.4147053305848053E-3</v>
      </c>
    </row>
    <row r="100" spans="1:24">
      <c r="A100" s="65"/>
      <c r="B100" s="65"/>
      <c r="D100" t="s">
        <v>508</v>
      </c>
      <c r="E100" s="419">
        <f t="shared" si="15"/>
        <v>1.2958574081011899E-4</v>
      </c>
      <c r="F100" s="419">
        <f t="shared" si="14"/>
        <v>2.5791892684822403E-4</v>
      </c>
      <c r="G100" s="419">
        <f t="shared" si="14"/>
        <v>4.5597807687745146E-4</v>
      </c>
      <c r="H100" s="419">
        <f t="shared" si="14"/>
        <v>7.3852492921508005E-4</v>
      </c>
      <c r="I100" s="419">
        <f t="shared" si="14"/>
        <v>1.1161666367150303E-3</v>
      </c>
      <c r="J100" s="419">
        <f t="shared" si="14"/>
        <v>1.5917338403365604E-3</v>
      </c>
      <c r="K100" s="419">
        <f t="shared" si="14"/>
        <v>2.1559176326818538E-3</v>
      </c>
      <c r="L100" s="419">
        <f t="shared" si="14"/>
        <v>2.7828821717874068E-3</v>
      </c>
      <c r="M100" s="419">
        <f t="shared" si="14"/>
        <v>3.4272213734213804E-3</v>
      </c>
      <c r="N100" s="419">
        <f t="shared" si="14"/>
        <v>4.0242330208868872E-3</v>
      </c>
      <c r="O100" s="419">
        <f t="shared" si="14"/>
        <v>4.4956447861588689E-3</v>
      </c>
      <c r="P100" s="419">
        <f t="shared" si="14"/>
        <v>4.7621100579695449E-3</v>
      </c>
      <c r="Q100" s="419">
        <f t="shared" si="14"/>
        <v>4.7616003290534012E-3</v>
      </c>
      <c r="R100" s="419">
        <f t="shared" si="14"/>
        <v>4.4694867761599123E-3</v>
      </c>
      <c r="S100" s="419">
        <f t="shared" si="14"/>
        <v>3.9129487743191247E-3</v>
      </c>
      <c r="T100" s="419">
        <f t="shared" si="14"/>
        <v>3.1716667059719164E-3</v>
      </c>
      <c r="U100" s="419">
        <f t="shared" si="14"/>
        <v>2.3605891565355529E-3</v>
      </c>
      <c r="V100" s="419">
        <f t="shared" si="14"/>
        <v>1.5986068373029035E-3</v>
      </c>
      <c r="W100" s="419">
        <f t="shared" si="14"/>
        <v>9.7526415673825908E-4</v>
      </c>
      <c r="X100" s="419">
        <f t="shared" si="14"/>
        <v>4.6585718472668243E-4</v>
      </c>
    </row>
    <row r="101" spans="1:24">
      <c r="A101" s="65"/>
      <c r="B101" s="65"/>
      <c r="D101" t="s">
        <v>524</v>
      </c>
      <c r="E101" s="419">
        <f t="shared" si="15"/>
        <v>1.5523462299058384E-2</v>
      </c>
      <c r="F101" s="419">
        <f t="shared" si="14"/>
        <v>3.0896877327025767E-2</v>
      </c>
      <c r="G101" s="419">
        <f t="shared" si="14"/>
        <v>5.4622973495024651E-2</v>
      </c>
      <c r="H101" s="419">
        <f t="shared" si="14"/>
        <v>8.847010345361879E-2</v>
      </c>
      <c r="I101" s="419">
        <f t="shared" si="14"/>
        <v>0.133708929672296</v>
      </c>
      <c r="J101" s="419">
        <f t="shared" si="14"/>
        <v>0.19067854307215984</v>
      </c>
      <c r="K101" s="419">
        <f t="shared" si="14"/>
        <v>0.25826380187810444</v>
      </c>
      <c r="L101" s="419">
        <f t="shared" si="14"/>
        <v>0.33336975354228304</v>
      </c>
      <c r="M101" s="419">
        <f t="shared" si="14"/>
        <v>0.41055706783966989</v>
      </c>
      <c r="N101" s="419">
        <f t="shared" si="14"/>
        <v>0.48207487329875515</v>
      </c>
      <c r="O101" s="419">
        <f t="shared" si="14"/>
        <v>0.53854669434776314</v>
      </c>
      <c r="P101" s="419">
        <f t="shared" si="14"/>
        <v>0.570467363821903</v>
      </c>
      <c r="Q101" s="419">
        <f t="shared" si="14"/>
        <v>0.57040630187509445</v>
      </c>
      <c r="R101" s="419">
        <f t="shared" si="14"/>
        <v>0.53541314833028741</v>
      </c>
      <c r="S101" s="419">
        <f t="shared" si="14"/>
        <v>0.46874380156760614</v>
      </c>
      <c r="T101" s="419">
        <f t="shared" si="14"/>
        <v>0.3799434121959282</v>
      </c>
      <c r="U101" s="419">
        <f t="shared" si="14"/>
        <v>0.28278201402375458</v>
      </c>
      <c r="V101" s="419">
        <f t="shared" si="14"/>
        <v>0.19150187987311934</v>
      </c>
      <c r="W101" s="419">
        <f t="shared" si="14"/>
        <v>0.11682980144345584</v>
      </c>
      <c r="X101" s="419">
        <f t="shared" si="14"/>
        <v>5.5806421282467426E-2</v>
      </c>
    </row>
    <row r="102" spans="1:24">
      <c r="A102" s="65"/>
      <c r="B102" s="65"/>
      <c r="D102" t="s">
        <v>515</v>
      </c>
      <c r="E102" s="419">
        <f t="shared" si="15"/>
        <v>3.5124273886990953E-3</v>
      </c>
      <c r="F102" s="419">
        <f t="shared" si="14"/>
        <v>6.9909042234285682E-3</v>
      </c>
      <c r="G102" s="419">
        <f t="shared" si="14"/>
        <v>1.235930647815256E-2</v>
      </c>
      <c r="H102" s="419">
        <f t="shared" si="14"/>
        <v>2.0017751740240453E-2</v>
      </c>
      <c r="I102" s="419">
        <f t="shared" si="14"/>
        <v>3.0253747369431941E-2</v>
      </c>
      <c r="J102" s="419">
        <f t="shared" si="14"/>
        <v>4.314401801745732E-2</v>
      </c>
      <c r="K102" s="419">
        <f t="shared" si="14"/>
        <v>5.8436245326613449E-2</v>
      </c>
      <c r="L102" s="419">
        <f t="shared" si="14"/>
        <v>7.5430147627363275E-2</v>
      </c>
      <c r="M102" s="419">
        <f t="shared" si="14"/>
        <v>9.2894990944869318E-2</v>
      </c>
      <c r="N102" s="419">
        <f t="shared" si="14"/>
        <v>0.10907701875765834</v>
      </c>
      <c r="O102" s="419">
        <f t="shared" si="14"/>
        <v>0.12185465606053512</v>
      </c>
      <c r="P102" s="419">
        <f t="shared" si="14"/>
        <v>0.12907720935223096</v>
      </c>
      <c r="Q102" s="419">
        <f t="shared" si="14"/>
        <v>0.12906339312681384</v>
      </c>
      <c r="R102" s="419">
        <f t="shared" si="14"/>
        <v>0.12114564201176854</v>
      </c>
      <c r="S102" s="419">
        <f t="shared" si="14"/>
        <v>0.10606065420140597</v>
      </c>
      <c r="T102" s="419">
        <f t="shared" si="14"/>
        <v>8.5968170079797013E-2</v>
      </c>
      <c r="U102" s="419">
        <f t="shared" si="14"/>
        <v>6.3983876274094811E-2</v>
      </c>
      <c r="V102" s="419">
        <f t="shared" si="14"/>
        <v>4.33303109123091E-2</v>
      </c>
      <c r="W102" s="419">
        <f t="shared" si="14"/>
        <v>2.6434579251766701E-2</v>
      </c>
      <c r="X102" s="419">
        <f t="shared" si="14"/>
        <v>1.2627080144982124E-2</v>
      </c>
    </row>
    <row r="103" spans="1:24">
      <c r="A103" s="65"/>
      <c r="B103" s="65"/>
      <c r="D103" t="s">
        <v>521</v>
      </c>
      <c r="E103" s="419">
        <f t="shared" si="15"/>
        <v>6.7763528498939797E-4</v>
      </c>
      <c r="F103" s="419">
        <f t="shared" si="14"/>
        <v>1.3487206571211599E-3</v>
      </c>
      <c r="G103" s="419">
        <f t="shared" si="14"/>
        <v>2.3844200152123647E-3</v>
      </c>
      <c r="H103" s="419">
        <f t="shared" si="14"/>
        <v>3.8619260711233818E-3</v>
      </c>
      <c r="I103" s="419">
        <f t="shared" si="14"/>
        <v>5.8367062011423559E-3</v>
      </c>
      <c r="J103" s="419">
        <f t="shared" si="14"/>
        <v>8.3235625137508019E-3</v>
      </c>
      <c r="K103" s="419">
        <f t="shared" si="14"/>
        <v>1.1273816473192986E-2</v>
      </c>
      <c r="L103" s="419">
        <f t="shared" si="14"/>
        <v>1.4552366192313494E-2</v>
      </c>
      <c r="M103" s="419">
        <f t="shared" si="14"/>
        <v>1.7921772238067128E-2</v>
      </c>
      <c r="N103" s="419">
        <f t="shared" si="14"/>
        <v>2.1043691018197978E-2</v>
      </c>
      <c r="O103" s="419">
        <f t="shared" si="14"/>
        <v>2.3508817535285342E-2</v>
      </c>
      <c r="P103" s="419">
        <f t="shared" si="14"/>
        <v>2.4902229104138331E-2</v>
      </c>
      <c r="Q103" s="419">
        <f t="shared" si="14"/>
        <v>2.4899563607940996E-2</v>
      </c>
      <c r="R103" s="419">
        <f t="shared" si="14"/>
        <v>2.3372030953292718E-2</v>
      </c>
      <c r="S103" s="419">
        <f t="shared" si="14"/>
        <v>2.0461758687786148E-2</v>
      </c>
      <c r="T103" s="419">
        <f t="shared" si="14"/>
        <v>1.6585414867071838E-2</v>
      </c>
      <c r="U103" s="419">
        <f t="shared" si="14"/>
        <v>1.2344093538622904E-2</v>
      </c>
      <c r="V103" s="419">
        <f t="shared" si="14"/>
        <v>8.3595030827432176E-3</v>
      </c>
      <c r="W103" s="419">
        <f t="shared" si="14"/>
        <v>5.0998929408417543E-3</v>
      </c>
      <c r="X103" s="419">
        <f t="shared" si="14"/>
        <v>2.4360802674978682E-3</v>
      </c>
    </row>
    <row r="104" spans="1:24">
      <c r="A104" s="65"/>
      <c r="B104" s="65"/>
      <c r="D104" t="s">
        <v>522</v>
      </c>
      <c r="E104" s="419">
        <f t="shared" si="15"/>
        <v>2.9011262766441069E-3</v>
      </c>
      <c r="F104" s="419">
        <f t="shared" si="14"/>
        <v>5.7742107368097305E-3</v>
      </c>
      <c r="G104" s="419">
        <f t="shared" si="14"/>
        <v>1.0208298938856115E-2</v>
      </c>
      <c r="H104" s="419">
        <f t="shared" si="14"/>
        <v>1.6533872204674636E-2</v>
      </c>
      <c r="I104" s="419">
        <f t="shared" si="14"/>
        <v>2.4988400256416136E-2</v>
      </c>
      <c r="J104" s="419">
        <f t="shared" si="14"/>
        <v>3.5635254625665094E-2</v>
      </c>
      <c r="K104" s="419">
        <f t="shared" si="14"/>
        <v>4.8266030315931796E-2</v>
      </c>
      <c r="L104" s="419">
        <f t="shared" si="14"/>
        <v>6.2302322330408978E-2</v>
      </c>
      <c r="M104" s="419">
        <f t="shared" si="14"/>
        <v>7.6727593021813922E-2</v>
      </c>
      <c r="N104" s="419">
        <f t="shared" si="14"/>
        <v>9.0093308779558165E-2</v>
      </c>
      <c r="O104" s="419">
        <f t="shared" si="14"/>
        <v>0.10064713245490915</v>
      </c>
      <c r="P104" s="419">
        <f t="shared" si="14"/>
        <v>0.10661267617160411</v>
      </c>
      <c r="Q104" s="419">
        <f t="shared" si="14"/>
        <v>0.10660126451517228</v>
      </c>
      <c r="R104" s="419">
        <f t="shared" si="14"/>
        <v>0.10006151485780108</v>
      </c>
      <c r="S104" s="419">
        <f t="shared" si="14"/>
        <v>8.7601910807250799E-2</v>
      </c>
      <c r="T104" s="419">
        <f t="shared" si="14"/>
        <v>7.1006312607612726E-2</v>
      </c>
      <c r="U104" s="419">
        <f t="shared" si="14"/>
        <v>5.2848154338379742E-2</v>
      </c>
      <c r="V104" s="419">
        <f t="shared" si="14"/>
        <v>3.5789125197949516E-2</v>
      </c>
      <c r="W104" s="419">
        <f t="shared" si="14"/>
        <v>2.1833918254388553E-2</v>
      </c>
      <c r="X104" s="419">
        <f t="shared" si="14"/>
        <v>1.0429469410175186E-2</v>
      </c>
    </row>
    <row r="105" spans="1:24">
      <c r="A105" s="65"/>
      <c r="B105" s="65"/>
      <c r="D105" t="s">
        <v>517</v>
      </c>
      <c r="E105" s="419">
        <f t="shared" si="15"/>
        <v>6.5642542854486082E-4</v>
      </c>
      <c r="F105" s="419">
        <f t="shared" si="14"/>
        <v>1.3065059552675377E-3</v>
      </c>
      <c r="G105" s="419">
        <f t="shared" si="14"/>
        <v>2.3097881190487419E-3</v>
      </c>
      <c r="H105" s="419">
        <f t="shared" si="14"/>
        <v>3.7410485144459362E-3</v>
      </c>
      <c r="I105" s="419">
        <f t="shared" si="14"/>
        <v>5.6540183993448066E-3</v>
      </c>
      <c r="J105" s="419">
        <f t="shared" si="14"/>
        <v>8.0630365790268638E-3</v>
      </c>
      <c r="K105" s="419">
        <f t="shared" si="14"/>
        <v>1.0920948146712284E-2</v>
      </c>
      <c r="L105" s="419">
        <f t="shared" si="14"/>
        <v>1.4096879878798789E-2</v>
      </c>
      <c r="M105" s="419">
        <f t="shared" si="14"/>
        <v>1.7360824151653589E-2</v>
      </c>
      <c r="N105" s="419">
        <f t="shared" si="14"/>
        <v>2.0385027463560083E-2</v>
      </c>
      <c r="O105" s="419">
        <f t="shared" si="14"/>
        <v>2.2772995986217067E-2</v>
      </c>
      <c r="P105" s="419">
        <f t="shared" si="14"/>
        <v>2.4122794036119381E-2</v>
      </c>
      <c r="Q105" s="419">
        <f t="shared" si="14"/>
        <v>2.4120211969449627E-2</v>
      </c>
      <c r="R105" s="419">
        <f t="shared" si="14"/>
        <v>2.2640490798407815E-2</v>
      </c>
      <c r="S105" s="419">
        <f t="shared" si="14"/>
        <v>1.9821309505188612E-2</v>
      </c>
      <c r="T105" s="419">
        <f t="shared" si="14"/>
        <v>1.6066294513991063E-2</v>
      </c>
      <c r="U105" s="419">
        <f t="shared" si="14"/>
        <v>1.1957725742122716E-2</v>
      </c>
      <c r="V105" s="419">
        <f t="shared" si="14"/>
        <v>8.0978522149974166E-3</v>
      </c>
      <c r="W105" s="419">
        <f t="shared" si="14"/>
        <v>4.9402672549398539E-3</v>
      </c>
      <c r="X105" s="419">
        <f t="shared" si="14"/>
        <v>2.3598314151940681E-3</v>
      </c>
    </row>
    <row r="106" spans="1:24">
      <c r="A106" s="65"/>
      <c r="B106" s="65"/>
      <c r="D106" t="s">
        <v>519</v>
      </c>
      <c r="E106" s="419">
        <f t="shared" si="15"/>
        <v>1.2664091897741185E-4</v>
      </c>
      <c r="F106" s="419">
        <f t="shared" si="14"/>
        <v>2.5205774735345254E-4</v>
      </c>
      <c r="G106" s="419">
        <f t="shared" si="14"/>
        <v>4.4561602479031571E-4</v>
      </c>
      <c r="H106" s="419">
        <f t="shared" si="14"/>
        <v>7.2174203071131786E-4</v>
      </c>
      <c r="I106" s="419">
        <f t="shared" si="14"/>
        <v>1.0908018715781473E-3</v>
      </c>
      <c r="J106" s="419">
        <f t="shared" ref="F106:X112" si="16">(J52+J79)*J$91*$Y$12</f>
        <v>1.5555618623428532E-3</v>
      </c>
      <c r="K106" s="419">
        <f t="shared" si="16"/>
        <v>2.1069246395133954E-3</v>
      </c>
      <c r="L106" s="419">
        <f t="shared" si="16"/>
        <v>2.7196414778183136E-3</v>
      </c>
      <c r="M106" s="419">
        <f t="shared" si="16"/>
        <v>3.3493381413398481E-3</v>
      </c>
      <c r="N106" s="419">
        <f t="shared" si="16"/>
        <v>3.9327827642018304E-3</v>
      </c>
      <c r="O106" s="419">
        <f t="shared" si="16"/>
        <v>4.3934817485004642E-3</v>
      </c>
      <c r="P106" s="419">
        <f t="shared" si="16"/>
        <v>4.653891626058804E-3</v>
      </c>
      <c r="Q106" s="419">
        <f t="shared" si="16"/>
        <v>4.6533934806767098E-3</v>
      </c>
      <c r="R106" s="419">
        <f t="shared" si="16"/>
        <v>4.3679181764270346E-3</v>
      </c>
      <c r="S106" s="419">
        <f t="shared" si="16"/>
        <v>3.8240274400053128E-3</v>
      </c>
      <c r="T106" s="419">
        <f t="shared" si="16"/>
        <v>3.0995909258480668E-3</v>
      </c>
      <c r="U106" s="419">
        <f t="shared" si="16"/>
        <v>2.3069450253004383E-3</v>
      </c>
      <c r="V106" s="419">
        <f t="shared" si="16"/>
        <v>1.5622786712024179E-3</v>
      </c>
      <c r="W106" s="419">
        <f t="shared" si="16"/>
        <v>9.5310138509791475E-4</v>
      </c>
      <c r="X106" s="419">
        <f t="shared" si="16"/>
        <v>4.5527063099067542E-4</v>
      </c>
    </row>
    <row r="107" spans="1:24">
      <c r="A107" s="65"/>
      <c r="B107" s="65"/>
      <c r="D107" t="s">
        <v>518</v>
      </c>
      <c r="E107" s="419">
        <f t="shared" si="15"/>
        <v>8.2244757270641435E-3</v>
      </c>
      <c r="F107" s="419">
        <f t="shared" si="16"/>
        <v>1.6369455004481549E-2</v>
      </c>
      <c r="G107" s="419">
        <f t="shared" si="16"/>
        <v>2.893976298555178E-2</v>
      </c>
      <c r="H107" s="419">
        <f t="shared" si="16"/>
        <v>4.6872289467877096E-2</v>
      </c>
      <c r="I107" s="419">
        <f t="shared" si="16"/>
        <v>7.0840243329494165E-2</v>
      </c>
      <c r="J107" s="419">
        <f t="shared" si="16"/>
        <v>0.10102327811651003</v>
      </c>
      <c r="K107" s="419">
        <f t="shared" si="16"/>
        <v>0.13683058127146122</v>
      </c>
      <c r="L107" s="419">
        <f t="shared" si="16"/>
        <v>0.17662241794552322</v>
      </c>
      <c r="M107" s="419">
        <f t="shared" si="16"/>
        <v>0.21751698003781086</v>
      </c>
      <c r="N107" s="419">
        <f t="shared" si="16"/>
        <v>0.25540778324392427</v>
      </c>
      <c r="O107" s="419">
        <f t="shared" si="16"/>
        <v>0.28532708298086817</v>
      </c>
      <c r="P107" s="419">
        <f t="shared" si="16"/>
        <v>0.30223895265427386</v>
      </c>
      <c r="Q107" s="419">
        <f t="shared" si="16"/>
        <v>0.30220660146291589</v>
      </c>
      <c r="R107" s="419">
        <f t="shared" si="16"/>
        <v>0.28366690095034708</v>
      </c>
      <c r="S107" s="419">
        <f t="shared" si="16"/>
        <v>0.24834485657483726</v>
      </c>
      <c r="T107" s="419">
        <f t="shared" si="16"/>
        <v>0.20129757853393845</v>
      </c>
      <c r="U107" s="419">
        <f t="shared" si="16"/>
        <v>0.14982055971687164</v>
      </c>
      <c r="V107" s="419">
        <f t="shared" si="16"/>
        <v>0.10145948966546976</v>
      </c>
      <c r="W107" s="419">
        <f t="shared" si="16"/>
        <v>6.1897523094941884E-2</v>
      </c>
      <c r="X107" s="419">
        <f t="shared" si="16"/>
        <v>2.9566764708141798E-2</v>
      </c>
    </row>
    <row r="108" spans="1:24">
      <c r="A108" s="65"/>
      <c r="B108" s="65"/>
      <c r="D108" t="s">
        <v>513</v>
      </c>
      <c r="E108" s="419">
        <f t="shared" si="15"/>
        <v>1.8609169298000787E-3</v>
      </c>
      <c r="F108" s="419">
        <f t="shared" si="16"/>
        <v>3.7038465381080653E-3</v>
      </c>
      <c r="G108" s="419">
        <f t="shared" si="16"/>
        <v>6.5480763359780977E-3</v>
      </c>
      <c r="H108" s="419">
        <f t="shared" si="16"/>
        <v>1.0605592368913088E-2</v>
      </c>
      <c r="I108" s="419">
        <f t="shared" si="16"/>
        <v>1.6028718729050324E-2</v>
      </c>
      <c r="J108" s="419">
        <f t="shared" si="16"/>
        <v>2.2858104855520495E-2</v>
      </c>
      <c r="K108" s="419">
        <f t="shared" si="16"/>
        <v>3.0960070119064247E-2</v>
      </c>
      <c r="L108" s="419">
        <f t="shared" si="16"/>
        <v>3.9963598731949421E-2</v>
      </c>
      <c r="M108" s="419">
        <f t="shared" si="16"/>
        <v>4.9216636306596645E-2</v>
      </c>
      <c r="N108" s="419">
        <f t="shared" si="16"/>
        <v>5.7790026211310949E-2</v>
      </c>
      <c r="O108" s="419">
        <f t="shared" si="16"/>
        <v>6.455973813653744E-2</v>
      </c>
      <c r="P108" s="419">
        <f t="shared" si="16"/>
        <v>6.8386314520762159E-2</v>
      </c>
      <c r="Q108" s="419">
        <f t="shared" si="16"/>
        <v>6.8378994555126055E-2</v>
      </c>
      <c r="R108" s="419">
        <f t="shared" si="16"/>
        <v>6.4184095852497375E-2</v>
      </c>
      <c r="S108" s="419">
        <f t="shared" si="16"/>
        <v>5.6191928016530057E-2</v>
      </c>
      <c r="T108" s="419">
        <f t="shared" si="16"/>
        <v>4.5546741731984634E-2</v>
      </c>
      <c r="U108" s="419">
        <f t="shared" si="16"/>
        <v>3.3899256957108617E-2</v>
      </c>
      <c r="V108" s="419">
        <f t="shared" si="16"/>
        <v>2.2956804576131529E-2</v>
      </c>
      <c r="W108" s="419">
        <f t="shared" si="16"/>
        <v>1.4005287687946797E-2</v>
      </c>
      <c r="X108" s="419">
        <f t="shared" si="16"/>
        <v>6.6899453327753065E-3</v>
      </c>
    </row>
    <row r="109" spans="1:24">
      <c r="A109" s="65"/>
      <c r="B109" s="65"/>
      <c r="D109" t="s">
        <v>514</v>
      </c>
      <c r="E109" s="419">
        <f t="shared" si="15"/>
        <v>3.5901752108069047E-4</v>
      </c>
      <c r="F109" s="419">
        <f t="shared" si="16"/>
        <v>7.1456483697942999E-4</v>
      </c>
      <c r="G109" s="419">
        <f t="shared" si="16"/>
        <v>1.2632880578084401E-3</v>
      </c>
      <c r="H109" s="419">
        <f t="shared" si="16"/>
        <v>2.0460846053394336E-3</v>
      </c>
      <c r="I109" s="419">
        <f t="shared" si="16"/>
        <v>3.092341615066883E-3</v>
      </c>
      <c r="J109" s="419">
        <f t="shared" si="16"/>
        <v>4.4099013827087353E-3</v>
      </c>
      <c r="K109" s="419">
        <f t="shared" si="16"/>
        <v>5.9729735640724852E-3</v>
      </c>
      <c r="L109" s="419">
        <f t="shared" si="16"/>
        <v>7.7099799139069003E-3</v>
      </c>
      <c r="M109" s="419">
        <f t="shared" si="16"/>
        <v>9.495122796600336E-3</v>
      </c>
      <c r="N109" s="419">
        <f t="shared" si="16"/>
        <v>1.1149144607869161E-2</v>
      </c>
      <c r="O109" s="419">
        <f t="shared" si="16"/>
        <v>1.2455191726311095E-2</v>
      </c>
      <c r="P109" s="419">
        <f t="shared" si="16"/>
        <v>1.3193434226924953E-2</v>
      </c>
      <c r="Q109" s="419">
        <f t="shared" si="16"/>
        <v>1.3192022022073145E-2</v>
      </c>
      <c r="R109" s="419">
        <f t="shared" si="16"/>
        <v>1.2382720913955359E-2</v>
      </c>
      <c r="S109" s="419">
        <f t="shared" si="16"/>
        <v>1.0840831408528553E-2</v>
      </c>
      <c r="T109" s="419">
        <f t="shared" si="16"/>
        <v>8.787108144411521E-3</v>
      </c>
      <c r="U109" s="419">
        <f t="shared" si="16"/>
        <v>6.5400163781227857E-3</v>
      </c>
      <c r="V109" s="419">
        <f t="shared" si="16"/>
        <v>4.4289430327994449E-3</v>
      </c>
      <c r="W109" s="419">
        <f t="shared" si="16"/>
        <v>2.7019710483738545E-3</v>
      </c>
      <c r="X109" s="419">
        <f t="shared" si="16"/>
        <v>1.2906581433467614E-3</v>
      </c>
    </row>
    <row r="110" spans="1:24">
      <c r="A110" s="65"/>
      <c r="B110" s="65"/>
      <c r="D110" t="s">
        <v>512</v>
      </c>
      <c r="E110" s="419">
        <f t="shared" si="15"/>
        <v>1.0533077028867383E-3</v>
      </c>
      <c r="F110" s="419">
        <f t="shared" si="16"/>
        <v>2.0964343042000943E-3</v>
      </c>
      <c r="G110" s="419">
        <f t="shared" si="16"/>
        <v>3.7063122664573048E-3</v>
      </c>
      <c r="H110" s="419">
        <f t="shared" si="16"/>
        <v>6.002928963117703E-3</v>
      </c>
      <c r="I110" s="419">
        <f t="shared" si="16"/>
        <v>9.0725021812378369E-3</v>
      </c>
      <c r="J110" s="419">
        <f t="shared" si="16"/>
        <v>1.2938040130732261E-2</v>
      </c>
      <c r="K110" s="419">
        <f t="shared" si="16"/>
        <v>1.7523877512268807E-2</v>
      </c>
      <c r="L110" s="419">
        <f t="shared" si="16"/>
        <v>2.2620013663887314E-2</v>
      </c>
      <c r="M110" s="419">
        <f t="shared" si="16"/>
        <v>2.7857375738680953E-2</v>
      </c>
      <c r="N110" s="419">
        <f t="shared" si="16"/>
        <v>3.2710046742892365E-2</v>
      </c>
      <c r="O110" s="419">
        <f t="shared" si="16"/>
        <v>3.6541808173496011E-2</v>
      </c>
      <c r="P110" s="419">
        <f t="shared" si="16"/>
        <v>3.8707709464759654E-2</v>
      </c>
      <c r="Q110" s="419">
        <f t="shared" si="16"/>
        <v>3.8703566251236297E-2</v>
      </c>
      <c r="R110" s="419">
        <f t="shared" si="16"/>
        <v>3.632918884322215E-2</v>
      </c>
      <c r="S110" s="419">
        <f t="shared" si="16"/>
        <v>3.1805498500261813E-2</v>
      </c>
      <c r="T110" s="419">
        <f t="shared" si="16"/>
        <v>2.5780158769820136E-2</v>
      </c>
      <c r="U110" s="419">
        <f t="shared" si="16"/>
        <v>1.9187502624792255E-2</v>
      </c>
      <c r="V110" s="419">
        <f t="shared" si="16"/>
        <v>1.2993905695888649E-2</v>
      </c>
      <c r="W110" s="419">
        <f t="shared" si="16"/>
        <v>7.9272089831779712E-3</v>
      </c>
      <c r="X110" s="419">
        <f t="shared" si="16"/>
        <v>3.7866123081917681E-3</v>
      </c>
    </row>
    <row r="111" spans="1:24">
      <c r="A111" s="65"/>
      <c r="B111" s="65"/>
      <c r="D111" t="s">
        <v>509</v>
      </c>
      <c r="E111" s="419">
        <f t="shared" si="15"/>
        <v>2.3832742677331209E-4</v>
      </c>
      <c r="F111" s="419">
        <f t="shared" si="16"/>
        <v>4.7435121925908232E-4</v>
      </c>
      <c r="G111" s="419">
        <f t="shared" si="16"/>
        <v>8.3861141702683847E-4</v>
      </c>
      <c r="H111" s="419">
        <f t="shared" si="16"/>
        <v>1.3582570496369637E-3</v>
      </c>
      <c r="I111" s="419">
        <f t="shared" si="16"/>
        <v>2.0527962468363135E-3</v>
      </c>
      <c r="J111" s="419">
        <f t="shared" si="16"/>
        <v>2.9274349778289173E-3</v>
      </c>
      <c r="K111" s="419">
        <f t="shared" si="16"/>
        <v>3.9650527791106668E-3</v>
      </c>
      <c r="L111" s="419">
        <f t="shared" si="16"/>
        <v>5.1181336995036776E-3</v>
      </c>
      <c r="M111" s="419">
        <f t="shared" si="16"/>
        <v>6.3031692052203979E-3</v>
      </c>
      <c r="N111" s="419">
        <f t="shared" si="16"/>
        <v>7.4011623085097336E-3</v>
      </c>
      <c r="O111" s="419">
        <f t="shared" si="16"/>
        <v>8.2681585711044149E-3</v>
      </c>
      <c r="P111" s="419">
        <f t="shared" si="16"/>
        <v>8.7582277882734885E-3</v>
      </c>
      <c r="Q111" s="419">
        <f t="shared" si="16"/>
        <v>8.7572903210785865E-3</v>
      </c>
      <c r="R111" s="419">
        <f t="shared" si="16"/>
        <v>8.2200501050526068E-3</v>
      </c>
      <c r="S111" s="419">
        <f t="shared" si="16"/>
        <v>7.196494048259062E-3</v>
      </c>
      <c r="T111" s="419">
        <f t="shared" si="16"/>
        <v>5.8331662101965501E-3</v>
      </c>
      <c r="U111" s="419">
        <f t="shared" si="16"/>
        <v>4.3414741145822921E-3</v>
      </c>
      <c r="V111" s="419">
        <f t="shared" si="16"/>
        <v>2.9400754402051717E-3</v>
      </c>
      <c r="W111" s="419">
        <f t="shared" si="16"/>
        <v>1.7936556556809333E-3</v>
      </c>
      <c r="X111" s="419">
        <f t="shared" si="16"/>
        <v>8.5678056386200767E-4</v>
      </c>
    </row>
    <row r="112" spans="1:24">
      <c r="A112" s="65"/>
      <c r="B112" s="65"/>
      <c r="D112" t="s">
        <v>510</v>
      </c>
      <c r="E112" s="419">
        <f t="shared" si="15"/>
        <v>4.5979334485869037E-5</v>
      </c>
      <c r="F112" s="419">
        <f t="shared" si="16"/>
        <v>9.151424017529597E-5</v>
      </c>
      <c r="G112" s="419">
        <f t="shared" si="16"/>
        <v>1.6178916278830664E-4</v>
      </c>
      <c r="H112" s="419">
        <f t="shared" si="16"/>
        <v>2.6204183063852445E-4</v>
      </c>
      <c r="I112" s="419">
        <f t="shared" si="16"/>
        <v>3.9603585094047936E-4</v>
      </c>
      <c r="J112" s="419">
        <f t="shared" si="16"/>
        <v>5.647755856452736E-4</v>
      </c>
      <c r="K112" s="419">
        <f t="shared" si="16"/>
        <v>7.649580682053044E-4</v>
      </c>
      <c r="L112" s="419">
        <f t="shared" si="16"/>
        <v>9.8741628061428817E-4</v>
      </c>
      <c r="M112" s="419">
        <f t="shared" si="16"/>
        <v>1.2160393334986132E-3</v>
      </c>
      <c r="N112" s="419">
        <f t="shared" si="16"/>
        <v>1.427869725169552E-3</v>
      </c>
      <c r="O112" s="419">
        <f t="shared" si="16"/>
        <v>1.5951350361560052E-3</v>
      </c>
      <c r="P112" s="419">
        <f t="shared" si="16"/>
        <v>1.689681672111914E-3</v>
      </c>
      <c r="Q112" s="419">
        <f t="shared" si="16"/>
        <v>1.689500811191677E-3</v>
      </c>
      <c r="R112" s="419">
        <f t="shared" si="16"/>
        <v>1.5858537071786983E-3</v>
      </c>
      <c r="S112" s="419">
        <f t="shared" si="16"/>
        <v>1.3883840875989445E-3</v>
      </c>
      <c r="T112" s="419">
        <f t="shared" si="16"/>
        <v>1.1253639747698977E-3</v>
      </c>
      <c r="U112" s="419">
        <f t="shared" si="16"/>
        <v>8.3757917910971444E-4</v>
      </c>
      <c r="V112" s="419">
        <f t="shared" si="16"/>
        <v>5.6721424768061985E-4</v>
      </c>
      <c r="W112" s="419">
        <f t="shared" si="16"/>
        <v>3.460411353472453E-4</v>
      </c>
      <c r="X112" s="419">
        <f t="shared" si="16"/>
        <v>1.6529444663652997E-4</v>
      </c>
    </row>
    <row r="113" spans="1:24">
      <c r="E113" s="419"/>
      <c r="F113" s="419"/>
      <c r="G113" s="419"/>
      <c r="H113" s="419"/>
      <c r="I113" s="419"/>
      <c r="J113" s="419"/>
      <c r="K113" s="419"/>
      <c r="L113" s="419"/>
      <c r="M113" s="419"/>
      <c r="N113" s="419"/>
      <c r="O113" s="419"/>
      <c r="P113" s="419"/>
      <c r="Q113" s="419"/>
      <c r="R113" s="419"/>
      <c r="S113" s="419"/>
      <c r="T113" s="419"/>
      <c r="U113" s="419"/>
      <c r="V113" s="419"/>
      <c r="W113" s="419"/>
      <c r="X113" s="419"/>
    </row>
    <row r="114" spans="1:24">
      <c r="D114" t="s">
        <v>748</v>
      </c>
      <c r="E114" s="419">
        <f t="shared" ref="E114:X114" si="17">SUM(E92:E92)</f>
        <v>2.9177255239351024E-2</v>
      </c>
      <c r="F114" s="419">
        <f t="shared" si="17"/>
        <v>5.8072487857572241E-2</v>
      </c>
      <c r="G114" s="419">
        <f t="shared" si="17"/>
        <v>0.10266707316275139</v>
      </c>
      <c r="H114" s="419">
        <f t="shared" si="17"/>
        <v>0.16628473337900929</v>
      </c>
      <c r="I114" s="419">
        <f t="shared" si="17"/>
        <v>0.25131375292905217</v>
      </c>
      <c r="J114" s="419">
        <f t="shared" si="17"/>
        <v>0.35839147302992208</v>
      </c>
      <c r="K114" s="419">
        <f t="shared" si="17"/>
        <v>0.48542191949921615</v>
      </c>
      <c r="L114" s="419">
        <f t="shared" si="17"/>
        <v>0.62658794802321527</v>
      </c>
      <c r="M114" s="419">
        <f t="shared" si="17"/>
        <v>0.77166601933926904</v>
      </c>
      <c r="N114" s="419">
        <f t="shared" si="17"/>
        <v>0.90608791722763871</v>
      </c>
      <c r="O114" s="419">
        <f t="shared" si="17"/>
        <v>1.0122300074930177</v>
      </c>
      <c r="P114" s="419">
        <f t="shared" si="17"/>
        <v>1.0722267725648429</v>
      </c>
      <c r="Q114" s="419">
        <f t="shared" si="17"/>
        <v>1.0721120030647711</v>
      </c>
      <c r="R114" s="419">
        <f t="shared" si="17"/>
        <v>1.0063403244960947</v>
      </c>
      <c r="S114" s="419">
        <f t="shared" si="17"/>
        <v>0.88103138827678562</v>
      </c>
      <c r="T114" s="419">
        <f t="shared" si="17"/>
        <v>0.71412586319889371</v>
      </c>
      <c r="U114" s="419">
        <f t="shared" si="17"/>
        <v>0.53150533310918036</v>
      </c>
      <c r="V114" s="419">
        <f t="shared" si="17"/>
        <v>0.35993898269798136</v>
      </c>
      <c r="W114" s="419">
        <f t="shared" si="17"/>
        <v>0.21958844429217184</v>
      </c>
      <c r="X114" s="419">
        <f t="shared" si="17"/>
        <v>0.10489143249003612</v>
      </c>
    </row>
    <row r="115" spans="1:24">
      <c r="E115" s="419"/>
      <c r="F115" s="419"/>
      <c r="G115" s="419"/>
      <c r="H115" s="419"/>
      <c r="I115" s="419"/>
      <c r="J115" s="419"/>
      <c r="K115" s="419"/>
      <c r="L115" s="419"/>
      <c r="M115" s="419"/>
      <c r="N115" s="419"/>
      <c r="O115" s="419"/>
      <c r="P115" s="419"/>
      <c r="Q115" s="419"/>
      <c r="R115" s="419"/>
      <c r="S115" s="419"/>
      <c r="T115" s="419"/>
      <c r="U115" s="419"/>
      <c r="V115" s="419"/>
      <c r="W115" s="419"/>
      <c r="X115" s="419"/>
    </row>
    <row r="116" spans="1:24">
      <c r="E116" s="419"/>
      <c r="F116" s="419"/>
      <c r="G116" s="419"/>
      <c r="H116" s="419"/>
      <c r="I116" s="419"/>
      <c r="J116" s="419"/>
      <c r="K116" s="419"/>
      <c r="L116" s="419"/>
      <c r="M116" s="419"/>
      <c r="N116" s="419"/>
      <c r="O116" s="419"/>
      <c r="P116" s="419"/>
      <c r="Q116" s="419"/>
      <c r="R116" s="419"/>
      <c r="S116" s="419"/>
      <c r="T116" s="419"/>
      <c r="U116" s="419"/>
      <c r="V116" s="419"/>
      <c r="W116" s="419"/>
      <c r="X116" s="419"/>
    </row>
    <row r="118" spans="1:24" ht="15">
      <c r="A118" s="84" t="s">
        <v>187</v>
      </c>
      <c r="B118" s="84"/>
      <c r="D118" s="72" t="str">
        <f>$C$8</f>
        <v>Secondary Glazing Systems-Retro</v>
      </c>
      <c r="E118" s="72">
        <v>1</v>
      </c>
      <c r="F118" s="72">
        <v>2</v>
      </c>
      <c r="G118" s="72">
        <v>3</v>
      </c>
      <c r="H118" s="72">
        <v>4</v>
      </c>
      <c r="I118" s="72">
        <v>5</v>
      </c>
      <c r="J118" s="72">
        <v>6</v>
      </c>
      <c r="K118" s="72">
        <v>7</v>
      </c>
      <c r="L118" s="72">
        <v>8</v>
      </c>
      <c r="M118" s="72">
        <v>9</v>
      </c>
      <c r="N118" s="72">
        <v>10</v>
      </c>
      <c r="O118" s="72">
        <v>11</v>
      </c>
      <c r="P118" s="72">
        <v>12</v>
      </c>
      <c r="Q118" s="72">
        <v>13</v>
      </c>
      <c r="R118" s="72">
        <v>14</v>
      </c>
      <c r="S118" s="72">
        <v>15</v>
      </c>
      <c r="T118" s="72">
        <v>16</v>
      </c>
      <c r="U118" s="72">
        <v>17</v>
      </c>
      <c r="V118" s="72">
        <v>18</v>
      </c>
      <c r="W118" s="72">
        <v>19</v>
      </c>
      <c r="X118" s="72">
        <v>20</v>
      </c>
    </row>
    <row r="119" spans="1:24">
      <c r="A119" s="65" t="s">
        <v>72</v>
      </c>
      <c r="B119" s="65"/>
      <c r="D119" t="s">
        <v>527</v>
      </c>
      <c r="E119" s="419">
        <f>E92</f>
        <v>2.9177255239351024E-2</v>
      </c>
      <c r="F119" s="419">
        <f t="shared" ref="F119:X119" si="18">E119+F92</f>
        <v>8.7249743096923266E-2</v>
      </c>
      <c r="G119" s="419">
        <f t="shared" si="18"/>
        <v>0.18991681625967466</v>
      </c>
      <c r="H119" s="419">
        <f t="shared" si="18"/>
        <v>0.35620154963868395</v>
      </c>
      <c r="I119" s="419">
        <f t="shared" si="18"/>
        <v>0.60751530256773612</v>
      </c>
      <c r="J119" s="419">
        <f t="shared" si="18"/>
        <v>0.96590677559765825</v>
      </c>
      <c r="K119" s="419">
        <f t="shared" si="18"/>
        <v>1.4513286950968745</v>
      </c>
      <c r="L119" s="419">
        <f t="shared" si="18"/>
        <v>2.0779166431200897</v>
      </c>
      <c r="M119" s="419">
        <f t="shared" si="18"/>
        <v>2.8495826624593588</v>
      </c>
      <c r="N119" s="419">
        <f t="shared" si="18"/>
        <v>3.7556705796869974</v>
      </c>
      <c r="O119" s="419">
        <f t="shared" si="18"/>
        <v>4.7679005871800149</v>
      </c>
      <c r="P119" s="419">
        <f t="shared" si="18"/>
        <v>5.8401273597448577</v>
      </c>
      <c r="Q119" s="419">
        <f t="shared" si="18"/>
        <v>6.912239362809629</v>
      </c>
      <c r="R119" s="419">
        <f t="shared" si="18"/>
        <v>7.9185796873057237</v>
      </c>
      <c r="S119" s="419">
        <f t="shared" si="18"/>
        <v>8.7996110755825097</v>
      </c>
      <c r="T119" s="419">
        <f t="shared" si="18"/>
        <v>9.5137369387814026</v>
      </c>
      <c r="U119" s="419">
        <f t="shared" si="18"/>
        <v>10.045242271890583</v>
      </c>
      <c r="V119" s="419">
        <f t="shared" si="18"/>
        <v>10.405181254588564</v>
      </c>
      <c r="W119" s="419">
        <f t="shared" si="18"/>
        <v>10.624769698880737</v>
      </c>
      <c r="X119" s="419">
        <f t="shared" si="18"/>
        <v>10.729661131370774</v>
      </c>
    </row>
    <row r="120" spans="1:24">
      <c r="A120" s="65"/>
      <c r="B120" s="65"/>
      <c r="D120" t="s">
        <v>525</v>
      </c>
      <c r="E120" s="419">
        <f t="shared" ref="E120:E139" si="19">E93</f>
        <v>6.6018126920034505E-3</v>
      </c>
      <c r="F120" s="419">
        <f t="shared" ref="F120:F139" si="20">E120+F93</f>
        <v>1.974162602431689E-2</v>
      </c>
      <c r="G120" s="419">
        <f t="shared" ref="G120:G139" si="21">F120+G93</f>
        <v>4.2971665351065252E-2</v>
      </c>
      <c r="H120" s="419">
        <f t="shared" ref="H120:H139" si="22">G120+H93</f>
        <v>8.0596200431643672E-2</v>
      </c>
      <c r="I120" s="419">
        <f t="shared" ref="I120:I139" si="23">H120+I93</f>
        <v>0.13745988792217884</v>
      </c>
      <c r="J120" s="419">
        <f t="shared" ref="J120:J139" si="24">I120+J93</f>
        <v>0.218551592948761</v>
      </c>
      <c r="K120" s="419">
        <f t="shared" ref="K120:K139" si="25">J120+K93</f>
        <v>0.32838593352801154</v>
      </c>
      <c r="L120" s="419">
        <f t="shared" ref="L120:L139" si="26">K120+L93</f>
        <v>0.47016130732455202</v>
      </c>
      <c r="M120" s="419">
        <f t="shared" ref="M120:M139" si="27">L120+M93</f>
        <v>0.64476287552110456</v>
      </c>
      <c r="N120" s="419">
        <f t="shared" ref="N120:N139" si="28">M120+N93</f>
        <v>0.84977951135451157</v>
      </c>
      <c r="O120" s="419">
        <f t="shared" ref="O120:O139" si="29">N120+O93</f>
        <v>1.0788124637646983</v>
      </c>
      <c r="P120" s="419">
        <f t="shared" ref="P120:P139" si="30">O120+P93</f>
        <v>1.3214206274783844</v>
      </c>
      <c r="Q120" s="419">
        <f t="shared" ref="Q120:Q139" si="31">P120+Q93</f>
        <v>1.564002822788394</v>
      </c>
      <c r="R120" s="419">
        <f t="shared" ref="R120:R139" si="32">Q120+R93</f>
        <v>1.7917031418291289</v>
      </c>
      <c r="S120" s="419">
        <f t="shared" ref="S120:S139" si="33">R120+S93</f>
        <v>1.9910503440750271</v>
      </c>
      <c r="T120" s="419">
        <f t="shared" ref="T120:T139" si="34">S120+T93</f>
        <v>2.1526325473590409</v>
      </c>
      <c r="U120" s="419">
        <f t="shared" ref="U120:U139" si="35">T120+U93</f>
        <v>2.2728939847424758</v>
      </c>
      <c r="V120" s="419">
        <f t="shared" ref="V120:V139" si="36">U120+V93</f>
        <v>2.3543358381597748</v>
      </c>
      <c r="W120" s="419">
        <f t="shared" ref="W120:W139" si="37">V120+W93</f>
        <v>2.4040211758193015</v>
      </c>
      <c r="X120" s="419">
        <f t="shared" ref="X120:X139" si="38">W120+X93</f>
        <v>2.4277545114128842</v>
      </c>
    </row>
    <row r="121" spans="1:24">
      <c r="A121" s="65"/>
      <c r="B121" s="65"/>
      <c r="D121" t="s">
        <v>526</v>
      </c>
      <c r="E121" s="419">
        <f t="shared" si="19"/>
        <v>1.2736551478290594E-3</v>
      </c>
      <c r="F121" s="419">
        <f t="shared" si="20"/>
        <v>3.8086544992170755E-3</v>
      </c>
      <c r="G121" s="419">
        <f t="shared" si="21"/>
        <v>8.2903113642508776E-3</v>
      </c>
      <c r="H121" s="419">
        <f t="shared" si="22"/>
        <v>1.5549027269368638E-2</v>
      </c>
      <c r="I121" s="419">
        <f t="shared" si="23"/>
        <v>2.6519457918603592E-2</v>
      </c>
      <c r="J121" s="419">
        <f t="shared" si="24"/>
        <v>4.2164080444541813E-2</v>
      </c>
      <c r="K121" s="419">
        <f t="shared" si="25"/>
        <v>6.3353877824982169E-2</v>
      </c>
      <c r="L121" s="419">
        <f t="shared" si="26"/>
        <v>9.0705901139741571E-2</v>
      </c>
      <c r="M121" s="419">
        <f t="shared" si="27"/>
        <v>0.12439092016821682</v>
      </c>
      <c r="N121" s="419">
        <f t="shared" si="28"/>
        <v>0.16394376812103753</v>
      </c>
      <c r="O121" s="419">
        <f t="shared" si="29"/>
        <v>0.20812996552907054</v>
      </c>
      <c r="P121" s="419">
        <f t="shared" si="30"/>
        <v>0.25493516147072026</v>
      </c>
      <c r="Q121" s="419">
        <f t="shared" si="31"/>
        <v>0.30173534745638264</v>
      </c>
      <c r="R121" s="419">
        <f t="shared" si="32"/>
        <v>0.34566444648396222</v>
      </c>
      <c r="S121" s="419">
        <f t="shared" si="33"/>
        <v>0.38412351858901433</v>
      </c>
      <c r="T121" s="419">
        <f t="shared" si="34"/>
        <v>0.41529677578540897</v>
      </c>
      <c r="U121" s="419">
        <f t="shared" si="35"/>
        <v>0.43849822150262319</v>
      </c>
      <c r="V121" s="419">
        <f t="shared" si="36"/>
        <v>0.45421039642987093</v>
      </c>
      <c r="W121" s="419">
        <f t="shared" si="37"/>
        <v>0.46379594346581343</v>
      </c>
      <c r="X121" s="419">
        <f t="shared" si="38"/>
        <v>0.46837469879622984</v>
      </c>
    </row>
    <row r="122" spans="1:24">
      <c r="A122" s="65"/>
      <c r="B122" s="65"/>
      <c r="D122" t="s">
        <v>523</v>
      </c>
      <c r="E122" s="419">
        <f t="shared" si="19"/>
        <v>1.4281297448622662E-2</v>
      </c>
      <c r="F122" s="419">
        <f t="shared" si="20"/>
        <v>4.270585163893531E-2</v>
      </c>
      <c r="G122" s="419">
        <f t="shared" si="21"/>
        <v>9.2957974327956633E-2</v>
      </c>
      <c r="H122" s="419">
        <f t="shared" si="22"/>
        <v>0.17434882891895775</v>
      </c>
      <c r="I122" s="419">
        <f t="shared" si="23"/>
        <v>0.29735856472402072</v>
      </c>
      <c r="J122" s="419">
        <f t="shared" si="24"/>
        <v>0.47277928841455341</v>
      </c>
      <c r="K122" s="419">
        <f t="shared" si="25"/>
        <v>0.71037719690801404</v>
      </c>
      <c r="L122" s="419">
        <f t="shared" si="26"/>
        <v>1.0170711881705277</v>
      </c>
      <c r="M122" s="419">
        <f t="shared" si="27"/>
        <v>1.3947760772279341</v>
      </c>
      <c r="N122" s="419">
        <f t="shared" si="28"/>
        <v>1.838276021084158</v>
      </c>
      <c r="O122" s="419">
        <f t="shared" si="29"/>
        <v>2.3337289930941072</v>
      </c>
      <c r="P122" s="419">
        <f t="shared" si="30"/>
        <v>2.8585483890845502</v>
      </c>
      <c r="Q122" s="419">
        <f t="shared" si="31"/>
        <v>3.3833116092162601</v>
      </c>
      <c r="R122" s="419">
        <f t="shared" si="32"/>
        <v>3.8758817769984932</v>
      </c>
      <c r="S122" s="419">
        <f t="shared" si="33"/>
        <v>4.3071173820729616</v>
      </c>
      <c r="T122" s="419">
        <f t="shared" si="34"/>
        <v>4.6566582756366239</v>
      </c>
      <c r="U122" s="419">
        <f t="shared" si="35"/>
        <v>4.9168124846392631</v>
      </c>
      <c r="V122" s="419">
        <f t="shared" si="36"/>
        <v>5.0929906629187514</v>
      </c>
      <c r="W122" s="419">
        <f t="shared" si="37"/>
        <v>5.2004719137592117</v>
      </c>
      <c r="X122" s="419">
        <f t="shared" si="38"/>
        <v>5.2518127864668687</v>
      </c>
    </row>
    <row r="123" spans="1:24">
      <c r="A123" s="65"/>
      <c r="B123" s="65"/>
      <c r="D123" t="s">
        <v>516</v>
      </c>
      <c r="E123" s="419">
        <f t="shared" si="19"/>
        <v>3.2313680632795067E-3</v>
      </c>
      <c r="F123" s="419">
        <f t="shared" si="20"/>
        <v>9.6628703097642842E-3</v>
      </c>
      <c r="G123" s="419">
        <f t="shared" si="21"/>
        <v>2.1033203079142165E-2</v>
      </c>
      <c r="H123" s="419">
        <f t="shared" si="22"/>
        <v>3.9449163471715058E-2</v>
      </c>
      <c r="I123" s="419">
        <f t="shared" si="23"/>
        <v>6.7282050027219542E-2</v>
      </c>
      <c r="J123" s="419">
        <f t="shared" si="24"/>
        <v>0.10697374654220496</v>
      </c>
      <c r="K123" s="419">
        <f t="shared" si="25"/>
        <v>0.16073400860311607</v>
      </c>
      <c r="L123" s="419">
        <f t="shared" si="26"/>
        <v>0.23012834564642093</v>
      </c>
      <c r="M123" s="419">
        <f t="shared" si="27"/>
        <v>0.31559001467442244</v>
      </c>
      <c r="N123" s="419">
        <f t="shared" si="28"/>
        <v>0.41593884921126423</v>
      </c>
      <c r="O123" s="419">
        <f t="shared" si="29"/>
        <v>0.52804287311871889</v>
      </c>
      <c r="P123" s="419">
        <f t="shared" si="30"/>
        <v>0.64679151211977248</v>
      </c>
      <c r="Q123" s="419">
        <f t="shared" si="31"/>
        <v>0.76552744044964982</v>
      </c>
      <c r="R123" s="419">
        <f t="shared" si="32"/>
        <v>0.87697918458016955</v>
      </c>
      <c r="S123" s="419">
        <f t="shared" si="33"/>
        <v>0.97455301966061203</v>
      </c>
      <c r="T123" s="419">
        <f t="shared" si="34"/>
        <v>1.0536421419434572</v>
      </c>
      <c r="U123" s="419">
        <f t="shared" si="35"/>
        <v>1.1125061216009879</v>
      </c>
      <c r="V123" s="419">
        <f t="shared" si="36"/>
        <v>1.1523692041246285</v>
      </c>
      <c r="W123" s="419">
        <f t="shared" si="37"/>
        <v>1.1766885268343934</v>
      </c>
      <c r="X123" s="419">
        <f t="shared" si="38"/>
        <v>1.1883052064116695</v>
      </c>
    </row>
    <row r="124" spans="1:24">
      <c r="A124" s="65"/>
      <c r="B124" s="65"/>
      <c r="D124" t="s">
        <v>520</v>
      </c>
      <c r="E124" s="419">
        <f t="shared" si="19"/>
        <v>6.2341189614656986E-4</v>
      </c>
      <c r="F124" s="419">
        <f t="shared" si="20"/>
        <v>1.8642098900720264E-3</v>
      </c>
      <c r="G124" s="419">
        <f t="shared" si="21"/>
        <v>4.0578320874707797E-3</v>
      </c>
      <c r="H124" s="419">
        <f t="shared" si="22"/>
        <v>7.6107324574899837E-3</v>
      </c>
      <c r="I124" s="419">
        <f t="shared" si="23"/>
        <v>1.298039392687691E-2</v>
      </c>
      <c r="J124" s="419">
        <f t="shared" si="24"/>
        <v>2.0637917087692071E-2</v>
      </c>
      <c r="K124" s="419">
        <f t="shared" si="25"/>
        <v>3.1009619181793673E-2</v>
      </c>
      <c r="L124" s="419">
        <f t="shared" si="26"/>
        <v>4.4397526220181338E-2</v>
      </c>
      <c r="M124" s="419">
        <f t="shared" si="27"/>
        <v>6.0885224338521185E-2</v>
      </c>
      <c r="N124" s="419">
        <f t="shared" si="28"/>
        <v>8.0245029841834958E-2</v>
      </c>
      <c r="O124" s="419">
        <f t="shared" si="29"/>
        <v>0.10187270602765409</v>
      </c>
      <c r="P124" s="419">
        <f t="shared" si="30"/>
        <v>0.12478229501744535</v>
      </c>
      <c r="Q124" s="419">
        <f t="shared" si="31"/>
        <v>0.14768943180016392</v>
      </c>
      <c r="R124" s="419">
        <f t="shared" si="32"/>
        <v>0.16919126686711516</v>
      </c>
      <c r="S124" s="419">
        <f t="shared" si="33"/>
        <v>0.18801570541778168</v>
      </c>
      <c r="T124" s="419">
        <f t="shared" si="34"/>
        <v>0.20327397953616755</v>
      </c>
      <c r="U124" s="419">
        <f t="shared" si="35"/>
        <v>0.21463031668328633</v>
      </c>
      <c r="V124" s="419">
        <f t="shared" si="36"/>
        <v>0.22232090450109393</v>
      </c>
      <c r="W124" s="419">
        <f t="shared" si="37"/>
        <v>0.22701271143444215</v>
      </c>
      <c r="X124" s="419">
        <f t="shared" si="38"/>
        <v>0.22925386010595777</v>
      </c>
    </row>
    <row r="125" spans="1:24">
      <c r="A125" s="65"/>
      <c r="B125" s="65"/>
      <c r="D125" t="s">
        <v>511</v>
      </c>
      <c r="E125" s="419">
        <f t="shared" si="19"/>
        <v>2.9685870947421321E-3</v>
      </c>
      <c r="F125" s="419">
        <f t="shared" si="20"/>
        <v>8.8770674024118319E-3</v>
      </c>
      <c r="G125" s="419">
        <f t="shared" si="21"/>
        <v>1.9322743184650666E-2</v>
      </c>
      <c r="H125" s="419">
        <f t="shared" si="22"/>
        <v>3.6241082812972156E-2</v>
      </c>
      <c r="I125" s="419">
        <f t="shared" si="23"/>
        <v>6.1810546340515089E-2</v>
      </c>
      <c r="J125" s="419">
        <f t="shared" si="24"/>
        <v>9.8274438950514881E-2</v>
      </c>
      <c r="K125" s="419">
        <f t="shared" si="25"/>
        <v>0.14766281472161361</v>
      </c>
      <c r="L125" s="419">
        <f t="shared" si="26"/>
        <v>0.21141387289908059</v>
      </c>
      <c r="M125" s="419">
        <f t="shared" si="27"/>
        <v>0.28992563720554859</v>
      </c>
      <c r="N125" s="419">
        <f t="shared" si="28"/>
        <v>0.38211391453727106</v>
      </c>
      <c r="O125" s="419">
        <f t="shared" si="29"/>
        <v>0.48510142698504372</v>
      </c>
      <c r="P125" s="419">
        <f t="shared" si="30"/>
        <v>0.59419320184740732</v>
      </c>
      <c r="Q125" s="419">
        <f t="shared" si="31"/>
        <v>0.70327329969443864</v>
      </c>
      <c r="R125" s="419">
        <f t="shared" si="32"/>
        <v>0.80566157699163388</v>
      </c>
      <c r="S125" s="419">
        <f t="shared" si="33"/>
        <v>0.89530052307638508</v>
      </c>
      <c r="T125" s="419">
        <f t="shared" si="34"/>
        <v>0.96795796820352908</v>
      </c>
      <c r="U125" s="419">
        <f t="shared" si="35"/>
        <v>1.0220350175939235</v>
      </c>
      <c r="V125" s="419">
        <f t="shared" si="36"/>
        <v>1.0586563587778861</v>
      </c>
      <c r="W125" s="419">
        <f t="shared" si="37"/>
        <v>1.0809979881235099</v>
      </c>
      <c r="X125" s="419">
        <f t="shared" si="38"/>
        <v>1.0916699773248444</v>
      </c>
    </row>
    <row r="126" spans="1:24">
      <c r="A126" s="65"/>
      <c r="B126" s="65"/>
      <c r="D126" t="s">
        <v>507</v>
      </c>
      <c r="E126" s="419">
        <f t="shared" si="19"/>
        <v>6.7168949918752416E-4</v>
      </c>
      <c r="F126" s="419">
        <f t="shared" si="20"/>
        <v>2.0085760557070156E-3</v>
      </c>
      <c r="G126" s="419">
        <f t="shared" si="21"/>
        <v>4.3720744173600095E-3</v>
      </c>
      <c r="H126" s="419">
        <f t="shared" si="22"/>
        <v>8.2001147305982621E-3</v>
      </c>
      <c r="I126" s="419">
        <f t="shared" si="23"/>
        <v>1.3985607829900736E-2</v>
      </c>
      <c r="J126" s="419">
        <f t="shared" si="24"/>
        <v>2.223613677985764E-2</v>
      </c>
      <c r="K126" s="419">
        <f t="shared" si="25"/>
        <v>3.3411033230135515E-2</v>
      </c>
      <c r="L126" s="419">
        <f t="shared" si="26"/>
        <v>4.7835712369831487E-2</v>
      </c>
      <c r="M126" s="419">
        <f t="shared" si="27"/>
        <v>6.5600233323501317E-2</v>
      </c>
      <c r="N126" s="419">
        <f t="shared" si="28"/>
        <v>8.6459280356879387E-2</v>
      </c>
      <c r="O126" s="419">
        <f t="shared" si="29"/>
        <v>0.10976182410947302</v>
      </c>
      <c r="P126" s="419">
        <f t="shared" si="30"/>
        <v>0.13444555319815732</v>
      </c>
      <c r="Q126" s="419">
        <f t="shared" si="31"/>
        <v>0.15912664017854894</v>
      </c>
      <c r="R126" s="419">
        <f t="shared" si="32"/>
        <v>0.18229359755778005</v>
      </c>
      <c r="S126" s="419">
        <f t="shared" si="33"/>
        <v>0.20257581831862795</v>
      </c>
      <c r="T126" s="419">
        <f t="shared" si="34"/>
        <v>0.21901570752253074</v>
      </c>
      <c r="U126" s="419">
        <f t="shared" si="35"/>
        <v>0.2312514900895665</v>
      </c>
      <c r="V126" s="419">
        <f t="shared" si="36"/>
        <v>0.23953764425462332</v>
      </c>
      <c r="W126" s="419">
        <f t="shared" si="37"/>
        <v>0.24459278912565463</v>
      </c>
      <c r="X126" s="419">
        <f t="shared" si="38"/>
        <v>0.24700749445623943</v>
      </c>
    </row>
    <row r="127" spans="1:24">
      <c r="A127" s="65"/>
      <c r="B127" s="65"/>
      <c r="D127" t="s">
        <v>508</v>
      </c>
      <c r="E127" s="419">
        <f t="shared" si="19"/>
        <v>1.2958574081011899E-4</v>
      </c>
      <c r="F127" s="419">
        <f t="shared" si="20"/>
        <v>3.87504667658343E-4</v>
      </c>
      <c r="G127" s="419">
        <f t="shared" si="21"/>
        <v>8.4348274453579445E-4</v>
      </c>
      <c r="H127" s="419">
        <f t="shared" si="22"/>
        <v>1.5820076737508744E-3</v>
      </c>
      <c r="I127" s="419">
        <f t="shared" si="23"/>
        <v>2.698174310465905E-3</v>
      </c>
      <c r="J127" s="419">
        <f t="shared" si="24"/>
        <v>4.2899081508024654E-3</v>
      </c>
      <c r="K127" s="419">
        <f t="shared" si="25"/>
        <v>6.4458257834843196E-3</v>
      </c>
      <c r="L127" s="419">
        <f t="shared" si="26"/>
        <v>9.2287079552717255E-3</v>
      </c>
      <c r="M127" s="419">
        <f t="shared" si="27"/>
        <v>1.2655929328693106E-2</v>
      </c>
      <c r="N127" s="419">
        <f t="shared" si="28"/>
        <v>1.6680162349579992E-2</v>
      </c>
      <c r="O127" s="419">
        <f t="shared" si="29"/>
        <v>2.1175807135738862E-2</v>
      </c>
      <c r="P127" s="419">
        <f t="shared" si="30"/>
        <v>2.5937917193708408E-2</v>
      </c>
      <c r="Q127" s="419">
        <f t="shared" si="31"/>
        <v>3.0699517522761809E-2</v>
      </c>
      <c r="R127" s="419">
        <f t="shared" si="32"/>
        <v>3.5169004298921724E-2</v>
      </c>
      <c r="S127" s="419">
        <f t="shared" si="33"/>
        <v>3.9081953073240847E-2</v>
      </c>
      <c r="T127" s="419">
        <f t="shared" si="34"/>
        <v>4.2253619779212763E-2</v>
      </c>
      <c r="U127" s="419">
        <f t="shared" si="35"/>
        <v>4.4614208935748315E-2</v>
      </c>
      <c r="V127" s="419">
        <f t="shared" si="36"/>
        <v>4.6212815773051218E-2</v>
      </c>
      <c r="W127" s="419">
        <f t="shared" si="37"/>
        <v>4.7188079929789475E-2</v>
      </c>
      <c r="X127" s="419">
        <f t="shared" si="38"/>
        <v>4.7653937114516161E-2</v>
      </c>
    </row>
    <row r="128" spans="1:24">
      <c r="A128" s="65"/>
      <c r="B128" s="65"/>
      <c r="D128" t="s">
        <v>524</v>
      </c>
      <c r="E128" s="419">
        <f t="shared" si="19"/>
        <v>1.5523462299058384E-2</v>
      </c>
      <c r="F128" s="419">
        <f t="shared" si="20"/>
        <v>4.6420339626084148E-2</v>
      </c>
      <c r="G128" s="419">
        <f t="shared" si="21"/>
        <v>0.1010433131211088</v>
      </c>
      <c r="H128" s="419">
        <f t="shared" si="22"/>
        <v>0.18951341657472759</v>
      </c>
      <c r="I128" s="419">
        <f t="shared" si="23"/>
        <v>0.32322234624702362</v>
      </c>
      <c r="J128" s="419">
        <f t="shared" si="24"/>
        <v>0.51390088931918343</v>
      </c>
      <c r="K128" s="419">
        <f t="shared" si="25"/>
        <v>0.77216469119728792</v>
      </c>
      <c r="L128" s="419">
        <f t="shared" si="26"/>
        <v>1.105534444739571</v>
      </c>
      <c r="M128" s="419">
        <f t="shared" si="27"/>
        <v>1.5160915125792409</v>
      </c>
      <c r="N128" s="419">
        <f t="shared" si="28"/>
        <v>1.9981663858779961</v>
      </c>
      <c r="O128" s="419">
        <f t="shared" si="29"/>
        <v>2.5367130802257591</v>
      </c>
      <c r="P128" s="419">
        <f t="shared" si="30"/>
        <v>3.1071804440476622</v>
      </c>
      <c r="Q128" s="419">
        <f t="shared" si="31"/>
        <v>3.6775867459227567</v>
      </c>
      <c r="R128" s="419">
        <f t="shared" si="32"/>
        <v>4.212999894253044</v>
      </c>
      <c r="S128" s="419">
        <f t="shared" si="33"/>
        <v>4.68174369582065</v>
      </c>
      <c r="T128" s="419">
        <f t="shared" si="34"/>
        <v>5.061687108016578</v>
      </c>
      <c r="U128" s="419">
        <f t="shared" si="35"/>
        <v>5.3444691220403326</v>
      </c>
      <c r="V128" s="419">
        <f t="shared" si="36"/>
        <v>5.5359710019134516</v>
      </c>
      <c r="W128" s="419">
        <f t="shared" si="37"/>
        <v>5.6528008033569073</v>
      </c>
      <c r="X128" s="419">
        <f t="shared" si="38"/>
        <v>5.7086072246393744</v>
      </c>
    </row>
    <row r="129" spans="1:24">
      <c r="A129" s="65"/>
      <c r="B129" s="65"/>
      <c r="D129" t="s">
        <v>515</v>
      </c>
      <c r="E129" s="419">
        <f t="shared" si="19"/>
        <v>3.5124273886990953E-3</v>
      </c>
      <c r="F129" s="419">
        <f t="shared" si="20"/>
        <v>1.0503331612127664E-2</v>
      </c>
      <c r="G129" s="419">
        <f t="shared" si="21"/>
        <v>2.2862638090280225E-2</v>
      </c>
      <c r="H129" s="419">
        <f t="shared" si="22"/>
        <v>4.2880389830520678E-2</v>
      </c>
      <c r="I129" s="419">
        <f t="shared" si="23"/>
        <v>7.3134137199952626E-2</v>
      </c>
      <c r="J129" s="419">
        <f t="shared" si="24"/>
        <v>0.11627815521740995</v>
      </c>
      <c r="K129" s="419">
        <f t="shared" si="25"/>
        <v>0.1747144005440234</v>
      </c>
      <c r="L129" s="419">
        <f t="shared" si="26"/>
        <v>0.25014454817138665</v>
      </c>
      <c r="M129" s="419">
        <f t="shared" si="27"/>
        <v>0.34303953911625595</v>
      </c>
      <c r="N129" s="419">
        <f t="shared" si="28"/>
        <v>0.4521165578739143</v>
      </c>
      <c r="O129" s="419">
        <f t="shared" si="29"/>
        <v>0.57397121393444939</v>
      </c>
      <c r="P129" s="419">
        <f t="shared" si="30"/>
        <v>0.70304842328668038</v>
      </c>
      <c r="Q129" s="419">
        <f t="shared" si="31"/>
        <v>0.83211181641349419</v>
      </c>
      <c r="R129" s="419">
        <f t="shared" si="32"/>
        <v>0.95325745842526277</v>
      </c>
      <c r="S129" s="419">
        <f t="shared" si="33"/>
        <v>1.0593181126266686</v>
      </c>
      <c r="T129" s="419">
        <f t="shared" si="34"/>
        <v>1.1452862827064656</v>
      </c>
      <c r="U129" s="419">
        <f t="shared" si="35"/>
        <v>1.2092701589805603</v>
      </c>
      <c r="V129" s="419">
        <f t="shared" si="36"/>
        <v>1.2526004698928694</v>
      </c>
      <c r="W129" s="419">
        <f t="shared" si="37"/>
        <v>1.2790350491446361</v>
      </c>
      <c r="X129" s="419">
        <f t="shared" si="38"/>
        <v>1.2916621292896182</v>
      </c>
    </row>
    <row r="130" spans="1:24">
      <c r="A130" s="65"/>
      <c r="B130" s="65"/>
      <c r="D130" t="s">
        <v>521</v>
      </c>
      <c r="E130" s="419">
        <f t="shared" si="19"/>
        <v>6.7763528498939797E-4</v>
      </c>
      <c r="F130" s="419">
        <f t="shared" si="20"/>
        <v>2.0263559421105576E-3</v>
      </c>
      <c r="G130" s="419">
        <f t="shared" si="21"/>
        <v>4.4107759573229228E-3</v>
      </c>
      <c r="H130" s="419">
        <f t="shared" si="22"/>
        <v>8.2727020284463042E-3</v>
      </c>
      <c r="I130" s="419">
        <f t="shared" si="23"/>
        <v>1.4109408229588661E-2</v>
      </c>
      <c r="J130" s="419">
        <f t="shared" si="24"/>
        <v>2.2432970743339463E-2</v>
      </c>
      <c r="K130" s="419">
        <f t="shared" si="25"/>
        <v>3.3706787216532447E-2</v>
      </c>
      <c r="L130" s="419">
        <f t="shared" si="26"/>
        <v>4.8259153408845942E-2</v>
      </c>
      <c r="M130" s="419">
        <f t="shared" si="27"/>
        <v>6.6180925646913066E-2</v>
      </c>
      <c r="N130" s="419">
        <f t="shared" si="28"/>
        <v>8.7224616665111041E-2</v>
      </c>
      <c r="O130" s="419">
        <f t="shared" si="29"/>
        <v>0.11073343420039639</v>
      </c>
      <c r="P130" s="419">
        <f t="shared" si="30"/>
        <v>0.13563566330453472</v>
      </c>
      <c r="Q130" s="419">
        <f t="shared" si="31"/>
        <v>0.16053522691247571</v>
      </c>
      <c r="R130" s="419">
        <f t="shared" si="32"/>
        <v>0.18390725786576842</v>
      </c>
      <c r="S130" s="419">
        <f t="shared" si="33"/>
        <v>0.20436901655355458</v>
      </c>
      <c r="T130" s="419">
        <f t="shared" si="34"/>
        <v>0.22095443142062643</v>
      </c>
      <c r="U130" s="419">
        <f t="shared" si="35"/>
        <v>0.23329852495924933</v>
      </c>
      <c r="V130" s="419">
        <f t="shared" si="36"/>
        <v>0.24165802804199255</v>
      </c>
      <c r="W130" s="419">
        <f t="shared" si="37"/>
        <v>0.24675792098283431</v>
      </c>
      <c r="X130" s="419">
        <f t="shared" si="38"/>
        <v>0.24919400125033217</v>
      </c>
    </row>
    <row r="131" spans="1:24">
      <c r="A131" s="65"/>
      <c r="B131" s="65"/>
      <c r="D131" t="s">
        <v>522</v>
      </c>
      <c r="E131" s="419">
        <f t="shared" si="19"/>
        <v>2.9011262766441069E-3</v>
      </c>
      <c r="F131" s="419">
        <f t="shared" si="20"/>
        <v>8.675337013453837E-3</v>
      </c>
      <c r="G131" s="419">
        <f t="shared" si="21"/>
        <v>1.8883635952309952E-2</v>
      </c>
      <c r="H131" s="419">
        <f t="shared" si="22"/>
        <v>3.5417508156984592E-2</v>
      </c>
      <c r="I131" s="419">
        <f t="shared" si="23"/>
        <v>6.0405908413400725E-2</v>
      </c>
      <c r="J131" s="419">
        <f t="shared" si="24"/>
        <v>9.6041163039065819E-2</v>
      </c>
      <c r="K131" s="419">
        <f t="shared" si="25"/>
        <v>0.14430719335499761</v>
      </c>
      <c r="L131" s="419">
        <f t="shared" si="26"/>
        <v>0.20660951568540659</v>
      </c>
      <c r="M131" s="419">
        <f t="shared" si="27"/>
        <v>0.28333710870722051</v>
      </c>
      <c r="N131" s="419">
        <f t="shared" si="28"/>
        <v>0.37343041748677869</v>
      </c>
      <c r="O131" s="419">
        <f t="shared" si="29"/>
        <v>0.47407754994168783</v>
      </c>
      <c r="P131" s="419">
        <f t="shared" si="30"/>
        <v>0.58069022611329191</v>
      </c>
      <c r="Q131" s="419">
        <f t="shared" si="31"/>
        <v>0.68729149062846417</v>
      </c>
      <c r="R131" s="419">
        <f t="shared" si="32"/>
        <v>0.7873530054862653</v>
      </c>
      <c r="S131" s="419">
        <f t="shared" si="33"/>
        <v>0.87495491629351607</v>
      </c>
      <c r="T131" s="419">
        <f t="shared" si="34"/>
        <v>0.94596122890112877</v>
      </c>
      <c r="U131" s="419">
        <f t="shared" si="35"/>
        <v>0.99880938323950852</v>
      </c>
      <c r="V131" s="419">
        <f t="shared" si="36"/>
        <v>1.034598508437458</v>
      </c>
      <c r="W131" s="419">
        <f t="shared" si="37"/>
        <v>1.0564324266918466</v>
      </c>
      <c r="X131" s="419">
        <f t="shared" si="38"/>
        <v>1.0668618961020218</v>
      </c>
    </row>
    <row r="132" spans="1:24">
      <c r="A132" s="65"/>
      <c r="B132" s="65"/>
      <c r="D132" t="s">
        <v>517</v>
      </c>
      <c r="E132" s="419">
        <f t="shared" si="19"/>
        <v>6.5642542854486082E-4</v>
      </c>
      <c r="F132" s="419">
        <f t="shared" si="20"/>
        <v>1.9629313838123988E-3</v>
      </c>
      <c r="G132" s="419">
        <f t="shared" si="21"/>
        <v>4.2727195028611411E-3</v>
      </c>
      <c r="H132" s="419">
        <f t="shared" si="22"/>
        <v>8.0137680173070769E-3</v>
      </c>
      <c r="I132" s="419">
        <f t="shared" si="23"/>
        <v>1.3667786416651884E-2</v>
      </c>
      <c r="J132" s="419">
        <f t="shared" si="24"/>
        <v>2.1730822995678748E-2</v>
      </c>
      <c r="K132" s="419">
        <f t="shared" si="25"/>
        <v>3.2651771142391033E-2</v>
      </c>
      <c r="L132" s="419">
        <f t="shared" si="26"/>
        <v>4.6748651021189823E-2</v>
      </c>
      <c r="M132" s="419">
        <f t="shared" si="27"/>
        <v>6.4109475172843405E-2</v>
      </c>
      <c r="N132" s="419">
        <f t="shared" si="28"/>
        <v>8.4494502636403485E-2</v>
      </c>
      <c r="O132" s="419">
        <f t="shared" si="29"/>
        <v>0.10726749862262056</v>
      </c>
      <c r="P132" s="419">
        <f t="shared" si="30"/>
        <v>0.13139029265873994</v>
      </c>
      <c r="Q132" s="419">
        <f t="shared" si="31"/>
        <v>0.15551050462818958</v>
      </c>
      <c r="R132" s="419">
        <f t="shared" si="32"/>
        <v>0.1781509954265974</v>
      </c>
      <c r="S132" s="419">
        <f t="shared" si="33"/>
        <v>0.19797230493178603</v>
      </c>
      <c r="T132" s="419">
        <f t="shared" si="34"/>
        <v>0.21403859944577708</v>
      </c>
      <c r="U132" s="419">
        <f t="shared" si="35"/>
        <v>0.2259963251878998</v>
      </c>
      <c r="V132" s="419">
        <f t="shared" si="36"/>
        <v>0.23409417740289723</v>
      </c>
      <c r="W132" s="419">
        <f t="shared" si="37"/>
        <v>0.23903444465783708</v>
      </c>
      <c r="X132" s="419">
        <f t="shared" si="38"/>
        <v>0.24139427607303116</v>
      </c>
    </row>
    <row r="133" spans="1:24">
      <c r="A133" s="65"/>
      <c r="B133" s="65"/>
      <c r="D133" t="s">
        <v>519</v>
      </c>
      <c r="E133" s="419">
        <f t="shared" si="19"/>
        <v>1.2664091897741185E-4</v>
      </c>
      <c r="F133" s="419">
        <f t="shared" si="20"/>
        <v>3.7869866633086441E-4</v>
      </c>
      <c r="G133" s="419">
        <f t="shared" si="21"/>
        <v>8.2431469112118007E-4</v>
      </c>
      <c r="H133" s="419">
        <f t="shared" si="22"/>
        <v>1.5460567218324979E-3</v>
      </c>
      <c r="I133" s="419">
        <f t="shared" si="23"/>
        <v>2.636858593410645E-3</v>
      </c>
      <c r="J133" s="419">
        <f t="shared" si="24"/>
        <v>4.192420455753498E-3</v>
      </c>
      <c r="K133" s="419">
        <f t="shared" si="25"/>
        <v>6.2993450952668929E-3</v>
      </c>
      <c r="L133" s="419">
        <f t="shared" si="26"/>
        <v>9.0189865730852074E-3</v>
      </c>
      <c r="M133" s="419">
        <f t="shared" si="27"/>
        <v>1.2368324714425056E-2</v>
      </c>
      <c r="N133" s="419">
        <f t="shared" si="28"/>
        <v>1.6301107478626887E-2</v>
      </c>
      <c r="O133" s="419">
        <f t="shared" si="29"/>
        <v>2.0694589227127351E-2</v>
      </c>
      <c r="P133" s="419">
        <f t="shared" si="30"/>
        <v>2.5348480853186153E-2</v>
      </c>
      <c r="Q133" s="419">
        <f t="shared" si="31"/>
        <v>3.0001874333862862E-2</v>
      </c>
      <c r="R133" s="419">
        <f t="shared" si="32"/>
        <v>3.4369792510289897E-2</v>
      </c>
      <c r="S133" s="419">
        <f t="shared" si="33"/>
        <v>3.8193819950295207E-2</v>
      </c>
      <c r="T133" s="419">
        <f t="shared" si="34"/>
        <v>4.1293410876143272E-2</v>
      </c>
      <c r="U133" s="419">
        <f t="shared" si="35"/>
        <v>4.3600355901443712E-2</v>
      </c>
      <c r="V133" s="419">
        <f t="shared" si="36"/>
        <v>4.5162634572646132E-2</v>
      </c>
      <c r="W133" s="419">
        <f t="shared" si="37"/>
        <v>4.6115735957744049E-2</v>
      </c>
      <c r="X133" s="419">
        <f t="shared" si="38"/>
        <v>4.6571006588734726E-2</v>
      </c>
    </row>
    <row r="134" spans="1:24">
      <c r="A134" s="65"/>
      <c r="B134" s="65"/>
      <c r="D134" t="s">
        <v>518</v>
      </c>
      <c r="E134" s="419">
        <f t="shared" si="19"/>
        <v>8.2244757270641435E-3</v>
      </c>
      <c r="F134" s="419">
        <f t="shared" si="20"/>
        <v>2.4593930731545692E-2</v>
      </c>
      <c r="G134" s="419">
        <f t="shared" si="21"/>
        <v>5.3533693717097472E-2</v>
      </c>
      <c r="H134" s="419">
        <f t="shared" si="22"/>
        <v>0.10040598318497457</v>
      </c>
      <c r="I134" s="419">
        <f t="shared" si="23"/>
        <v>0.17124622651446875</v>
      </c>
      <c r="J134" s="419">
        <f t="shared" si="24"/>
        <v>0.27226950463097876</v>
      </c>
      <c r="K134" s="419">
        <f t="shared" si="25"/>
        <v>0.40910008590243996</v>
      </c>
      <c r="L134" s="419">
        <f t="shared" si="26"/>
        <v>0.58572250384796321</v>
      </c>
      <c r="M134" s="419">
        <f t="shared" si="27"/>
        <v>0.80323948388577404</v>
      </c>
      <c r="N134" s="419">
        <f t="shared" si="28"/>
        <v>1.0586472671296983</v>
      </c>
      <c r="O134" s="419">
        <f t="shared" si="29"/>
        <v>1.3439743501105665</v>
      </c>
      <c r="P134" s="419">
        <f t="shared" si="30"/>
        <v>1.6462133027648405</v>
      </c>
      <c r="Q134" s="419">
        <f t="shared" si="31"/>
        <v>1.9484199042277563</v>
      </c>
      <c r="R134" s="419">
        <f t="shared" si="32"/>
        <v>2.2320868051781035</v>
      </c>
      <c r="S134" s="419">
        <f t="shared" si="33"/>
        <v>2.4804316617529407</v>
      </c>
      <c r="T134" s="419">
        <f t="shared" si="34"/>
        <v>2.6817292402868791</v>
      </c>
      <c r="U134" s="419">
        <f t="shared" si="35"/>
        <v>2.8315498000037507</v>
      </c>
      <c r="V134" s="419">
        <f t="shared" si="36"/>
        <v>2.9330092896692204</v>
      </c>
      <c r="W134" s="419">
        <f t="shared" si="37"/>
        <v>2.994906812764162</v>
      </c>
      <c r="X134" s="419">
        <f t="shared" si="38"/>
        <v>3.0244735774723037</v>
      </c>
    </row>
    <row r="135" spans="1:24">
      <c r="A135" s="65"/>
      <c r="B135" s="65"/>
      <c r="D135" t="s">
        <v>513</v>
      </c>
      <c r="E135" s="419">
        <f t="shared" si="19"/>
        <v>1.8609169298000787E-3</v>
      </c>
      <c r="F135" s="419">
        <f t="shared" si="20"/>
        <v>5.564763467908144E-3</v>
      </c>
      <c r="G135" s="419">
        <f t="shared" si="21"/>
        <v>1.2112839803886243E-2</v>
      </c>
      <c r="H135" s="419">
        <f t="shared" si="22"/>
        <v>2.2718432172799331E-2</v>
      </c>
      <c r="I135" s="419">
        <f t="shared" si="23"/>
        <v>3.8747150901849658E-2</v>
      </c>
      <c r="J135" s="419">
        <f t="shared" si="24"/>
        <v>6.160525575737015E-2</v>
      </c>
      <c r="K135" s="419">
        <f t="shared" si="25"/>
        <v>9.2565325876434401E-2</v>
      </c>
      <c r="L135" s="419">
        <f t="shared" si="26"/>
        <v>0.13252892460838384</v>
      </c>
      <c r="M135" s="419">
        <f t="shared" si="27"/>
        <v>0.18174556091498048</v>
      </c>
      <c r="N135" s="419">
        <f t="shared" si="28"/>
        <v>0.23953558712629142</v>
      </c>
      <c r="O135" s="419">
        <f t="shared" si="29"/>
        <v>0.30409532526282884</v>
      </c>
      <c r="P135" s="419">
        <f t="shared" si="30"/>
        <v>0.372481639783591</v>
      </c>
      <c r="Q135" s="419">
        <f t="shared" si="31"/>
        <v>0.44086063433871703</v>
      </c>
      <c r="R135" s="419">
        <f t="shared" si="32"/>
        <v>0.50504473019121443</v>
      </c>
      <c r="S135" s="419">
        <f t="shared" si="33"/>
        <v>0.56123665820774449</v>
      </c>
      <c r="T135" s="419">
        <f t="shared" si="34"/>
        <v>0.60678339993972907</v>
      </c>
      <c r="U135" s="419">
        <f t="shared" si="35"/>
        <v>0.64068265689683768</v>
      </c>
      <c r="V135" s="419">
        <f t="shared" si="36"/>
        <v>0.66363946147296926</v>
      </c>
      <c r="W135" s="419">
        <f t="shared" si="37"/>
        <v>0.6776447491609161</v>
      </c>
      <c r="X135" s="419">
        <f t="shared" si="38"/>
        <v>0.68433469449369144</v>
      </c>
    </row>
    <row r="136" spans="1:24">
      <c r="A136" s="65"/>
      <c r="B136" s="65"/>
      <c r="D136" t="s">
        <v>514</v>
      </c>
      <c r="E136" s="419">
        <f t="shared" si="19"/>
        <v>3.5901752108069047E-4</v>
      </c>
      <c r="F136" s="419">
        <f t="shared" si="20"/>
        <v>1.0735823580601204E-3</v>
      </c>
      <c r="G136" s="419">
        <f t="shared" si="21"/>
        <v>2.3368704158685605E-3</v>
      </c>
      <c r="H136" s="419">
        <f t="shared" si="22"/>
        <v>4.3829550212079946E-3</v>
      </c>
      <c r="I136" s="419">
        <f t="shared" si="23"/>
        <v>7.4752966362748776E-3</v>
      </c>
      <c r="J136" s="419">
        <f t="shared" si="24"/>
        <v>1.1885198018983613E-2</v>
      </c>
      <c r="K136" s="419">
        <f t="shared" si="25"/>
        <v>1.7858171583056099E-2</v>
      </c>
      <c r="L136" s="419">
        <f t="shared" si="26"/>
        <v>2.5568151496962999E-2</v>
      </c>
      <c r="M136" s="419">
        <f t="shared" si="27"/>
        <v>3.5063274293563332E-2</v>
      </c>
      <c r="N136" s="419">
        <f t="shared" si="28"/>
        <v>4.6212418901432489E-2</v>
      </c>
      <c r="O136" s="419">
        <f t="shared" si="29"/>
        <v>5.8667610627743588E-2</v>
      </c>
      <c r="P136" s="419">
        <f t="shared" si="30"/>
        <v>7.1861044854668543E-2</v>
      </c>
      <c r="Q136" s="419">
        <f t="shared" si="31"/>
        <v>8.505306687674169E-2</v>
      </c>
      <c r="R136" s="419">
        <f t="shared" si="32"/>
        <v>9.7435787790697045E-2</v>
      </c>
      <c r="S136" s="419">
        <f t="shared" si="33"/>
        <v>0.1082766191992256</v>
      </c>
      <c r="T136" s="419">
        <f t="shared" si="34"/>
        <v>0.11706372734363713</v>
      </c>
      <c r="U136" s="419">
        <f t="shared" si="35"/>
        <v>0.12360374372175992</v>
      </c>
      <c r="V136" s="419">
        <f t="shared" si="36"/>
        <v>0.12803268675455937</v>
      </c>
      <c r="W136" s="419">
        <f t="shared" si="37"/>
        <v>0.13073465780293322</v>
      </c>
      <c r="X136" s="419">
        <f t="shared" si="38"/>
        <v>0.13202531594627998</v>
      </c>
    </row>
    <row r="137" spans="1:24">
      <c r="A137" s="65"/>
      <c r="B137" s="65"/>
      <c r="D137" t="s">
        <v>512</v>
      </c>
      <c r="E137" s="419">
        <f t="shared" si="19"/>
        <v>1.0533077028867383E-3</v>
      </c>
      <c r="F137" s="419">
        <f t="shared" si="20"/>
        <v>3.1497420070868325E-3</v>
      </c>
      <c r="G137" s="419">
        <f t="shared" si="21"/>
        <v>6.8560542735441373E-3</v>
      </c>
      <c r="H137" s="419">
        <f t="shared" si="22"/>
        <v>1.285898323666184E-2</v>
      </c>
      <c r="I137" s="419">
        <f t="shared" si="23"/>
        <v>2.1931485417899677E-2</v>
      </c>
      <c r="J137" s="419">
        <f t="shared" si="24"/>
        <v>3.4869525548631937E-2</v>
      </c>
      <c r="K137" s="419">
        <f t="shared" si="25"/>
        <v>5.2393403060900748E-2</v>
      </c>
      <c r="L137" s="419">
        <f t="shared" si="26"/>
        <v>7.5013416724788062E-2</v>
      </c>
      <c r="M137" s="419">
        <f t="shared" si="27"/>
        <v>0.10287079246346902</v>
      </c>
      <c r="N137" s="419">
        <f t="shared" si="28"/>
        <v>0.13558083920636138</v>
      </c>
      <c r="O137" s="419">
        <f t="shared" si="29"/>
        <v>0.17212264737985739</v>
      </c>
      <c r="P137" s="419">
        <f t="shared" si="30"/>
        <v>0.21083035684461704</v>
      </c>
      <c r="Q137" s="419">
        <f t="shared" si="31"/>
        <v>0.24953392309585334</v>
      </c>
      <c r="R137" s="419">
        <f t="shared" si="32"/>
        <v>0.28586311193907549</v>
      </c>
      <c r="S137" s="419">
        <f t="shared" si="33"/>
        <v>0.31766861043933731</v>
      </c>
      <c r="T137" s="419">
        <f t="shared" si="34"/>
        <v>0.34344876920915746</v>
      </c>
      <c r="U137" s="419">
        <f t="shared" si="35"/>
        <v>0.3626362718339497</v>
      </c>
      <c r="V137" s="419">
        <f t="shared" si="36"/>
        <v>0.37563017752983835</v>
      </c>
      <c r="W137" s="419">
        <f t="shared" si="37"/>
        <v>0.3835573865130163</v>
      </c>
      <c r="X137" s="419">
        <f t="shared" si="38"/>
        <v>0.38734399882120807</v>
      </c>
    </row>
    <row r="138" spans="1:24">
      <c r="A138" s="65"/>
      <c r="B138" s="65"/>
      <c r="D138" t="s">
        <v>509</v>
      </c>
      <c r="E138" s="419">
        <f t="shared" si="19"/>
        <v>2.3832742677331209E-4</v>
      </c>
      <c r="F138" s="419">
        <f t="shared" si="20"/>
        <v>7.1267864603239447E-4</v>
      </c>
      <c r="G138" s="419">
        <f t="shared" si="21"/>
        <v>1.5512900630592331E-3</v>
      </c>
      <c r="H138" s="419">
        <f t="shared" si="22"/>
        <v>2.9095471126961967E-3</v>
      </c>
      <c r="I138" s="419">
        <f t="shared" si="23"/>
        <v>4.9623433595325107E-3</v>
      </c>
      <c r="J138" s="419">
        <f t="shared" si="24"/>
        <v>7.8897783373614271E-3</v>
      </c>
      <c r="K138" s="419">
        <f t="shared" si="25"/>
        <v>1.1854831116472094E-2</v>
      </c>
      <c r="L138" s="419">
        <f t="shared" si="26"/>
        <v>1.6972964815975773E-2</v>
      </c>
      <c r="M138" s="419">
        <f t="shared" si="27"/>
        <v>2.327613402119617E-2</v>
      </c>
      <c r="N138" s="419">
        <f t="shared" si="28"/>
        <v>3.0677296329705905E-2</v>
      </c>
      <c r="O138" s="419">
        <f t="shared" si="29"/>
        <v>3.894545490081032E-2</v>
      </c>
      <c r="P138" s="419">
        <f t="shared" si="30"/>
        <v>4.7703682689083808E-2</v>
      </c>
      <c r="Q138" s="419">
        <f t="shared" si="31"/>
        <v>5.6460973010162396E-2</v>
      </c>
      <c r="R138" s="419">
        <f t="shared" si="32"/>
        <v>6.4681023115215008E-2</v>
      </c>
      <c r="S138" s="419">
        <f t="shared" si="33"/>
        <v>7.1877517163474069E-2</v>
      </c>
      <c r="T138" s="419">
        <f t="shared" si="34"/>
        <v>7.7710683373670625E-2</v>
      </c>
      <c r="U138" s="419">
        <f t="shared" si="35"/>
        <v>8.2052157488252911E-2</v>
      </c>
      <c r="V138" s="419">
        <f t="shared" si="36"/>
        <v>8.4992232928458089E-2</v>
      </c>
      <c r="W138" s="419">
        <f t="shared" si="37"/>
        <v>8.678588858413902E-2</v>
      </c>
      <c r="X138" s="419">
        <f t="shared" si="38"/>
        <v>8.7642669148001034E-2</v>
      </c>
    </row>
    <row r="139" spans="1:24">
      <c r="A139" s="65"/>
      <c r="B139" s="65"/>
      <c r="D139" t="s">
        <v>510</v>
      </c>
      <c r="E139" s="419">
        <f t="shared" si="19"/>
        <v>4.5979334485869037E-5</v>
      </c>
      <c r="F139" s="419">
        <f t="shared" si="20"/>
        <v>1.3749357466116501E-4</v>
      </c>
      <c r="G139" s="419">
        <f t="shared" si="21"/>
        <v>2.9928273744947166E-4</v>
      </c>
      <c r="H139" s="419">
        <f t="shared" si="22"/>
        <v>5.6132456808799611E-4</v>
      </c>
      <c r="I139" s="419">
        <f t="shared" si="23"/>
        <v>9.5736041902847553E-4</v>
      </c>
      <c r="J139" s="419">
        <f t="shared" si="24"/>
        <v>1.5221360046737491E-3</v>
      </c>
      <c r="K139" s="419">
        <f t="shared" si="25"/>
        <v>2.2870940728790534E-3</v>
      </c>
      <c r="L139" s="419">
        <f t="shared" si="26"/>
        <v>3.2745103534933418E-3</v>
      </c>
      <c r="M139" s="419">
        <f t="shared" si="27"/>
        <v>4.4905496869919546E-3</v>
      </c>
      <c r="N139" s="419">
        <f t="shared" si="28"/>
        <v>5.9184194121615066E-3</v>
      </c>
      <c r="O139" s="419">
        <f t="shared" si="29"/>
        <v>7.513554448317512E-3</v>
      </c>
      <c r="P139" s="419">
        <f t="shared" si="30"/>
        <v>9.2032361204294269E-3</v>
      </c>
      <c r="Q139" s="419">
        <f t="shared" si="31"/>
        <v>1.0892736931621103E-2</v>
      </c>
      <c r="R139" s="419">
        <f t="shared" si="32"/>
        <v>1.2478590638799802E-2</v>
      </c>
      <c r="S139" s="419">
        <f t="shared" si="33"/>
        <v>1.3866974726398747E-2</v>
      </c>
      <c r="T139" s="419">
        <f t="shared" si="34"/>
        <v>1.4992338701168645E-2</v>
      </c>
      <c r="U139" s="419">
        <f t="shared" si="35"/>
        <v>1.582991788027836E-2</v>
      </c>
      <c r="V139" s="419">
        <f t="shared" si="36"/>
        <v>1.6397132127958979E-2</v>
      </c>
      <c r="W139" s="419">
        <f t="shared" si="37"/>
        <v>1.6743173263306224E-2</v>
      </c>
      <c r="X139" s="419">
        <f t="shared" si="38"/>
        <v>1.6908467709942754E-2</v>
      </c>
    </row>
    <row r="140" spans="1:24">
      <c r="E140" s="418"/>
      <c r="F140" s="418"/>
      <c r="G140" s="418"/>
      <c r="H140" s="418"/>
      <c r="I140" s="418"/>
      <c r="J140" s="418"/>
      <c r="K140" s="418"/>
      <c r="L140" s="418"/>
      <c r="M140" s="418"/>
      <c r="N140" s="418"/>
      <c r="O140" s="418"/>
      <c r="P140" s="418"/>
      <c r="Q140" s="418"/>
      <c r="R140" s="418"/>
      <c r="S140" s="418"/>
      <c r="T140" s="418"/>
      <c r="U140" s="418"/>
      <c r="V140" s="418"/>
      <c r="W140" s="418"/>
      <c r="X140" s="418"/>
    </row>
    <row r="141" spans="1:24">
      <c r="D141" t="s">
        <v>636</v>
      </c>
      <c r="E141" s="418">
        <f>SUM(E119:E139)</f>
        <v>9.4138405060976107E-2</v>
      </c>
      <c r="F141" s="418">
        <f t="shared" ref="F141:X141" si="39">SUM(F119:F139)</f>
        <v>0.28150528861421981</v>
      </c>
      <c r="G141" s="418">
        <f t="shared" si="39"/>
        <v>0.61275353114201625</v>
      </c>
      <c r="H141" s="418">
        <f t="shared" si="39"/>
        <v>1.1492597740314268</v>
      </c>
      <c r="I141" s="418">
        <f t="shared" si="39"/>
        <v>1.9601062939165996</v>
      </c>
      <c r="J141" s="418">
        <f t="shared" si="39"/>
        <v>3.116431704985017</v>
      </c>
      <c r="K141" s="418">
        <f t="shared" si="39"/>
        <v>4.6826121050407084</v>
      </c>
      <c r="L141" s="418">
        <f t="shared" si="39"/>
        <v>6.7042549762927504</v>
      </c>
      <c r="M141" s="418">
        <f t="shared" si="39"/>
        <v>9.1939822554501731</v>
      </c>
      <c r="N141" s="418">
        <f t="shared" si="39"/>
        <v>12.117412532668018</v>
      </c>
      <c r="O141" s="418">
        <f t="shared" si="39"/>
        <v>15.383302955826686</v>
      </c>
      <c r="P141" s="418">
        <f t="shared" si="39"/>
        <v>18.842768810476329</v>
      </c>
      <c r="Q141" s="418">
        <f t="shared" si="39"/>
        <v>22.301864369236323</v>
      </c>
      <c r="R141" s="418">
        <f t="shared" si="39"/>
        <v>25.54875213573327</v>
      </c>
      <c r="S141" s="418">
        <f t="shared" si="39"/>
        <v>28.39133924753175</v>
      </c>
      <c r="T141" s="418">
        <f t="shared" si="39"/>
        <v>30.695417174768334</v>
      </c>
      <c r="U141" s="418">
        <f t="shared" si="39"/>
        <v>32.410282535812279</v>
      </c>
      <c r="V141" s="418">
        <f t="shared" si="39"/>
        <v>33.571600880272548</v>
      </c>
      <c r="W141" s="418">
        <f t="shared" si="39"/>
        <v>34.280087876253134</v>
      </c>
      <c r="X141" s="418">
        <f t="shared" si="39"/>
        <v>34.618512860994528</v>
      </c>
    </row>
    <row r="145" spans="1:25" ht="15">
      <c r="A145" s="84" t="s">
        <v>73</v>
      </c>
      <c r="B145" s="19"/>
      <c r="C145" s="85"/>
      <c r="D145" s="72" t="str">
        <f>$C$8</f>
        <v>Secondary Glazing Systems-Retro</v>
      </c>
      <c r="E145" s="19" t="s">
        <v>188</v>
      </c>
      <c r="F145" s="19"/>
      <c r="G145" s="19"/>
      <c r="H145" s="19"/>
      <c r="I145" s="19"/>
      <c r="J145" s="19"/>
      <c r="K145" s="19"/>
      <c r="L145" s="19"/>
      <c r="M145" s="19"/>
      <c r="N145" s="19"/>
      <c r="O145" s="19"/>
      <c r="P145" s="19"/>
      <c r="Q145" s="19"/>
      <c r="R145" s="19"/>
      <c r="S145" s="19"/>
      <c r="T145" s="19"/>
      <c r="U145" s="19"/>
      <c r="V145" s="19"/>
      <c r="W145" s="19"/>
      <c r="X145" s="19"/>
      <c r="Y145" s="19"/>
    </row>
    <row r="146" spans="1:25" ht="15">
      <c r="A146" s="72" t="s">
        <v>189</v>
      </c>
      <c r="B146" s="72" t="s">
        <v>74</v>
      </c>
      <c r="C146" s="72"/>
      <c r="D146" s="72">
        <f>1000000</f>
        <v>1000000</v>
      </c>
      <c r="E146" s="74">
        <f t="shared" ref="E146:X147" si="40">E11</f>
        <v>2016</v>
      </c>
      <c r="F146" s="74">
        <f t="shared" si="40"/>
        <v>2017</v>
      </c>
      <c r="G146" s="74">
        <f t="shared" si="40"/>
        <v>2018</v>
      </c>
      <c r="H146" s="74">
        <f t="shared" si="40"/>
        <v>2019</v>
      </c>
      <c r="I146" s="74">
        <f t="shared" si="40"/>
        <v>2020</v>
      </c>
      <c r="J146" s="74">
        <f t="shared" si="40"/>
        <v>2021</v>
      </c>
      <c r="K146" s="74">
        <f t="shared" si="40"/>
        <v>2022</v>
      </c>
      <c r="L146" s="74">
        <f t="shared" si="40"/>
        <v>2023</v>
      </c>
      <c r="M146" s="74">
        <f t="shared" si="40"/>
        <v>2024</v>
      </c>
      <c r="N146" s="74">
        <f t="shared" si="40"/>
        <v>2025</v>
      </c>
      <c r="O146" s="74">
        <f t="shared" si="40"/>
        <v>2026</v>
      </c>
      <c r="P146" s="74">
        <f t="shared" si="40"/>
        <v>2027</v>
      </c>
      <c r="Q146" s="74">
        <f t="shared" si="40"/>
        <v>2028</v>
      </c>
      <c r="R146" s="74">
        <f t="shared" si="40"/>
        <v>2029</v>
      </c>
      <c r="S146" s="74">
        <f t="shared" si="40"/>
        <v>2030</v>
      </c>
      <c r="T146" s="74">
        <f t="shared" si="40"/>
        <v>2031</v>
      </c>
      <c r="U146" s="74">
        <f t="shared" si="40"/>
        <v>2032</v>
      </c>
      <c r="V146" s="74">
        <f t="shared" si="40"/>
        <v>2033</v>
      </c>
      <c r="W146" s="74">
        <f t="shared" si="40"/>
        <v>2034</v>
      </c>
      <c r="X146" s="74">
        <f t="shared" si="40"/>
        <v>2035</v>
      </c>
      <c r="Y146" s="19"/>
    </row>
    <row r="147" spans="1:25" ht="15">
      <c r="A147" s="72" t="s">
        <v>75</v>
      </c>
      <c r="B147" s="72" t="s">
        <v>76</v>
      </c>
      <c r="C147" s="72" t="s">
        <v>77</v>
      </c>
      <c r="D147" s="72" t="s">
        <v>78</v>
      </c>
      <c r="E147" s="75" t="str">
        <f t="shared" si="40"/>
        <v>FLOOR_2016</v>
      </c>
      <c r="F147" s="75" t="str">
        <f t="shared" si="40"/>
        <v>FLOOR_2017</v>
      </c>
      <c r="G147" s="75" t="str">
        <f t="shared" si="40"/>
        <v>FLOOR_2018</v>
      </c>
      <c r="H147" s="75" t="str">
        <f t="shared" si="40"/>
        <v>FLOOR_2019</v>
      </c>
      <c r="I147" s="75" t="str">
        <f t="shared" si="40"/>
        <v>FLOOR_2020</v>
      </c>
      <c r="J147" s="75" t="str">
        <f t="shared" si="40"/>
        <v>FLOOR_2021</v>
      </c>
      <c r="K147" s="75" t="str">
        <f t="shared" si="40"/>
        <v>FLOOR_2022</v>
      </c>
      <c r="L147" s="75" t="str">
        <f t="shared" si="40"/>
        <v>FLOOR_2023</v>
      </c>
      <c r="M147" s="75" t="str">
        <f t="shared" si="40"/>
        <v>FLOOR_2024</v>
      </c>
      <c r="N147" s="75" t="str">
        <f t="shared" si="40"/>
        <v>FLOOR_2025</v>
      </c>
      <c r="O147" s="75" t="str">
        <f t="shared" si="40"/>
        <v>FLOOR_2026</v>
      </c>
      <c r="P147" s="75" t="str">
        <f t="shared" si="40"/>
        <v>FLOOR_2027</v>
      </c>
      <c r="Q147" s="75" t="str">
        <f t="shared" si="40"/>
        <v>FLOOR_2028</v>
      </c>
      <c r="R147" s="75" t="str">
        <f t="shared" si="40"/>
        <v>FLOOR_2029</v>
      </c>
      <c r="S147" s="75" t="str">
        <f t="shared" si="40"/>
        <v>FLOOR_2030</v>
      </c>
      <c r="T147" s="75" t="str">
        <f t="shared" si="40"/>
        <v>FLOOR_2031</v>
      </c>
      <c r="U147" s="75" t="str">
        <f t="shared" si="40"/>
        <v>FLOOR_2032</v>
      </c>
      <c r="V147" s="75" t="str">
        <f t="shared" si="40"/>
        <v>FLOOR_2033</v>
      </c>
      <c r="W147" s="75" t="str">
        <f t="shared" si="40"/>
        <v>FLOOR_2034</v>
      </c>
      <c r="X147" s="75" t="str">
        <f t="shared" si="40"/>
        <v>FLOOR_2035</v>
      </c>
      <c r="Y147" s="420" t="s">
        <v>71</v>
      </c>
    </row>
    <row r="148" spans="1:25" ht="15">
      <c r="A148" s="421">
        <f t="shared" ref="A148:A168" si="41">VLOOKUP($D148,MeasOut,3,FALSE)</f>
        <v>7.6883722283034297</v>
      </c>
      <c r="B148" s="421">
        <f t="shared" ref="B148:B168" si="42">VLOOKUP($D148,MeasOut,11,FALSE)</f>
        <v>329.60399444935678</v>
      </c>
      <c r="C148" t="s">
        <v>750</v>
      </c>
      <c r="D148" t="s">
        <v>527</v>
      </c>
      <c r="E148" s="422">
        <f>VLOOKUP($D148,$D$92:$X$112,E$90,FALSE)*$D$146*$A148/8760/1000</f>
        <v>2.5607945077665201E-2</v>
      </c>
      <c r="F148" s="422">
        <f t="shared" ref="F148:X162" si="43">VLOOKUP($D148,$D$92:$X$112,F$90,FALSE)*$D$146*$A148/8760/1000</f>
        <v>5.0968367907836362E-2</v>
      </c>
      <c r="G148" s="422">
        <f t="shared" si="43"/>
        <v>9.0107611194713944E-2</v>
      </c>
      <c r="H148" s="422">
        <f t="shared" si="43"/>
        <v>0.1459427997833351</v>
      </c>
      <c r="I148" s="422">
        <f t="shared" si="43"/>
        <v>0.22057005463589432</v>
      </c>
      <c r="J148" s="422">
        <f t="shared" si="43"/>
        <v>0.31454874978356284</v>
      </c>
      <c r="K148" s="422">
        <f t="shared" si="43"/>
        <v>0.42603931562642883</v>
      </c>
      <c r="L148" s="422">
        <f t="shared" si="43"/>
        <v>0.54993623038485395</v>
      </c>
      <c r="M148" s="422">
        <f t="shared" si="43"/>
        <v>0.67726662016135764</v>
      </c>
      <c r="N148" s="422">
        <f t="shared" si="43"/>
        <v>0.79524442685094443</v>
      </c>
      <c r="O148" s="422">
        <f t="shared" si="43"/>
        <v>0.88840194957359475</v>
      </c>
      <c r="P148" s="422">
        <f t="shared" si="43"/>
        <v>0.94105919413595385</v>
      </c>
      <c r="Q148" s="422">
        <f t="shared" si="43"/>
        <v>0.94095846461118116</v>
      </c>
      <c r="R148" s="422">
        <f t="shared" si="43"/>
        <v>0.88323276290840602</v>
      </c>
      <c r="S148" s="422">
        <f t="shared" si="43"/>
        <v>0.773253111631376</v>
      </c>
      <c r="T148" s="422">
        <f t="shared" si="43"/>
        <v>0.62676546280040968</v>
      </c>
      <c r="U148" s="422">
        <f t="shared" si="43"/>
        <v>0.46648525596709878</v>
      </c>
      <c r="V148" s="422">
        <f t="shared" si="43"/>
        <v>0.31590694959577037</v>
      </c>
      <c r="W148" s="422">
        <f t="shared" si="43"/>
        <v>0.19272576446943931</v>
      </c>
      <c r="X148" s="422">
        <f t="shared" si="43"/>
        <v>9.2059860335999749E-2</v>
      </c>
      <c r="Y148" s="423">
        <f>(VLOOKUP($D148,$D$38:$Z$60,$X$118+2,FALSE)+VLOOKUP($D148,$D$65:$Z$85,$X$118+2,FALSE))*$A148*$D$146/8760/1000</f>
        <v>9.2059860335999737</v>
      </c>
    </row>
    <row r="149" spans="1:25" ht="15">
      <c r="A149" s="421">
        <f t="shared" si="41"/>
        <v>8.984482750943469</v>
      </c>
      <c r="B149" s="421">
        <f t="shared" si="42"/>
        <v>268.78906565608219</v>
      </c>
      <c r="C149" t="s">
        <v>750</v>
      </c>
      <c r="D149" t="s">
        <v>525</v>
      </c>
      <c r="E149" s="422">
        <f t="shared" ref="E149:T168" si="44">VLOOKUP($D149,$D$92:$X$112,E$90,FALSE)*$D$146*$A149/8760/1000</f>
        <v>6.7709899835918571E-3</v>
      </c>
      <c r="F149" s="422">
        <f t="shared" si="44"/>
        <v>1.3476532675204008E-2</v>
      </c>
      <c r="G149" s="422">
        <f t="shared" si="44"/>
        <v>2.3825329638688251E-2</v>
      </c>
      <c r="H149" s="422">
        <f t="shared" si="44"/>
        <v>3.8588697082616932E-2</v>
      </c>
      <c r="I149" s="422">
        <f t="shared" si="44"/>
        <v>5.8320869796090524E-2</v>
      </c>
      <c r="J149" s="422">
        <f t="shared" si="44"/>
        <v>8.3169751718712701E-2</v>
      </c>
      <c r="K149" s="422">
        <f t="shared" si="44"/>
        <v>0.11264894273921539</v>
      </c>
      <c r="L149" s="422">
        <f t="shared" si="44"/>
        <v>0.14540849319447269</v>
      </c>
      <c r="M149" s="422">
        <f t="shared" si="44"/>
        <v>0.17907588787095957</v>
      </c>
      <c r="N149" s="422">
        <f t="shared" si="44"/>
        <v>0.21027036852759182</v>
      </c>
      <c r="O149" s="422">
        <f t="shared" si="44"/>
        <v>0.23490212446655007</v>
      </c>
      <c r="P149" s="422">
        <f t="shared" si="44"/>
        <v>0.24882521257119655</v>
      </c>
      <c r="Q149" s="422">
        <f t="shared" si="44"/>
        <v>0.24879857870419866</v>
      </c>
      <c r="R149" s="422">
        <f t="shared" si="44"/>
        <v>0.23353534118787775</v>
      </c>
      <c r="S149" s="422">
        <f t="shared" si="44"/>
        <v>0.20445565068802657</v>
      </c>
      <c r="T149" s="422">
        <f t="shared" si="44"/>
        <v>0.16572289021286116</v>
      </c>
      <c r="U149" s="422">
        <f t="shared" si="43"/>
        <v>0.12334324312501577</v>
      </c>
      <c r="V149" s="422">
        <f t="shared" si="43"/>
        <v>8.3528872971756707E-2</v>
      </c>
      <c r="W149" s="422">
        <f t="shared" si="43"/>
        <v>5.09585683991804E-2</v>
      </c>
      <c r="X149" s="422">
        <f t="shared" si="43"/>
        <v>2.4341523317682474E-2</v>
      </c>
      <c r="Y149" s="423">
        <f t="shared" ref="Y149:Y168" si="45">(VLOOKUP($D149,$D$38:$Z$60,$X$118+2,FALSE)+VLOOKUP($D149,$D$65:$Z$85,$X$118+2,FALSE))*$A149*$D$146/8760/1000</f>
        <v>2.4341523317682472</v>
      </c>
    </row>
    <row r="150" spans="1:25" ht="15">
      <c r="A150" s="421">
        <f t="shared" si="41"/>
        <v>8.1209976752336903</v>
      </c>
      <c r="B150" s="421">
        <f t="shared" si="42"/>
        <v>300.72144798318516</v>
      </c>
      <c r="C150" t="s">
        <v>750</v>
      </c>
      <c r="D150" t="s">
        <v>526</v>
      </c>
      <c r="E150" s="422">
        <f t="shared" si="44"/>
        <v>1.1807477733526499E-3</v>
      </c>
      <c r="F150" s="422">
        <f t="shared" si="43"/>
        <v>2.350082630061757E-3</v>
      </c>
      <c r="G150" s="422">
        <f t="shared" si="43"/>
        <v>4.1547402947642257E-3</v>
      </c>
      <c r="H150" s="422">
        <f t="shared" si="43"/>
        <v>6.7292254555528707E-3</v>
      </c>
      <c r="I150" s="422">
        <f t="shared" si="43"/>
        <v>1.017018741994857E-2</v>
      </c>
      <c r="J150" s="422">
        <f t="shared" si="43"/>
        <v>1.4503418169298276E-2</v>
      </c>
      <c r="K150" s="422">
        <f t="shared" si="43"/>
        <v>1.9644097633017017E-2</v>
      </c>
      <c r="L150" s="422">
        <f t="shared" si="43"/>
        <v>2.5356817094988451E-2</v>
      </c>
      <c r="M150" s="422">
        <f t="shared" si="43"/>
        <v>3.1227849454389289E-2</v>
      </c>
      <c r="N150" s="422">
        <f t="shared" si="43"/>
        <v>3.6667646834900529E-2</v>
      </c>
      <c r="O150" s="422">
        <f t="shared" si="43"/>
        <v>4.0963014432426122E-2</v>
      </c>
      <c r="P150" s="422">
        <f t="shared" si="43"/>
        <v>4.3390968884816736E-2</v>
      </c>
      <c r="Q150" s="422">
        <f t="shared" si="43"/>
        <v>4.338632438242792E-2</v>
      </c>
      <c r="R150" s="422">
        <f t="shared" si="43"/>
        <v>4.0724670214393209E-2</v>
      </c>
      <c r="S150" s="422">
        <f t="shared" si="43"/>
        <v>3.5653656981366799E-2</v>
      </c>
      <c r="T150" s="422">
        <f t="shared" si="43"/>
        <v>2.8899309271847317E-2</v>
      </c>
      <c r="U150" s="422">
        <f t="shared" si="43"/>
        <v>2.1509005334652644E-2</v>
      </c>
      <c r="V150" s="422">
        <f t="shared" si="43"/>
        <v>1.456604292888629E-2</v>
      </c>
      <c r="W150" s="422">
        <f t="shared" si="43"/>
        <v>8.8863247939192144E-3</v>
      </c>
      <c r="X150" s="422">
        <f t="shared" si="43"/>
        <v>4.2447558668693552E-3</v>
      </c>
      <c r="Y150" s="423">
        <f t="shared" si="45"/>
        <v>0.42447558668693558</v>
      </c>
    </row>
    <row r="151" spans="1:25" ht="15">
      <c r="A151" s="421">
        <f t="shared" si="41"/>
        <v>9.8765949955951093</v>
      </c>
      <c r="B151" s="421">
        <f t="shared" si="42"/>
        <v>227.99031677741331</v>
      </c>
      <c r="C151" t="s">
        <v>751</v>
      </c>
      <c r="D151" t="s">
        <v>523</v>
      </c>
      <c r="E151" s="422">
        <f t="shared" si="44"/>
        <v>1.6101665629186274E-2</v>
      </c>
      <c r="F151" s="422">
        <f t="shared" si="43"/>
        <v>3.2047695167587209E-2</v>
      </c>
      <c r="G151" s="422">
        <f t="shared" si="43"/>
        <v>5.6657518660778464E-2</v>
      </c>
      <c r="H151" s="422">
        <f t="shared" si="43"/>
        <v>9.1765354696425869E-2</v>
      </c>
      <c r="I151" s="422">
        <f t="shared" si="43"/>
        <v>0.13868919418513259</v>
      </c>
      <c r="J151" s="422">
        <f t="shared" si="43"/>
        <v>0.19778075818785248</v>
      </c>
      <c r="K151" s="422">
        <f t="shared" si="43"/>
        <v>0.2678833691769838</v>
      </c>
      <c r="L151" s="422">
        <f t="shared" si="43"/>
        <v>0.34578679672173884</v>
      </c>
      <c r="M151" s="422">
        <f t="shared" si="43"/>
        <v>0.42584911153837735</v>
      </c>
      <c r="N151" s="422">
        <f t="shared" si="43"/>
        <v>0.50003074498140343</v>
      </c>
      <c r="O151" s="422">
        <f t="shared" si="43"/>
        <v>0.55860597533175682</v>
      </c>
      <c r="P151" s="422">
        <f t="shared" si="43"/>
        <v>0.59171559589388811</v>
      </c>
      <c r="Q151" s="422">
        <f t="shared" si="43"/>
        <v>0.59165225956908907</v>
      </c>
      <c r="R151" s="422">
        <f t="shared" si="43"/>
        <v>0.55535571393806482</v>
      </c>
      <c r="S151" s="422">
        <f t="shared" si="43"/>
        <v>0.48620313002293636</v>
      </c>
      <c r="T151" s="422">
        <f t="shared" si="43"/>
        <v>0.39409518722907688</v>
      </c>
      <c r="U151" s="422">
        <f t="shared" si="43"/>
        <v>0.29331481263909465</v>
      </c>
      <c r="V151" s="422">
        <f t="shared" si="43"/>
        <v>0.19863476186395621</v>
      </c>
      <c r="W151" s="422">
        <f t="shared" si="43"/>
        <v>0.12118136805607188</v>
      </c>
      <c r="X151" s="422">
        <f t="shared" si="43"/>
        <v>5.7885046398850122E-2</v>
      </c>
      <c r="Y151" s="423">
        <f t="shared" si="45"/>
        <v>5.788504639885014</v>
      </c>
    </row>
    <row r="152" spans="1:25" ht="15">
      <c r="A152" s="421">
        <f t="shared" si="41"/>
        <v>13.391118984663345</v>
      </c>
      <c r="B152" s="421">
        <f t="shared" si="42"/>
        <v>156.78415467680966</v>
      </c>
      <c r="C152" t="s">
        <v>751</v>
      </c>
      <c r="D152" t="s">
        <v>516</v>
      </c>
      <c r="E152" s="422">
        <f t="shared" si="44"/>
        <v>4.9396842715316242E-3</v>
      </c>
      <c r="F152" s="422">
        <f t="shared" si="43"/>
        <v>9.8316223553432929E-3</v>
      </c>
      <c r="G152" s="422">
        <f t="shared" si="43"/>
        <v>1.7381447375565743E-2</v>
      </c>
      <c r="H152" s="422">
        <f t="shared" si="43"/>
        <v>2.8151862652259257E-2</v>
      </c>
      <c r="I152" s="422">
        <f t="shared" si="43"/>
        <v>4.2547202688515674E-2</v>
      </c>
      <c r="J152" s="422">
        <f t="shared" si="43"/>
        <v>6.0675368805401482E-2</v>
      </c>
      <c r="K152" s="422">
        <f t="shared" si="43"/>
        <v>8.2181514372641942E-2</v>
      </c>
      <c r="L152" s="422">
        <f t="shared" si="43"/>
        <v>0.10608080185031124</v>
      </c>
      <c r="M152" s="422">
        <f t="shared" si="43"/>
        <v>0.13064239481528384</v>
      </c>
      <c r="N152" s="422">
        <f t="shared" si="43"/>
        <v>0.15339990676428575</v>
      </c>
      <c r="O152" s="422">
        <f t="shared" si="43"/>
        <v>0.17136967155299879</v>
      </c>
      <c r="P152" s="422">
        <f t="shared" si="43"/>
        <v>0.18152707238926283</v>
      </c>
      <c r="Q152" s="422">
        <f t="shared" si="43"/>
        <v>0.1815076420113981</v>
      </c>
      <c r="R152" s="422">
        <f t="shared" si="43"/>
        <v>0.17037255327626066</v>
      </c>
      <c r="S152" s="422">
        <f t="shared" si="43"/>
        <v>0.14915785791690903</v>
      </c>
      <c r="T152" s="422">
        <f t="shared" si="43"/>
        <v>0.12090089576280451</v>
      </c>
      <c r="U152" s="422">
        <f t="shared" si="43"/>
        <v>8.998339674712294E-2</v>
      </c>
      <c r="V152" s="422">
        <f t="shared" si="43"/>
        <v>6.0937360864100912E-2</v>
      </c>
      <c r="W152" s="422">
        <f t="shared" si="43"/>
        <v>3.7176135163571537E-2</v>
      </c>
      <c r="X152" s="422">
        <f t="shared" si="43"/>
        <v>1.7758029500686411E-2</v>
      </c>
      <c r="Y152" s="423">
        <f t="shared" si="45"/>
        <v>1.775802950068641</v>
      </c>
    </row>
    <row r="153" spans="1:25" ht="15">
      <c r="A153" s="421">
        <f t="shared" si="41"/>
        <v>12.271486974988012</v>
      </c>
      <c r="B153" s="421">
        <f t="shared" si="42"/>
        <v>175.04144944073664</v>
      </c>
      <c r="C153" t="s">
        <v>751</v>
      </c>
      <c r="D153" t="s">
        <v>520</v>
      </c>
      <c r="E153" s="422">
        <f t="shared" si="44"/>
        <v>8.7330947073233002E-4</v>
      </c>
      <c r="F153" s="422">
        <f t="shared" si="43"/>
        <v>1.7381776736355586E-3</v>
      </c>
      <c r="G153" s="422">
        <f t="shared" si="43"/>
        <v>3.0729459159159101E-3</v>
      </c>
      <c r="H153" s="422">
        <f t="shared" si="43"/>
        <v>4.9770971020685782E-3</v>
      </c>
      <c r="I153" s="422">
        <f t="shared" si="43"/>
        <v>7.5221153860361486E-3</v>
      </c>
      <c r="J153" s="422">
        <f t="shared" si="43"/>
        <v>1.0727077137969438E-2</v>
      </c>
      <c r="K153" s="422">
        <f t="shared" si="43"/>
        <v>1.4529247392262979E-2</v>
      </c>
      <c r="L153" s="422">
        <f t="shared" si="43"/>
        <v>1.8754512196795043E-2</v>
      </c>
      <c r="M153" s="422">
        <f t="shared" si="43"/>
        <v>2.3096869030449971E-2</v>
      </c>
      <c r="N153" s="422">
        <f t="shared" si="43"/>
        <v>2.7120274095001846E-2</v>
      </c>
      <c r="O153" s="422">
        <f t="shared" si="43"/>
        <v>3.0297231348577383E-2</v>
      </c>
      <c r="P153" s="422">
        <f t="shared" si="43"/>
        <v>3.2093004896181762E-2</v>
      </c>
      <c r="Q153" s="422">
        <f t="shared" si="43"/>
        <v>3.2089569710433766E-2</v>
      </c>
      <c r="R153" s="422">
        <f t="shared" si="43"/>
        <v>3.0120946228588203E-2</v>
      </c>
      <c r="S153" s="422">
        <f t="shared" si="43"/>
        <v>2.6370302795201628E-2</v>
      </c>
      <c r="T153" s="422">
        <f t="shared" si="43"/>
        <v>2.1374624669471334E-2</v>
      </c>
      <c r="U153" s="422">
        <f t="shared" si="43"/>
        <v>1.5908578011922459E-2</v>
      </c>
      <c r="V153" s="422">
        <f t="shared" si="43"/>
        <v>1.0773395917377561E-2</v>
      </c>
      <c r="W153" s="422">
        <f t="shared" si="43"/>
        <v>6.5725396885549445E-3</v>
      </c>
      <c r="X153" s="422">
        <f t="shared" si="43"/>
        <v>3.1395235994880659E-3</v>
      </c>
      <c r="Y153" s="423">
        <f t="shared" si="45"/>
        <v>0.3139523599488066</v>
      </c>
    </row>
    <row r="154" spans="1:25" ht="15">
      <c r="A154" s="421">
        <f t="shared" si="41"/>
        <v>30.010592043458619</v>
      </c>
      <c r="B154" s="421">
        <f t="shared" si="42"/>
        <v>45.968530125465826</v>
      </c>
      <c r="C154" t="s">
        <v>752</v>
      </c>
      <c r="D154" t="s">
        <v>511</v>
      </c>
      <c r="E154" s="422">
        <f t="shared" si="44"/>
        <v>1.0169983589701162E-2</v>
      </c>
      <c r="F154" s="422">
        <f t="shared" si="43"/>
        <v>2.0241665766014178E-2</v>
      </c>
      <c r="G154" s="422">
        <f t="shared" si="43"/>
        <v>3.578549252500058E-2</v>
      </c>
      <c r="H154" s="422">
        <f t="shared" si="43"/>
        <v>5.7959975871944701E-2</v>
      </c>
      <c r="I154" s="422">
        <f t="shared" si="43"/>
        <v>8.7597572910409288E-2</v>
      </c>
      <c r="J154" s="422">
        <f t="shared" si="43"/>
        <v>0.12492043441040973</v>
      </c>
      <c r="K154" s="422">
        <f t="shared" si="43"/>
        <v>0.1691979905200319</v>
      </c>
      <c r="L154" s="422">
        <f t="shared" si="43"/>
        <v>0.21840262549118244</v>
      </c>
      <c r="M154" s="422">
        <f t="shared" si="43"/>
        <v>0.26897083666821764</v>
      </c>
      <c r="N154" s="422">
        <f t="shared" si="43"/>
        <v>0.31582474682551909</v>
      </c>
      <c r="O154" s="422">
        <f t="shared" si="43"/>
        <v>0.3528214864886669</v>
      </c>
      <c r="P154" s="422">
        <f t="shared" si="43"/>
        <v>0.37373387564968347</v>
      </c>
      <c r="Q154" s="422">
        <f t="shared" si="43"/>
        <v>0.37369387175203256</v>
      </c>
      <c r="R154" s="422">
        <f t="shared" si="43"/>
        <v>0.3507685867578359</v>
      </c>
      <c r="S154" s="422">
        <f t="shared" si="43"/>
        <v>0.30709107787158108</v>
      </c>
      <c r="T154" s="422">
        <f t="shared" si="43"/>
        <v>0.24891471970670068</v>
      </c>
      <c r="U154" s="422">
        <f t="shared" si="43"/>
        <v>0.18526076120651719</v>
      </c>
      <c r="V154" s="422">
        <f t="shared" si="43"/>
        <v>0.12545983223244478</v>
      </c>
      <c r="W154" s="422">
        <f t="shared" si="43"/>
        <v>7.6539443365032128E-2</v>
      </c>
      <c r="X154" s="422">
        <f t="shared" si="43"/>
        <v>3.6560812124822796E-2</v>
      </c>
      <c r="Y154" s="423">
        <f t="shared" si="45"/>
        <v>3.6560812124822801</v>
      </c>
    </row>
    <row r="155" spans="1:25" ht="15">
      <c r="A155" s="421">
        <f t="shared" si="41"/>
        <v>50.574823356190421</v>
      </c>
      <c r="B155" s="421">
        <f t="shared" si="42"/>
        <v>9.6625033770391422</v>
      </c>
      <c r="C155" t="s">
        <v>752</v>
      </c>
      <c r="D155" t="s">
        <v>507</v>
      </c>
      <c r="E155" s="422">
        <f t="shared" si="44"/>
        <v>3.8779198369425843E-3</v>
      </c>
      <c r="F155" s="422">
        <f t="shared" si="43"/>
        <v>7.7183563291368679E-3</v>
      </c>
      <c r="G155" s="422">
        <f t="shared" si="43"/>
        <v>1.3645378098544023E-2</v>
      </c>
      <c r="H155" s="422">
        <f t="shared" si="43"/>
        <v>2.2100737744566265E-2</v>
      </c>
      <c r="I155" s="422">
        <f t="shared" si="43"/>
        <v>3.3401859763205623E-2</v>
      </c>
      <c r="J155" s="422">
        <f t="shared" si="43"/>
        <v>4.7633452538722115E-2</v>
      </c>
      <c r="K155" s="422">
        <f t="shared" si="43"/>
        <v>6.4516942237045988E-2</v>
      </c>
      <c r="L155" s="422">
        <f t="shared" si="43"/>
        <v>8.3279178020530698E-2</v>
      </c>
      <c r="M155" s="422">
        <f t="shared" si="43"/>
        <v>0.1025613595021912</v>
      </c>
      <c r="N155" s="422">
        <f t="shared" si="43"/>
        <v>0.12042723962232459</v>
      </c>
      <c r="O155" s="422">
        <f t="shared" si="43"/>
        <v>0.13453447877138369</v>
      </c>
      <c r="P155" s="422">
        <f t="shared" si="43"/>
        <v>0.14250858886213091</v>
      </c>
      <c r="Q155" s="422">
        <f t="shared" si="43"/>
        <v>0.14249333496256592</v>
      </c>
      <c r="R155" s="422">
        <f t="shared" si="43"/>
        <v>0.13375168688984077</v>
      </c>
      <c r="S155" s="422">
        <f t="shared" si="43"/>
        <v>0.11709700139853202</v>
      </c>
      <c r="T155" s="422">
        <f t="shared" si="43"/>
        <v>9.4913754849626275E-2</v>
      </c>
      <c r="U155" s="422">
        <f t="shared" si="43"/>
        <v>7.0641842688651466E-2</v>
      </c>
      <c r="V155" s="422">
        <f t="shared" si="43"/>
        <v>4.7839130502272779E-2</v>
      </c>
      <c r="W155" s="422">
        <f t="shared" si="43"/>
        <v>2.9185280695474883E-2</v>
      </c>
      <c r="X155" s="422">
        <f t="shared" si="43"/>
        <v>1.3941015473924422E-2</v>
      </c>
      <c r="Y155" s="423">
        <f t="shared" si="45"/>
        <v>1.3941015473924419</v>
      </c>
    </row>
    <row r="156" spans="1:25" ht="15">
      <c r="A156" s="421">
        <f t="shared" si="41"/>
        <v>43.820146200538971</v>
      </c>
      <c r="B156" s="421">
        <f t="shared" si="42"/>
        <v>18.248935052284185</v>
      </c>
      <c r="C156" t="s">
        <v>752</v>
      </c>
      <c r="D156" t="s">
        <v>508</v>
      </c>
      <c r="E156" s="422">
        <f t="shared" si="44"/>
        <v>6.4822672463522401E-4</v>
      </c>
      <c r="F156" s="422">
        <f t="shared" si="43"/>
        <v>1.2901877947917E-3</v>
      </c>
      <c r="G156" s="422">
        <f t="shared" si="43"/>
        <v>2.280939040298005E-3</v>
      </c>
      <c r="H156" s="422">
        <f t="shared" si="43"/>
        <v>3.6943231017063359E-3</v>
      </c>
      <c r="I156" s="422">
        <f t="shared" si="43"/>
        <v>5.5834001375589604E-3</v>
      </c>
      <c r="J156" s="422">
        <f t="shared" si="43"/>
        <v>7.9623298625449129E-3</v>
      </c>
      <c r="K156" s="422">
        <f t="shared" si="43"/>
        <v>1.0784546331100309E-2</v>
      </c>
      <c r="L156" s="422">
        <f t="shared" si="43"/>
        <v>1.3920810916278262E-2</v>
      </c>
      <c r="M156" s="422">
        <f t="shared" si="43"/>
        <v>1.7143988772253066E-2</v>
      </c>
      <c r="N156" s="422">
        <f t="shared" si="43"/>
        <v>2.0130420013732872E-2</v>
      </c>
      <c r="O156" s="422">
        <f t="shared" si="43"/>
        <v>2.2488562990316482E-2</v>
      </c>
      <c r="P156" s="422">
        <f t="shared" si="43"/>
        <v>2.3821502164758285E-2</v>
      </c>
      <c r="Q156" s="422">
        <f t="shared" si="43"/>
        <v>2.3818952347905764E-2</v>
      </c>
      <c r="R156" s="422">
        <f t="shared" si="43"/>
        <v>2.2357712782272027E-2</v>
      </c>
      <c r="S156" s="422">
        <f t="shared" si="43"/>
        <v>1.9573742849986739E-2</v>
      </c>
      <c r="T156" s="422">
        <f t="shared" si="43"/>
        <v>1.5865627711766125E-2</v>
      </c>
      <c r="U156" s="422">
        <f t="shared" si="43"/>
        <v>1.1808374652830468E-2</v>
      </c>
      <c r="V156" s="422">
        <f t="shared" si="43"/>
        <v>7.996710653857814E-3</v>
      </c>
      <c r="W156" s="422">
        <f t="shared" si="43"/>
        <v>4.8785636909150542E-3</v>
      </c>
      <c r="X156" s="422">
        <f t="shared" si="43"/>
        <v>2.3303572994628672E-3</v>
      </c>
      <c r="Y156" s="423">
        <f t="shared" si="45"/>
        <v>0.23303572994628668</v>
      </c>
    </row>
    <row r="157" spans="1:25" ht="15">
      <c r="A157" s="421">
        <f t="shared" si="41"/>
        <v>6.9396479279573011</v>
      </c>
      <c r="B157" s="421">
        <f t="shared" si="42"/>
        <v>314.57849624614124</v>
      </c>
      <c r="C157" t="s">
        <v>753</v>
      </c>
      <c r="D157" t="s">
        <v>524</v>
      </c>
      <c r="E157" s="422">
        <f t="shared" si="44"/>
        <v>1.2297644175614589E-2</v>
      </c>
      <c r="F157" s="422">
        <f t="shared" si="43"/>
        <v>2.4476421315393296E-2</v>
      </c>
      <c r="G157" s="422">
        <f t="shared" si="43"/>
        <v>4.3272169501554152E-2</v>
      </c>
      <c r="H157" s="422">
        <f t="shared" si="43"/>
        <v>7.0085772844528979E-2</v>
      </c>
      <c r="I157" s="422">
        <f t="shared" si="43"/>
        <v>0.10592384666092894</v>
      </c>
      <c r="J157" s="422">
        <f t="shared" si="43"/>
        <v>0.15105501784664735</v>
      </c>
      <c r="K157" s="422">
        <f t="shared" si="43"/>
        <v>0.20459587415179936</v>
      </c>
      <c r="L157" s="422">
        <f t="shared" si="43"/>
        <v>0.26409460267275581</v>
      </c>
      <c r="M157" s="422">
        <f t="shared" si="43"/>
        <v>0.32524218095225915</v>
      </c>
      <c r="N157" s="422">
        <f t="shared" si="43"/>
        <v>0.3818983899095873</v>
      </c>
      <c r="O157" s="422">
        <f t="shared" si="43"/>
        <v>0.42663521136286631</v>
      </c>
      <c r="P157" s="422">
        <f t="shared" si="43"/>
        <v>0.45192267800387359</v>
      </c>
      <c r="Q157" s="422">
        <f t="shared" si="43"/>
        <v>0.45187430489740704</v>
      </c>
      <c r="R157" s="422">
        <f t="shared" si="43"/>
        <v>0.42415282481865002</v>
      </c>
      <c r="S157" s="422">
        <f t="shared" si="43"/>
        <v>0.3713375515172907</v>
      </c>
      <c r="T157" s="422">
        <f t="shared" si="43"/>
        <v>0.30099012707608447</v>
      </c>
      <c r="U157" s="422">
        <f t="shared" si="43"/>
        <v>0.22401913443876037</v>
      </c>
      <c r="V157" s="422">
        <f t="shared" si="43"/>
        <v>0.15170726299787907</v>
      </c>
      <c r="W157" s="422">
        <f t="shared" si="43"/>
        <v>9.255224766104353E-2</v>
      </c>
      <c r="X157" s="422">
        <f t="shared" si="43"/>
        <v>4.4209693586710876E-2</v>
      </c>
      <c r="Y157" s="423">
        <f t="shared" si="45"/>
        <v>4.4209693586710879</v>
      </c>
    </row>
    <row r="158" spans="1:25" ht="15">
      <c r="A158" s="421">
        <f t="shared" si="41"/>
        <v>9.0552278256801593</v>
      </c>
      <c r="B158" s="421">
        <f t="shared" si="42"/>
        <v>198.18557111957824</v>
      </c>
      <c r="C158" t="s">
        <v>753</v>
      </c>
      <c r="D158" t="s">
        <v>515</v>
      </c>
      <c r="E158" s="422">
        <f t="shared" si="44"/>
        <v>3.6308025371951085E-3</v>
      </c>
      <c r="F158" s="422">
        <f t="shared" si="43"/>
        <v>7.2265103254172732E-3</v>
      </c>
      <c r="G158" s="422">
        <f t="shared" si="43"/>
        <v>1.2775837434597728E-2</v>
      </c>
      <c r="H158" s="422">
        <f t="shared" si="43"/>
        <v>2.0692386137646433E-2</v>
      </c>
      <c r="I158" s="422">
        <f t="shared" si="43"/>
        <v>3.127335331173265E-2</v>
      </c>
      <c r="J158" s="422">
        <f t="shared" si="43"/>
        <v>4.4598049367959545E-2</v>
      </c>
      <c r="K158" s="422">
        <f t="shared" si="43"/>
        <v>6.0405652364134955E-2</v>
      </c>
      <c r="L158" s="422">
        <f t="shared" si="43"/>
        <v>7.7972279873340419E-2</v>
      </c>
      <c r="M158" s="422">
        <f t="shared" si="43"/>
        <v>9.6025719962361547E-2</v>
      </c>
      <c r="N158" s="422">
        <f t="shared" si="43"/>
        <v>0.11275311134664207</v>
      </c>
      <c r="O158" s="422">
        <f t="shared" si="43"/>
        <v>0.1259613781105072</v>
      </c>
      <c r="P158" s="422">
        <f t="shared" si="43"/>
        <v>0.13342734449628596</v>
      </c>
      <c r="Q158" s="422">
        <f t="shared" si="43"/>
        <v>0.1334130626391121</v>
      </c>
      <c r="R158" s="422">
        <f t="shared" si="43"/>
        <v>0.12522846900740342</v>
      </c>
      <c r="S158" s="422">
        <f t="shared" si="43"/>
        <v>0.10963508985552656</v>
      </c>
      <c r="T158" s="422">
        <f t="shared" si="43"/>
        <v>8.8865452720249136E-2</v>
      </c>
      <c r="U158" s="422">
        <f t="shared" si="43"/>
        <v>6.614024849681048E-2</v>
      </c>
      <c r="V158" s="422">
        <f t="shared" si="43"/>
        <v>4.4790620669921684E-2</v>
      </c>
      <c r="W158" s="422">
        <f t="shared" si="43"/>
        <v>2.7325472328852192E-2</v>
      </c>
      <c r="X158" s="422">
        <f t="shared" si="43"/>
        <v>1.3052635557755207E-2</v>
      </c>
      <c r="Y158" s="423">
        <f t="shared" si="45"/>
        <v>1.3052635557755203</v>
      </c>
    </row>
    <row r="159" spans="1:25" ht="15">
      <c r="A159" s="421">
        <f t="shared" si="41"/>
        <v>7.4032727196667265</v>
      </c>
      <c r="B159" s="421">
        <f t="shared" si="42"/>
        <v>262.82850904076571</v>
      </c>
      <c r="C159" t="s">
        <v>753</v>
      </c>
      <c r="D159" t="s">
        <v>521</v>
      </c>
      <c r="E159" s="422">
        <f t="shared" si="44"/>
        <v>5.7268479671753402E-4</v>
      </c>
      <c r="F159" s="422">
        <f t="shared" si="43"/>
        <v>1.1398341149904182E-3</v>
      </c>
      <c r="G159" s="422">
        <f t="shared" si="43"/>
        <v>2.0151269007818518E-3</v>
      </c>
      <c r="H159" s="422">
        <f t="shared" si="43"/>
        <v>3.2638004483695701E-3</v>
      </c>
      <c r="I159" s="422">
        <f t="shared" si="43"/>
        <v>4.9327314830624218E-3</v>
      </c>
      <c r="J159" s="422">
        <f t="shared" si="43"/>
        <v>7.0344295991429124E-3</v>
      </c>
      <c r="K159" s="422">
        <f t="shared" si="43"/>
        <v>9.5277554728902935E-3</v>
      </c>
      <c r="L159" s="422">
        <f t="shared" si="43"/>
        <v>1.229853146554279E-2</v>
      </c>
      <c r="M159" s="422">
        <f t="shared" si="43"/>
        <v>1.5146092180155574E-2</v>
      </c>
      <c r="N159" s="422">
        <f t="shared" si="43"/>
        <v>1.7784495848872241E-2</v>
      </c>
      <c r="O159" s="422">
        <f t="shared" si="43"/>
        <v>1.9867829626780905E-2</v>
      </c>
      <c r="P159" s="422">
        <f t="shared" si="43"/>
        <v>2.1045433034881062E-2</v>
      </c>
      <c r="Q159" s="422">
        <f t="shared" si="43"/>
        <v>2.1043180364186755E-2</v>
      </c>
      <c r="R159" s="422">
        <f t="shared" si="43"/>
        <v>1.9752228214579712E-2</v>
      </c>
      <c r="S159" s="422">
        <f t="shared" si="43"/>
        <v>1.7292691768229545E-2</v>
      </c>
      <c r="T159" s="422">
        <f t="shared" si="43"/>
        <v>1.4016706555907293E-2</v>
      </c>
      <c r="U159" s="422">
        <f t="shared" si="43"/>
        <v>1.0432270655650827E-2</v>
      </c>
      <c r="V159" s="422">
        <f t="shared" si="43"/>
        <v>7.0648037811007732E-3</v>
      </c>
      <c r="W159" s="422">
        <f t="shared" si="43"/>
        <v>4.3100340504742783E-3</v>
      </c>
      <c r="X159" s="422">
        <f t="shared" si="43"/>
        <v>2.0587861401010718E-3</v>
      </c>
      <c r="Y159" s="423">
        <f t="shared" si="45"/>
        <v>0.20587861401010718</v>
      </c>
    </row>
    <row r="160" spans="1:25" ht="15">
      <c r="A160" s="421">
        <f t="shared" si="41"/>
        <v>10.446745366038499</v>
      </c>
      <c r="B160" s="421">
        <f t="shared" si="42"/>
        <v>214.94915566251467</v>
      </c>
      <c r="C160" t="s">
        <v>754</v>
      </c>
      <c r="D160" t="s">
        <v>522</v>
      </c>
      <c r="E160" s="422">
        <f t="shared" si="44"/>
        <v>3.4597405806877108E-3</v>
      </c>
      <c r="F160" s="422">
        <f t="shared" si="43"/>
        <v>6.8860398695544285E-3</v>
      </c>
      <c r="G160" s="422">
        <f t="shared" si="43"/>
        <v>1.2173915483405349E-2</v>
      </c>
      <c r="H160" s="422">
        <f t="shared" si="43"/>
        <v>1.9717483200554511E-2</v>
      </c>
      <c r="I160" s="422">
        <f t="shared" si="43"/>
        <v>2.9799937737834528E-2</v>
      </c>
      <c r="J160" s="422">
        <f t="shared" si="43"/>
        <v>4.2496852868523838E-2</v>
      </c>
      <c r="K160" s="422">
        <f t="shared" si="43"/>
        <v>5.7559695038816694E-2</v>
      </c>
      <c r="L160" s="422">
        <f t="shared" si="43"/>
        <v>7.4298686883406045E-2</v>
      </c>
      <c r="M160" s="422">
        <f t="shared" si="43"/>
        <v>9.1501555576246854E-2</v>
      </c>
      <c r="N160" s="422">
        <f t="shared" si="43"/>
        <v>0.10744085114200055</v>
      </c>
      <c r="O160" s="422">
        <f t="shared" si="43"/>
        <v>0.12002682244045494</v>
      </c>
      <c r="P160" s="422">
        <f t="shared" si="43"/>
        <v>0.12714103661605802</v>
      </c>
      <c r="Q160" s="422">
        <f t="shared" si="43"/>
        <v>0.12712742763558452</v>
      </c>
      <c r="R160" s="422">
        <f t="shared" si="43"/>
        <v>0.11932844368259428</v>
      </c>
      <c r="S160" s="422">
        <f t="shared" si="43"/>
        <v>0.10446973239517868</v>
      </c>
      <c r="T160" s="422">
        <f t="shared" si="43"/>
        <v>8.4678637807426863E-2</v>
      </c>
      <c r="U160" s="422">
        <f t="shared" si="43"/>
        <v>6.3024110894766658E-2</v>
      </c>
      <c r="V160" s="422">
        <f t="shared" si="43"/>
        <v>4.268035134888707E-2</v>
      </c>
      <c r="W160" s="422">
        <f t="shared" si="43"/>
        <v>2.6038057573801027E-2</v>
      </c>
      <c r="X160" s="422">
        <f t="shared" si="43"/>
        <v>1.2437672514952957E-2</v>
      </c>
      <c r="Y160" s="423">
        <f t="shared" si="45"/>
        <v>1.2437672514952953</v>
      </c>
    </row>
    <row r="161" spans="1:25" ht="15">
      <c r="A161" s="421">
        <f t="shared" si="41"/>
        <v>11.882473132003328</v>
      </c>
      <c r="B161" s="421">
        <f t="shared" si="42"/>
        <v>171.57598231194331</v>
      </c>
      <c r="C161" t="s">
        <v>754</v>
      </c>
      <c r="D161" t="s">
        <v>517</v>
      </c>
      <c r="E161" s="422">
        <f t="shared" si="44"/>
        <v>8.9040610934338802E-4</v>
      </c>
      <c r="F161" s="422">
        <f t="shared" si="43"/>
        <v>1.7722056975192761E-3</v>
      </c>
      <c r="G161" s="422">
        <f t="shared" si="43"/>
        <v>3.1331044823307286E-3</v>
      </c>
      <c r="H161" s="422">
        <f t="shared" si="43"/>
        <v>5.0745329290439274E-3</v>
      </c>
      <c r="I161" s="422">
        <f t="shared" si="43"/>
        <v>7.6693746253501281E-3</v>
      </c>
      <c r="J161" s="422">
        <f t="shared" si="43"/>
        <v>1.093707939642086E-2</v>
      </c>
      <c r="K161" s="422">
        <f t="shared" si="43"/>
        <v>1.4813684124350487E-2</v>
      </c>
      <c r="L161" s="422">
        <f t="shared" si="43"/>
        <v>1.9121666256267687E-2</v>
      </c>
      <c r="M161" s="422">
        <f t="shared" si="43"/>
        <v>2.3549032709070578E-2</v>
      </c>
      <c r="N161" s="422">
        <f t="shared" si="43"/>
        <v>2.7651203325445507E-2</v>
      </c>
      <c r="O161" s="422">
        <f t="shared" si="43"/>
        <v>3.0890355358612322E-2</v>
      </c>
      <c r="P161" s="422">
        <f t="shared" si="43"/>
        <v>3.2721284475232724E-2</v>
      </c>
      <c r="Q161" s="422">
        <f t="shared" si="43"/>
        <v>3.2717782039407575E-2</v>
      </c>
      <c r="R161" s="422">
        <f t="shared" si="43"/>
        <v>3.071061913327049E-2</v>
      </c>
      <c r="S161" s="422">
        <f t="shared" si="43"/>
        <v>2.6886549958507519E-2</v>
      </c>
      <c r="T161" s="422">
        <f t="shared" si="43"/>
        <v>2.1793072248099461E-2</v>
      </c>
      <c r="U161" s="422">
        <f t="shared" si="43"/>
        <v>1.6220017677013442E-2</v>
      </c>
      <c r="V161" s="422">
        <f t="shared" si="43"/>
        <v>1.0984304951100506E-2</v>
      </c>
      <c r="W161" s="422">
        <f t="shared" si="43"/>
        <v>6.7012092376413984E-3</v>
      </c>
      <c r="X161" s="422">
        <f t="shared" si="43"/>
        <v>3.200985546472706E-3</v>
      </c>
      <c r="Y161" s="423">
        <f t="shared" si="45"/>
        <v>0.32009855464727066</v>
      </c>
    </row>
    <row r="162" spans="1:25" ht="15">
      <c r="A162" s="421">
        <f t="shared" si="41"/>
        <v>11.039026820345102</v>
      </c>
      <c r="B162" s="421">
        <f t="shared" si="42"/>
        <v>187.13864834189428</v>
      </c>
      <c r="C162" t="s">
        <v>754</v>
      </c>
      <c r="D162" t="s">
        <v>519</v>
      </c>
      <c r="E162" s="422">
        <f t="shared" si="44"/>
        <v>1.5958818506219184E-4</v>
      </c>
      <c r="F162" s="422">
        <f t="shared" si="43"/>
        <v>3.1763381658796023E-4</v>
      </c>
      <c r="G162" s="422">
        <f t="shared" si="43"/>
        <v>5.6154877274381993E-4</v>
      </c>
      <c r="H162" s="422">
        <f t="shared" si="43"/>
        <v>9.0951251534161824E-4</v>
      </c>
      <c r="I162" s="422">
        <f t="shared" si="43"/>
        <v>1.3745880269444978E-3</v>
      </c>
      <c r="J162" s="422">
        <f t="shared" ref="F162:X168" si="46">VLOOKUP($D162,$D$92:$X$112,J$90,FALSE)*$D$146*$A162/8760/1000</f>
        <v>1.9602613149667502E-3</v>
      </c>
      <c r="K162" s="422">
        <f t="shared" si="46"/>
        <v>2.6550682196386198E-3</v>
      </c>
      <c r="L162" s="422">
        <f t="shared" si="46"/>
        <v>3.4271912346300632E-3</v>
      </c>
      <c r="M162" s="422">
        <f t="shared" si="46"/>
        <v>4.2207115950519862E-3</v>
      </c>
      <c r="N162" s="422">
        <f t="shared" si="46"/>
        <v>4.9559468507551323E-3</v>
      </c>
      <c r="O162" s="422">
        <f t="shared" si="46"/>
        <v>5.5365026091773201E-3</v>
      </c>
      <c r="P162" s="422">
        <f t="shared" si="46"/>
        <v>5.8646614702103431E-3</v>
      </c>
      <c r="Q162" s="422">
        <f t="shared" si="46"/>
        <v>5.864033725891467E-3</v>
      </c>
      <c r="R162" s="422">
        <f t="shared" si="46"/>
        <v>5.5042883445948522E-3</v>
      </c>
      <c r="S162" s="422">
        <f t="shared" si="46"/>
        <v>4.8188974283052818E-3</v>
      </c>
      <c r="T162" s="422">
        <f t="shared" si="46"/>
        <v>3.9059894249469308E-3</v>
      </c>
      <c r="U162" s="422">
        <f t="shared" si="46"/>
        <v>2.9071264848576769E-3</v>
      </c>
      <c r="V162" s="422">
        <f t="shared" si="46"/>
        <v>1.968725588157146E-3</v>
      </c>
      <c r="W162" s="422">
        <f t="shared" si="46"/>
        <v>1.2010629854570713E-3</v>
      </c>
      <c r="X162" s="422">
        <f t="shared" si="46"/>
        <v>5.737151490892128E-4</v>
      </c>
      <c r="Y162" s="423">
        <f t="shared" si="45"/>
        <v>5.737151490892127E-2</v>
      </c>
    </row>
    <row r="163" spans="1:25" ht="15">
      <c r="A163" s="421">
        <f t="shared" si="41"/>
        <v>12.393859395459479</v>
      </c>
      <c r="B163" s="421">
        <f t="shared" si="42"/>
        <v>172.88541856783209</v>
      </c>
      <c r="C163" t="s">
        <v>752</v>
      </c>
      <c r="D163" t="s">
        <v>518</v>
      </c>
      <c r="E163" s="422">
        <f t="shared" si="44"/>
        <v>1.1636186730890681E-2</v>
      </c>
      <c r="F163" s="422">
        <f t="shared" si="46"/>
        <v>2.3159899966420643E-2</v>
      </c>
      <c r="G163" s="422">
        <f t="shared" si="46"/>
        <v>4.0944675043476188E-2</v>
      </c>
      <c r="H163" s="422">
        <f t="shared" si="46"/>
        <v>6.6316046256637548E-2</v>
      </c>
      <c r="I163" s="422">
        <f t="shared" si="46"/>
        <v>0.10022648577236151</v>
      </c>
      <c r="J163" s="422">
        <f t="shared" si="46"/>
        <v>0.14293017176306208</v>
      </c>
      <c r="K163" s="422">
        <f t="shared" si="46"/>
        <v>0.19359120836500929</v>
      </c>
      <c r="L163" s="422">
        <f t="shared" si="46"/>
        <v>0.24988965914416597</v>
      </c>
      <c r="M163" s="422">
        <f t="shared" si="46"/>
        <v>0.3077482724558897</v>
      </c>
      <c r="N163" s="422">
        <f t="shared" si="46"/>
        <v>0.3613570952090398</v>
      </c>
      <c r="O163" s="422">
        <f t="shared" si="46"/>
        <v>0.40368764248647027</v>
      </c>
      <c r="P163" s="422">
        <f t="shared" si="46"/>
        <v>0.4276149638159823</v>
      </c>
      <c r="Q163" s="422">
        <f t="shared" si="46"/>
        <v>0.42756919256975329</v>
      </c>
      <c r="R163" s="422">
        <f t="shared" si="46"/>
        <v>0.40133877688633934</v>
      </c>
      <c r="S163" s="422">
        <f t="shared" si="46"/>
        <v>0.35136429611576303</v>
      </c>
      <c r="T163" s="422">
        <f t="shared" si="46"/>
        <v>0.28480067180320717</v>
      </c>
      <c r="U163" s="422">
        <f t="shared" si="46"/>
        <v>0.2119697433424598</v>
      </c>
      <c r="V163" s="422">
        <f t="shared" si="46"/>
        <v>0.14354733438914458</v>
      </c>
      <c r="W163" s="422">
        <f t="shared" si="46"/>
        <v>8.7574109379670736E-2</v>
      </c>
      <c r="X163" s="422">
        <f t="shared" si="46"/>
        <v>4.1831772211340518E-2</v>
      </c>
      <c r="Y163" s="423">
        <f t="shared" si="45"/>
        <v>4.1831772211340521</v>
      </c>
    </row>
    <row r="164" spans="1:25" ht="15">
      <c r="A164" s="421">
        <f t="shared" si="41"/>
        <v>19.370875350619656</v>
      </c>
      <c r="B164" s="421">
        <f t="shared" si="42"/>
        <v>95.012027746974269</v>
      </c>
      <c r="C164" t="s">
        <v>752</v>
      </c>
      <c r="D164" t="s">
        <v>513</v>
      </c>
      <c r="E164" s="422">
        <f t="shared" si="44"/>
        <v>4.1150216763715932E-3</v>
      </c>
      <c r="F164" s="422">
        <f t="shared" si="46"/>
        <v>8.1902682200360143E-3</v>
      </c>
      <c r="G164" s="422">
        <f t="shared" si="46"/>
        <v>1.4479676996640869E-2</v>
      </c>
      <c r="H164" s="422">
        <f t="shared" si="46"/>
        <v>2.3452010022568318E-2</v>
      </c>
      <c r="I164" s="422">
        <f t="shared" si="46"/>
        <v>3.5444099603947093E-2</v>
      </c>
      <c r="J164" s="422">
        <f t="shared" si="46"/>
        <v>5.0545833322794685E-2</v>
      </c>
      <c r="K164" s="422">
        <f t="shared" si="46"/>
        <v>6.8461604922698385E-2</v>
      </c>
      <c r="L164" s="422">
        <f t="shared" si="46"/>
        <v>8.837099196333037E-2</v>
      </c>
      <c r="M164" s="422">
        <f t="shared" si="46"/>
        <v>0.10883211496254171</v>
      </c>
      <c r="N164" s="422">
        <f t="shared" si="46"/>
        <v>0.12779034180917204</v>
      </c>
      <c r="O164" s="422">
        <f t="shared" si="46"/>
        <v>0.14276011873419095</v>
      </c>
      <c r="P164" s="422">
        <f t="shared" si="46"/>
        <v>0.15122177788469804</v>
      </c>
      <c r="Q164" s="422">
        <f t="shared" si="46"/>
        <v>0.15120559133881814</v>
      </c>
      <c r="R164" s="422">
        <f t="shared" si="46"/>
        <v>0.14192946578207202</v>
      </c>
      <c r="S164" s="422">
        <f t="shared" si="46"/>
        <v>0.12425648782182605</v>
      </c>
      <c r="T164" s="422">
        <f t="shared" si="46"/>
        <v>0.10071692428277863</v>
      </c>
      <c r="U164" s="422">
        <f t="shared" si="46"/>
        <v>7.4960990981138953E-2</v>
      </c>
      <c r="V164" s="422">
        <f t="shared" si="46"/>
        <v>5.0764086745751003E-2</v>
      </c>
      <c r="W164" s="422">
        <f t="shared" si="46"/>
        <v>3.0969712563103373E-2</v>
      </c>
      <c r="X164" s="422">
        <f t="shared" si="46"/>
        <v>1.4793390084891573E-2</v>
      </c>
      <c r="Y164" s="423">
        <f t="shared" si="45"/>
        <v>1.4793390084891576</v>
      </c>
    </row>
    <row r="165" spans="1:25" ht="15">
      <c r="A165" s="421">
        <f t="shared" si="41"/>
        <v>17.416876261275753</v>
      </c>
      <c r="B165" s="421">
        <f t="shared" si="42"/>
        <v>110.53160992292048</v>
      </c>
      <c r="C165" t="s">
        <v>752</v>
      </c>
      <c r="D165" t="s">
        <v>514</v>
      </c>
      <c r="E165" s="422">
        <f t="shared" si="44"/>
        <v>7.1380864615209431E-4</v>
      </c>
      <c r="F165" s="422">
        <f t="shared" si="46"/>
        <v>1.4207177335992477E-3</v>
      </c>
      <c r="G165" s="422">
        <f t="shared" si="46"/>
        <v>2.5117045416891519E-3</v>
      </c>
      <c r="H165" s="422">
        <f t="shared" si="46"/>
        <v>4.0680824647600627E-3</v>
      </c>
      <c r="I165" s="422">
        <f t="shared" si="46"/>
        <v>6.1482798250243748E-3</v>
      </c>
      <c r="J165" s="422">
        <f t="shared" si="46"/>
        <v>8.767888893500787E-3</v>
      </c>
      <c r="K165" s="422">
        <f t="shared" si="46"/>
        <v>1.1875632588735353E-2</v>
      </c>
      <c r="L165" s="422">
        <f t="shared" si="46"/>
        <v>1.5329197047652733E-2</v>
      </c>
      <c r="M165" s="422">
        <f t="shared" si="46"/>
        <v>1.8878467903425414E-2</v>
      </c>
      <c r="N165" s="422">
        <f t="shared" si="46"/>
        <v>2.2167040188850108E-2</v>
      </c>
      <c r="O165" s="422">
        <f t="shared" si="46"/>
        <v>2.4763759487171903E-2</v>
      </c>
      <c r="P165" s="422">
        <f t="shared" si="46"/>
        <v>2.6231553811830167E-2</v>
      </c>
      <c r="Q165" s="422">
        <f t="shared" si="46"/>
        <v>2.6228746026766291E-2</v>
      </c>
      <c r="R165" s="422">
        <f t="shared" si="46"/>
        <v>2.4619670997291312E-2</v>
      </c>
      <c r="S165" s="422">
        <f t="shared" si="46"/>
        <v>2.1554043289006113E-2</v>
      </c>
      <c r="T165" s="422">
        <f t="shared" si="46"/>
        <v>1.7470773429870301E-2</v>
      </c>
      <c r="U165" s="422">
        <f t="shared" si="46"/>
        <v>1.3003042922886003E-2</v>
      </c>
      <c r="V165" s="422">
        <f t="shared" si="46"/>
        <v>8.8057480331629329E-3</v>
      </c>
      <c r="W165" s="422">
        <f t="shared" si="46"/>
        <v>5.3721341793466831E-3</v>
      </c>
      <c r="X165" s="422">
        <f t="shared" si="46"/>
        <v>2.5661225089358957E-3</v>
      </c>
      <c r="Y165" s="423">
        <f t="shared" si="45"/>
        <v>0.25661225089358958</v>
      </c>
    </row>
    <row r="166" spans="1:25" ht="15">
      <c r="A166" s="421">
        <f t="shared" si="41"/>
        <v>28.446676698406591</v>
      </c>
      <c r="B166" s="421">
        <f t="shared" si="42"/>
        <v>50.877409061345496</v>
      </c>
      <c r="C166" t="s">
        <v>752</v>
      </c>
      <c r="D166" t="s">
        <v>512</v>
      </c>
      <c r="E166" s="422">
        <f t="shared" si="44"/>
        <v>3.4204456264794922E-3</v>
      </c>
      <c r="F166" s="422">
        <f t="shared" si="46"/>
        <v>6.807829779797837E-3</v>
      </c>
      <c r="G166" s="422">
        <f t="shared" si="46"/>
        <v>1.2035646893521637E-2</v>
      </c>
      <c r="H166" s="422">
        <f t="shared" si="46"/>
        <v>1.9493536467729503E-2</v>
      </c>
      <c r="I166" s="422">
        <f t="shared" si="46"/>
        <v>2.9461476757449923E-2</v>
      </c>
      <c r="J166" s="422">
        <f t="shared" si="46"/>
        <v>4.2014183186067436E-2</v>
      </c>
      <c r="K166" s="422">
        <f t="shared" si="46"/>
        <v>5.6905944987898208E-2</v>
      </c>
      <c r="L166" s="422">
        <f t="shared" si="46"/>
        <v>7.3454819133577862E-2</v>
      </c>
      <c r="M166" s="422">
        <f t="shared" si="46"/>
        <v>9.0462301518754853E-2</v>
      </c>
      <c r="N166" s="422">
        <f t="shared" si="46"/>
        <v>0.10622056215580213</v>
      </c>
      <c r="O166" s="422">
        <f t="shared" si="46"/>
        <v>0.11866358482724117</v>
      </c>
      <c r="P166" s="422">
        <f t="shared" si="46"/>
        <v>0.12569699736071585</v>
      </c>
      <c r="Q166" s="422">
        <f t="shared" si="46"/>
        <v>0.12568354294797709</v>
      </c>
      <c r="R166" s="422">
        <f t="shared" si="46"/>
        <v>0.11797313809800231</v>
      </c>
      <c r="S166" s="422">
        <f t="shared" si="46"/>
        <v>0.10328318870646158</v>
      </c>
      <c r="T166" s="422">
        <f t="shared" si="46"/>
        <v>8.3716876913089586E-2</v>
      </c>
      <c r="U166" s="422">
        <f t="shared" si="46"/>
        <v>6.230829723941702E-2</v>
      </c>
      <c r="V166" s="422">
        <f t="shared" si="46"/>
        <v>4.2195597532023774E-2</v>
      </c>
      <c r="W166" s="422">
        <f t="shared" si="46"/>
        <v>2.5742323180955276E-2</v>
      </c>
      <c r="X166" s="422">
        <f t="shared" si="46"/>
        <v>1.2296408232116253E-2</v>
      </c>
      <c r="Y166" s="423">
        <f t="shared" si="45"/>
        <v>1.2296408232116252</v>
      </c>
    </row>
    <row r="167" spans="1:25" ht="15">
      <c r="A167" s="421">
        <f t="shared" si="41"/>
        <v>39.952333456237696</v>
      </c>
      <c r="B167" s="421">
        <f t="shared" si="42"/>
        <v>23.749713197532319</v>
      </c>
      <c r="C167" t="s">
        <v>752</v>
      </c>
      <c r="D167" t="s">
        <v>509</v>
      </c>
      <c r="E167" s="422">
        <f t="shared" si="44"/>
        <v>1.086956258700278E-3</v>
      </c>
      <c r="F167" s="422">
        <f t="shared" si="46"/>
        <v>2.1634061743392437E-3</v>
      </c>
      <c r="G167" s="422">
        <f t="shared" si="46"/>
        <v>3.8247126681808519E-3</v>
      </c>
      <c r="H167" s="422">
        <f t="shared" si="46"/>
        <v>6.1946961833768913E-3</v>
      </c>
      <c r="I167" s="422">
        <f t="shared" si="46"/>
        <v>9.362328786680094E-3</v>
      </c>
      <c r="J167" s="422">
        <f t="shared" si="46"/>
        <v>1.3351353699277936E-2</v>
      </c>
      <c r="K167" s="422">
        <f t="shared" si="46"/>
        <v>1.8083688447786683E-2</v>
      </c>
      <c r="L167" s="422">
        <f t="shared" si="46"/>
        <v>2.3342623771253238E-2</v>
      </c>
      <c r="M167" s="422">
        <f t="shared" si="46"/>
        <v>2.8747296565987904E-2</v>
      </c>
      <c r="N167" s="422">
        <f t="shared" si="46"/>
        <v>3.3754989099693933E-2</v>
      </c>
      <c r="O167" s="422">
        <f t="shared" si="46"/>
        <v>3.7709158481942166E-2</v>
      </c>
      <c r="P167" s="422">
        <f t="shared" si="46"/>
        <v>3.9944250808537619E-2</v>
      </c>
      <c r="Q167" s="422">
        <f t="shared" si="46"/>
        <v>3.9939975237535903E-2</v>
      </c>
      <c r="R167" s="422">
        <f t="shared" si="46"/>
        <v>3.7489746897721853E-2</v>
      </c>
      <c r="S167" s="422">
        <f t="shared" si="46"/>
        <v>3.2821544512771222E-2</v>
      </c>
      <c r="T167" s="422">
        <f t="shared" si="46"/>
        <v>2.6603721636464711E-2</v>
      </c>
      <c r="U167" s="422">
        <f t="shared" si="46"/>
        <v>1.9800459077330596E-2</v>
      </c>
      <c r="V167" s="422">
        <f t="shared" si="46"/>
        <v>1.3409003923923727E-2</v>
      </c>
      <c r="W167" s="422">
        <f t="shared" si="46"/>
        <v>8.1804485001633915E-3</v>
      </c>
      <c r="X167" s="422">
        <f t="shared" si="46"/>
        <v>3.9075779436345071E-3</v>
      </c>
      <c r="Y167" s="423">
        <f t="shared" si="45"/>
        <v>0.39075779436345082</v>
      </c>
    </row>
    <row r="168" spans="1:25" ht="15">
      <c r="A168" s="421">
        <f t="shared" si="41"/>
        <v>38.067032671821558</v>
      </c>
      <c r="B168" s="421">
        <f t="shared" si="42"/>
        <v>27.071445687273279</v>
      </c>
      <c r="C168" t="s">
        <v>752</v>
      </c>
      <c r="D168" t="s">
        <v>510</v>
      </c>
      <c r="E168" s="422">
        <f t="shared" si="44"/>
        <v>1.9980557398426808E-4</v>
      </c>
      <c r="F168" s="422">
        <f t="shared" si="46"/>
        <v>3.9767985966779871E-4</v>
      </c>
      <c r="G168" s="422">
        <f t="shared" si="46"/>
        <v>7.0306316732980895E-4</v>
      </c>
      <c r="H168" s="422">
        <f t="shared" si="46"/>
        <v>1.1387163160160552E-3</v>
      </c>
      <c r="I168" s="422">
        <f t="shared" si="46"/>
        <v>1.7209942553611734E-3</v>
      </c>
      <c r="J168" s="422">
        <f t="shared" si="46"/>
        <v>2.454261492123948E-3</v>
      </c>
      <c r="K168" s="422">
        <f t="shared" si="46"/>
        <v>3.3241648144914184E-3</v>
      </c>
      <c r="L168" s="422">
        <f t="shared" si="46"/>
        <v>4.2908684720128574E-3</v>
      </c>
      <c r="M168" s="422">
        <f t="shared" si="46"/>
        <v>5.2843617623871937E-3</v>
      </c>
      <c r="N168" s="422">
        <f t="shared" si="46"/>
        <v>6.2048816757002516E-3</v>
      </c>
      <c r="O168" s="422">
        <f t="shared" si="46"/>
        <v>6.9317417280043286E-3</v>
      </c>
      <c r="P168" s="422">
        <f t="shared" si="46"/>
        <v>7.3425990202354236E-3</v>
      </c>
      <c r="Q168" s="422">
        <f t="shared" si="46"/>
        <v>7.3418130797605697E-3</v>
      </c>
      <c r="R168" s="422">
        <f t="shared" si="46"/>
        <v>6.8914092333220147E-3</v>
      </c>
      <c r="S168" s="422">
        <f t="shared" si="46"/>
        <v>6.0332947972221674E-3</v>
      </c>
      <c r="T168" s="422">
        <f t="shared" si="46"/>
        <v>4.8903273053945975E-3</v>
      </c>
      <c r="U168" s="422">
        <f t="shared" si="46"/>
        <v>3.6397436046126689E-3</v>
      </c>
      <c r="V168" s="422">
        <f t="shared" si="46"/>
        <v>2.4648588240160779E-3</v>
      </c>
      <c r="W168" s="422">
        <f t="shared" si="46"/>
        <v>1.5037396352805723E-3</v>
      </c>
      <c r="X168" s="422">
        <f t="shared" si="46"/>
        <v>7.1829555942733473E-4</v>
      </c>
      <c r="Y168" s="423">
        <f t="shared" si="45"/>
        <v>7.182955594273345E-2</v>
      </c>
    </row>
    <row r="169" spans="1:25" ht="15">
      <c r="A169" s="421"/>
      <c r="B169" s="421"/>
      <c r="E169" s="437"/>
      <c r="F169" s="437"/>
      <c r="G169" s="437"/>
      <c r="H169" s="437"/>
      <c r="I169" s="437"/>
      <c r="J169" s="437"/>
      <c r="K169" s="437"/>
      <c r="L169" s="437"/>
      <c r="M169" s="437"/>
      <c r="N169" s="437"/>
      <c r="O169" s="437"/>
      <c r="P169" s="437"/>
      <c r="Q169" s="437"/>
      <c r="R169" s="437"/>
      <c r="S169" s="437"/>
      <c r="T169" s="437"/>
      <c r="U169" s="437"/>
      <c r="V169" s="437"/>
      <c r="W169" s="437"/>
      <c r="X169" s="437"/>
      <c r="Y169" s="425"/>
    </row>
    <row r="170" spans="1:25" ht="15">
      <c r="A170" s="426"/>
      <c r="B170" s="76"/>
      <c r="D170" s="19" t="s">
        <v>190</v>
      </c>
      <c r="E170" s="436">
        <f>SUM(E148:E168)</f>
        <v>0.11235356325453785</v>
      </c>
      <c r="F170" s="436">
        <f t="shared" ref="F170:X170" si="47">SUM(F148:F168)</f>
        <v>0.22362113517293433</v>
      </c>
      <c r="G170" s="436">
        <f t="shared" si="47"/>
        <v>0.3953425846305213</v>
      </c>
      <c r="H170" s="436">
        <f t="shared" si="47"/>
        <v>0.64031664927704945</v>
      </c>
      <c r="I170" s="436">
        <f t="shared" si="47"/>
        <v>0.96773995376946897</v>
      </c>
      <c r="J170" s="436">
        <f t="shared" si="47"/>
        <v>1.3800667233649622</v>
      </c>
      <c r="K170" s="436">
        <f t="shared" si="47"/>
        <v>1.8692259395269779</v>
      </c>
      <c r="L170" s="436">
        <f t="shared" si="47"/>
        <v>2.4128173837890872</v>
      </c>
      <c r="M170" s="436">
        <f t="shared" si="47"/>
        <v>2.9714730259576121</v>
      </c>
      <c r="N170" s="436">
        <f t="shared" si="47"/>
        <v>3.4890946830772651</v>
      </c>
      <c r="O170" s="436">
        <f t="shared" si="47"/>
        <v>3.8978186002096908</v>
      </c>
      <c r="P170" s="436">
        <f t="shared" si="47"/>
        <v>4.1288495962464147</v>
      </c>
      <c r="Q170" s="436">
        <f t="shared" si="47"/>
        <v>4.1284076505534335</v>
      </c>
      <c r="R170" s="436">
        <f t="shared" si="47"/>
        <v>3.8751390552793814</v>
      </c>
      <c r="S170" s="436">
        <f t="shared" si="47"/>
        <v>3.3926089003220041</v>
      </c>
      <c r="T170" s="436">
        <f t="shared" si="47"/>
        <v>2.749901753418083</v>
      </c>
      <c r="U170" s="436">
        <f t="shared" si="47"/>
        <v>2.0466804561886107</v>
      </c>
      <c r="V170" s="436">
        <f t="shared" si="47"/>
        <v>1.3860257563154919</v>
      </c>
      <c r="W170" s="436">
        <f t="shared" si="47"/>
        <v>0.84557453959794893</v>
      </c>
      <c r="X170" s="436">
        <f t="shared" si="47"/>
        <v>0.40390797895321434</v>
      </c>
      <c r="Y170" s="438">
        <f>SUM(Y148:Y168)</f>
        <v>40.390797895321441</v>
      </c>
    </row>
    <row r="171" spans="1:25" ht="15">
      <c r="A171" s="421"/>
      <c r="B171" s="421"/>
      <c r="E171" s="424"/>
      <c r="F171" s="424"/>
      <c r="G171" s="424"/>
      <c r="H171" s="424"/>
      <c r="I171" s="424"/>
      <c r="J171" s="424"/>
      <c r="K171" s="424"/>
      <c r="L171" s="424"/>
      <c r="M171" s="424"/>
      <c r="N171" s="424"/>
      <c r="O171" s="424"/>
      <c r="P171" s="424"/>
      <c r="Q171" s="424"/>
      <c r="R171" s="424"/>
      <c r="S171" s="424"/>
      <c r="T171" s="424"/>
      <c r="U171" s="424"/>
      <c r="V171" s="424"/>
      <c r="W171" s="424"/>
      <c r="X171" s="424"/>
      <c r="Y171" s="425"/>
    </row>
    <row r="172" spans="1:25" ht="15">
      <c r="A172" s="421"/>
      <c r="B172" s="421"/>
      <c r="E172" s="424"/>
      <c r="F172" s="424"/>
      <c r="G172" s="424"/>
      <c r="H172" s="424"/>
      <c r="I172" s="424"/>
      <c r="J172" s="424"/>
      <c r="K172" s="424"/>
      <c r="L172" s="424"/>
      <c r="M172" s="424"/>
      <c r="N172" s="424"/>
      <c r="O172" s="424"/>
      <c r="P172" s="424"/>
      <c r="Q172" s="424"/>
      <c r="R172" s="424"/>
      <c r="S172" s="424"/>
      <c r="T172" s="424"/>
      <c r="U172" s="424"/>
      <c r="V172" s="424"/>
      <c r="W172" s="424"/>
      <c r="X172" s="424"/>
      <c r="Y172" s="425"/>
    </row>
    <row r="173" spans="1:25" ht="15">
      <c r="A173" s="421"/>
      <c r="B173" s="421"/>
      <c r="E173" s="424"/>
      <c r="F173" s="424"/>
      <c r="G173" s="424"/>
      <c r="H173" s="424"/>
      <c r="I173" s="424"/>
      <c r="J173" s="424"/>
      <c r="K173" s="424"/>
      <c r="L173" s="424"/>
      <c r="M173" s="424"/>
      <c r="N173" s="424"/>
      <c r="O173" s="424"/>
      <c r="P173" s="424"/>
      <c r="Q173" s="424"/>
      <c r="R173" s="424"/>
      <c r="S173" s="424"/>
      <c r="T173" s="424"/>
      <c r="U173" s="424"/>
      <c r="V173" s="424"/>
      <c r="W173" s="424"/>
      <c r="X173" s="424"/>
      <c r="Y173" s="425"/>
    </row>
    <row r="174" spans="1:25" ht="15">
      <c r="A174" s="88" t="s">
        <v>79</v>
      </c>
      <c r="B174" s="88"/>
      <c r="C174" s="19"/>
      <c r="D174" s="19"/>
      <c r="E174" s="19"/>
      <c r="F174" s="19"/>
      <c r="G174" s="19"/>
      <c r="H174" s="19"/>
      <c r="I174" s="19"/>
      <c r="J174" s="19"/>
      <c r="K174" s="19"/>
      <c r="L174" s="19"/>
      <c r="M174" s="19"/>
      <c r="N174" s="19"/>
      <c r="O174" s="19"/>
      <c r="P174" s="19"/>
      <c r="Q174" s="19"/>
      <c r="R174" s="19"/>
      <c r="S174" s="19"/>
      <c r="T174" s="19"/>
      <c r="U174" s="19"/>
      <c r="V174" s="19"/>
      <c r="W174" s="19"/>
      <c r="X174" s="19"/>
      <c r="Y174" s="19"/>
    </row>
    <row r="175" spans="1:25" ht="15">
      <c r="A175" s="19"/>
      <c r="B175" s="19"/>
      <c r="C175" s="19"/>
      <c r="D175" s="19"/>
      <c r="E175" s="74">
        <f t="shared" ref="E175:X176" si="48">E11</f>
        <v>2016</v>
      </c>
      <c r="F175" s="74">
        <f t="shared" si="48"/>
        <v>2017</v>
      </c>
      <c r="G175" s="74">
        <f t="shared" si="48"/>
        <v>2018</v>
      </c>
      <c r="H175" s="74">
        <f t="shared" si="48"/>
        <v>2019</v>
      </c>
      <c r="I175" s="74">
        <f t="shared" si="48"/>
        <v>2020</v>
      </c>
      <c r="J175" s="74">
        <f t="shared" si="48"/>
        <v>2021</v>
      </c>
      <c r="K175" s="74">
        <f t="shared" si="48"/>
        <v>2022</v>
      </c>
      <c r="L175" s="74">
        <f t="shared" si="48"/>
        <v>2023</v>
      </c>
      <c r="M175" s="74">
        <f t="shared" si="48"/>
        <v>2024</v>
      </c>
      <c r="N175" s="74">
        <f t="shared" si="48"/>
        <v>2025</v>
      </c>
      <c r="O175" s="74">
        <f t="shared" si="48"/>
        <v>2026</v>
      </c>
      <c r="P175" s="74">
        <f t="shared" si="48"/>
        <v>2027</v>
      </c>
      <c r="Q175" s="74">
        <f t="shared" si="48"/>
        <v>2028</v>
      </c>
      <c r="R175" s="74">
        <f t="shared" si="48"/>
        <v>2029</v>
      </c>
      <c r="S175" s="74">
        <f t="shared" si="48"/>
        <v>2030</v>
      </c>
      <c r="T175" s="74">
        <f t="shared" si="48"/>
        <v>2031</v>
      </c>
      <c r="U175" s="74">
        <f t="shared" si="48"/>
        <v>2032</v>
      </c>
      <c r="V175" s="74">
        <f t="shared" si="48"/>
        <v>2033</v>
      </c>
      <c r="W175" s="74">
        <f t="shared" si="48"/>
        <v>2034</v>
      </c>
      <c r="X175" s="74">
        <f t="shared" si="48"/>
        <v>2035</v>
      </c>
      <c r="Y175" s="19"/>
    </row>
    <row r="176" spans="1:25" ht="15">
      <c r="A176" s="19"/>
      <c r="B176" s="19"/>
      <c r="C176" s="78" t="s">
        <v>76</v>
      </c>
      <c r="D176" s="78" t="s">
        <v>76</v>
      </c>
      <c r="E176" s="75" t="str">
        <f t="shared" si="48"/>
        <v>FLOOR_2016</v>
      </c>
      <c r="F176" s="75" t="str">
        <f t="shared" si="48"/>
        <v>FLOOR_2017</v>
      </c>
      <c r="G176" s="75" t="str">
        <f t="shared" si="48"/>
        <v>FLOOR_2018</v>
      </c>
      <c r="H176" s="75" t="str">
        <f t="shared" si="48"/>
        <v>FLOOR_2019</v>
      </c>
      <c r="I176" s="75" t="str">
        <f t="shared" si="48"/>
        <v>FLOOR_2020</v>
      </c>
      <c r="J176" s="75" t="str">
        <f t="shared" si="48"/>
        <v>FLOOR_2021</v>
      </c>
      <c r="K176" s="75" t="str">
        <f t="shared" si="48"/>
        <v>FLOOR_2022</v>
      </c>
      <c r="L176" s="75" t="str">
        <f t="shared" si="48"/>
        <v>FLOOR_2023</v>
      </c>
      <c r="M176" s="75" t="str">
        <f t="shared" si="48"/>
        <v>FLOOR_2024</v>
      </c>
      <c r="N176" s="75" t="str">
        <f t="shared" si="48"/>
        <v>FLOOR_2025</v>
      </c>
      <c r="O176" s="75" t="str">
        <f t="shared" si="48"/>
        <v>FLOOR_2026</v>
      </c>
      <c r="P176" s="75" t="str">
        <f t="shared" si="48"/>
        <v>FLOOR_2027</v>
      </c>
      <c r="Q176" s="75" t="str">
        <f t="shared" si="48"/>
        <v>FLOOR_2028</v>
      </c>
      <c r="R176" s="75" t="str">
        <f t="shared" si="48"/>
        <v>FLOOR_2029</v>
      </c>
      <c r="S176" s="75" t="str">
        <f t="shared" si="48"/>
        <v>FLOOR_2030</v>
      </c>
      <c r="T176" s="75" t="str">
        <f t="shared" si="48"/>
        <v>FLOOR_2031</v>
      </c>
      <c r="U176" s="75" t="str">
        <f t="shared" si="48"/>
        <v>FLOOR_2032</v>
      </c>
      <c r="V176" s="75" t="str">
        <f t="shared" si="48"/>
        <v>FLOOR_2033</v>
      </c>
      <c r="W176" s="75" t="str">
        <f t="shared" si="48"/>
        <v>FLOOR_2034</v>
      </c>
      <c r="X176" s="75" t="str">
        <f t="shared" si="48"/>
        <v>FLOOR_2035</v>
      </c>
      <c r="Y176" s="420" t="s">
        <v>71</v>
      </c>
    </row>
    <row r="177" spans="1:25">
      <c r="A177" s="19"/>
      <c r="B177" s="19" t="s">
        <v>80</v>
      </c>
      <c r="C177" s="79" t="s">
        <v>81</v>
      </c>
      <c r="D177" s="79" t="s">
        <v>82</v>
      </c>
      <c r="E177" s="80">
        <f>DSUM($B$147:$AA$168,E$147,$C$176:$D177)</f>
        <v>0</v>
      </c>
      <c r="F177" s="80">
        <f>DSUM($B$147:$AA$168,F$147,$C$176:$D177)</f>
        <v>0</v>
      </c>
      <c r="G177" s="80">
        <f>DSUM($B$147:$AA$168,G$147,$C$176:$D177)</f>
        <v>0</v>
      </c>
      <c r="H177" s="80">
        <f>DSUM($B$147:$AA$168,H$147,$C$176:$D177)</f>
        <v>0</v>
      </c>
      <c r="I177" s="80">
        <f>DSUM($B$147:$AA$168,I$147,$C$176:$D177)</f>
        <v>0</v>
      </c>
      <c r="J177" s="80">
        <f>DSUM($B$147:$AA$168,J$147,$C$176:$D177)</f>
        <v>0</v>
      </c>
      <c r="K177" s="80">
        <f>DSUM($B$147:$AA$168,K$147,$C$176:$D177)</f>
        <v>0</v>
      </c>
      <c r="L177" s="80">
        <f>DSUM($B$147:$AA$168,L$147,$C$176:$D177)</f>
        <v>0</v>
      </c>
      <c r="M177" s="80">
        <f>DSUM($B$147:$AA$168,M$147,$C$176:$D177)</f>
        <v>0</v>
      </c>
      <c r="N177" s="80">
        <f>DSUM($B$147:$AA$168,N$147,$C$176:$D177)</f>
        <v>0</v>
      </c>
      <c r="O177" s="80">
        <f>DSUM($B$147:$AA$168,O$147,$C$176:$D177)</f>
        <v>0</v>
      </c>
      <c r="P177" s="80">
        <f>DSUM($B$147:$AA$168,P$147,$C$176:$D177)</f>
        <v>0</v>
      </c>
      <c r="Q177" s="80">
        <f>DSUM($B$147:$AA$168,Q$147,$C$176:$D177)</f>
        <v>0</v>
      </c>
      <c r="R177" s="80">
        <f>DSUM($B$147:$AA$168,R$147,$C$176:$D177)</f>
        <v>0</v>
      </c>
      <c r="S177" s="80">
        <f>DSUM($B$147:$AA$168,S$147,$C$176:$D177)</f>
        <v>0</v>
      </c>
      <c r="T177" s="80">
        <f>DSUM($B$147:$AA$168,T$147,$C$176:$D177)</f>
        <v>0</v>
      </c>
      <c r="U177" s="80">
        <f>DSUM($B$147:$AA$168,U$147,$C$176:$D177)</f>
        <v>0</v>
      </c>
      <c r="V177" s="80">
        <f>DSUM($B$147:$AA$168,V$147,$C$176:$D177)</f>
        <v>0</v>
      </c>
      <c r="W177" s="80">
        <f>DSUM($B$147:$AA$168,W$147,$C$176:$D177)</f>
        <v>0</v>
      </c>
      <c r="X177" s="80">
        <f>DSUM($B$147:$AA$168,X$147,$C$176:$D177)</f>
        <v>0</v>
      </c>
      <c r="Y177" s="427">
        <f>DSUM($B$147:$Y$168,Y$147,$C$176:$D177)</f>
        <v>0</v>
      </c>
    </row>
    <row r="178" spans="1:25">
      <c r="B178" s="19" t="s">
        <v>83</v>
      </c>
      <c r="C178" s="79" t="s">
        <v>84</v>
      </c>
      <c r="D178" s="79" t="s">
        <v>85</v>
      </c>
      <c r="E178" s="80">
        <f>DSUM($B$147:$AA$168,E$147,$C$176:$D178)</f>
        <v>3.8779198369425843E-3</v>
      </c>
      <c r="F178" s="80">
        <f>DSUM($B$147:$AA$168,F$147,$C$176:$D178)</f>
        <v>7.7183563291368679E-3</v>
      </c>
      <c r="G178" s="80">
        <f>DSUM($B$147:$AA$168,G$147,$C$176:$D178)</f>
        <v>1.3645378098544023E-2</v>
      </c>
      <c r="H178" s="80">
        <f>DSUM($B$147:$AA$168,H$147,$C$176:$D178)</f>
        <v>2.2100737744566265E-2</v>
      </c>
      <c r="I178" s="80">
        <f>DSUM($B$147:$AA$168,I$147,$C$176:$D178)</f>
        <v>3.3401859763205623E-2</v>
      </c>
      <c r="J178" s="80">
        <f>DSUM($B$147:$AA$168,J$147,$C$176:$D178)</f>
        <v>4.7633452538722115E-2</v>
      </c>
      <c r="K178" s="80">
        <f>DSUM($B$147:$AA$168,K$147,$C$176:$D178)</f>
        <v>6.4516942237045988E-2</v>
      </c>
      <c r="L178" s="80">
        <f>DSUM($B$147:$AA$168,L$147,$C$176:$D178)</f>
        <v>8.3279178020530698E-2</v>
      </c>
      <c r="M178" s="80">
        <f>DSUM($B$147:$AA$168,M$147,$C$176:$D178)</f>
        <v>0.1025613595021912</v>
      </c>
      <c r="N178" s="80">
        <f>DSUM($B$147:$AA$168,N$147,$C$176:$D178)</f>
        <v>0.12042723962232459</v>
      </c>
      <c r="O178" s="80">
        <f>DSUM($B$147:$AA$168,O$147,$C$176:$D178)</f>
        <v>0.13453447877138369</v>
      </c>
      <c r="P178" s="80">
        <f>DSUM($B$147:$AA$168,P$147,$C$176:$D178)</f>
        <v>0.14250858886213091</v>
      </c>
      <c r="Q178" s="80">
        <f>DSUM($B$147:$AA$168,Q$147,$C$176:$D178)</f>
        <v>0.14249333496256592</v>
      </c>
      <c r="R178" s="80">
        <f>DSUM($B$147:$AA$168,R$147,$C$176:$D178)</f>
        <v>0.13375168688984077</v>
      </c>
      <c r="S178" s="80">
        <f>DSUM($B$147:$AA$168,S$147,$C$176:$D178)</f>
        <v>0.11709700139853202</v>
      </c>
      <c r="T178" s="80">
        <f>DSUM($B$147:$AA$168,T$147,$C$176:$D178)</f>
        <v>9.4913754849626275E-2</v>
      </c>
      <c r="U178" s="80">
        <f>DSUM($B$147:$AA$168,U$147,$C$176:$D178)</f>
        <v>7.0641842688651466E-2</v>
      </c>
      <c r="V178" s="80">
        <f>DSUM($B$147:$AA$168,V$147,$C$176:$D178)</f>
        <v>4.7839130502272779E-2</v>
      </c>
      <c r="W178" s="80">
        <f>DSUM($B$147:$AA$168,W$147,$C$176:$D178)</f>
        <v>2.9185280695474883E-2</v>
      </c>
      <c r="X178" s="80">
        <f>DSUM($B$147:$AA$168,X$147,$C$176:$D178)</f>
        <v>1.3941015473924422E-2</v>
      </c>
      <c r="Y178" s="427">
        <f>DSUM($B$147:$Y$168,Y$147,$C$176:$D178)</f>
        <v>1.3941015473924419</v>
      </c>
    </row>
    <row r="179" spans="1:25">
      <c r="B179" s="19" t="s">
        <v>86</v>
      </c>
      <c r="C179" s="79" t="s">
        <v>87</v>
      </c>
      <c r="D179" s="79" t="s">
        <v>88</v>
      </c>
      <c r="E179" s="80">
        <f>DSUM($B$147:$AA$168,E$147,$C$176:$D179)</f>
        <v>4.5261465615778085E-3</v>
      </c>
      <c r="F179" s="80">
        <f>DSUM($B$147:$AA$168,F$147,$C$176:$D179)</f>
        <v>9.0085441239285673E-3</v>
      </c>
      <c r="G179" s="80">
        <f>DSUM($B$147:$AA$168,G$147,$C$176:$D179)</f>
        <v>1.5926317138842027E-2</v>
      </c>
      <c r="H179" s="80">
        <f>DSUM($B$147:$AA$168,H$147,$C$176:$D179)</f>
        <v>2.5795060846272602E-2</v>
      </c>
      <c r="I179" s="80">
        <f>DSUM($B$147:$AA$168,I$147,$C$176:$D179)</f>
        <v>3.8985259900764582E-2</v>
      </c>
      <c r="J179" s="80">
        <f>DSUM($B$147:$AA$168,J$147,$C$176:$D179)</f>
        <v>5.559578240126703E-2</v>
      </c>
      <c r="K179" s="80">
        <f>DSUM($B$147:$AA$168,K$147,$C$176:$D179)</f>
        <v>7.5301488568146294E-2</v>
      </c>
      <c r="L179" s="80">
        <f>DSUM($B$147:$AA$168,L$147,$C$176:$D179)</f>
        <v>9.7199988936808965E-2</v>
      </c>
      <c r="M179" s="80">
        <f>DSUM($B$147:$AA$168,M$147,$C$176:$D179)</f>
        <v>0.11970534827444426</v>
      </c>
      <c r="N179" s="80">
        <f>DSUM($B$147:$AA$168,N$147,$C$176:$D179)</f>
        <v>0.14055765963605746</v>
      </c>
      <c r="O179" s="80">
        <f>DSUM($B$147:$AA$168,O$147,$C$176:$D179)</f>
        <v>0.15702304176170018</v>
      </c>
      <c r="P179" s="80">
        <f>DSUM($B$147:$AA$168,P$147,$C$176:$D179)</f>
        <v>0.1663300910268892</v>
      </c>
      <c r="Q179" s="80">
        <f>DSUM($B$147:$AA$168,Q$147,$C$176:$D179)</f>
        <v>0.16631228731047168</v>
      </c>
      <c r="R179" s="80">
        <f>DSUM($B$147:$AA$168,R$147,$C$176:$D179)</f>
        <v>0.15610939967211279</v>
      </c>
      <c r="S179" s="80">
        <f>DSUM($B$147:$AA$168,S$147,$C$176:$D179)</f>
        <v>0.13667074424851877</v>
      </c>
      <c r="T179" s="80">
        <f>DSUM($B$147:$AA$168,T$147,$C$176:$D179)</f>
        <v>0.1107793825613924</v>
      </c>
      <c r="U179" s="80">
        <f>DSUM($B$147:$AA$168,U$147,$C$176:$D179)</f>
        <v>8.2450217341481932E-2</v>
      </c>
      <c r="V179" s="80">
        <f>DSUM($B$147:$AA$168,V$147,$C$176:$D179)</f>
        <v>5.5835841156130592E-2</v>
      </c>
      <c r="W179" s="80">
        <f>DSUM($B$147:$AA$168,W$147,$C$176:$D179)</f>
        <v>3.4063844386389937E-2</v>
      </c>
      <c r="X179" s="80">
        <f>DSUM($B$147:$AA$168,X$147,$C$176:$D179)</f>
        <v>1.6271372773387287E-2</v>
      </c>
      <c r="Y179" s="427">
        <f>DSUM($B$147:$Y$168,Y$147,$C$176:$D179)</f>
        <v>1.6271372773387285</v>
      </c>
    </row>
    <row r="180" spans="1:25">
      <c r="B180" s="19" t="s">
        <v>89</v>
      </c>
      <c r="C180" s="79" t="s">
        <v>90</v>
      </c>
      <c r="D180" s="79" t="s">
        <v>91</v>
      </c>
      <c r="E180" s="80">
        <f>DSUM($B$147:$AA$168,E$147,$C$176:$D180)</f>
        <v>5.8129083942623548E-3</v>
      </c>
      <c r="F180" s="80">
        <f>DSUM($B$147:$AA$168,F$147,$C$176:$D180)</f>
        <v>1.156963015793561E-2</v>
      </c>
      <c r="G180" s="80">
        <f>DSUM($B$147:$AA$168,G$147,$C$176:$D180)</f>
        <v>2.0454092974352689E-2</v>
      </c>
      <c r="H180" s="80">
        <f>DSUM($B$147:$AA$168,H$147,$C$176:$D180)</f>
        <v>3.312847334566555E-2</v>
      </c>
      <c r="I180" s="80">
        <f>DSUM($B$147:$AA$168,I$147,$C$176:$D180)</f>
        <v>5.0068582942805848E-2</v>
      </c>
      <c r="J180" s="80">
        <f>DSUM($B$147:$AA$168,J$147,$C$176:$D180)</f>
        <v>7.1401397592668919E-2</v>
      </c>
      <c r="K180" s="80">
        <f>DSUM($B$147:$AA$168,K$147,$C$176:$D180)</f>
        <v>9.67093418304244E-2</v>
      </c>
      <c r="L180" s="80">
        <f>DSUM($B$147:$AA$168,L$147,$C$176:$D180)</f>
        <v>0.12483348118007506</v>
      </c>
      <c r="M180" s="80">
        <f>DSUM($B$147:$AA$168,M$147,$C$176:$D180)</f>
        <v>0.15373700660281936</v>
      </c>
      <c r="N180" s="80">
        <f>DSUM($B$147:$AA$168,N$147,$C$176:$D180)</f>
        <v>0.18051753041145163</v>
      </c>
      <c r="O180" s="80">
        <f>DSUM($B$147:$AA$168,O$147,$C$176:$D180)</f>
        <v>0.20166394197164667</v>
      </c>
      <c r="P180" s="80">
        <f>DSUM($B$147:$AA$168,P$147,$C$176:$D180)</f>
        <v>0.21361694085566224</v>
      </c>
      <c r="Q180" s="80">
        <f>DSUM($B$147:$AA$168,Q$147,$C$176:$D180)</f>
        <v>0.21359407562776814</v>
      </c>
      <c r="R180" s="80">
        <f>DSUM($B$147:$AA$168,R$147,$C$176:$D180)</f>
        <v>0.20049055580315667</v>
      </c>
      <c r="S180" s="80">
        <f>DSUM($B$147:$AA$168,S$147,$C$176:$D180)</f>
        <v>0.17552558355851217</v>
      </c>
      <c r="T180" s="80">
        <f>DSUM($B$147:$AA$168,T$147,$C$176:$D180)</f>
        <v>0.1422734315032517</v>
      </c>
      <c r="U180" s="80">
        <f>DSUM($B$147:$AA$168,U$147,$C$176:$D180)</f>
        <v>0.10589042002342519</v>
      </c>
      <c r="V180" s="80">
        <f>DSUM($B$147:$AA$168,V$147,$C$176:$D180)</f>
        <v>7.1709703904070402E-2</v>
      </c>
      <c r="W180" s="80">
        <f>DSUM($B$147:$AA$168,W$147,$C$176:$D180)</f>
        <v>4.3748032521833902E-2</v>
      </c>
      <c r="X180" s="80">
        <f>DSUM($B$147:$AA$168,X$147,$C$176:$D180)</f>
        <v>2.0897246276449129E-2</v>
      </c>
      <c r="Y180" s="427">
        <f>DSUM($B$147:$Y$168,Y$147,$C$176:$D180)</f>
        <v>2.0897246276449128</v>
      </c>
    </row>
    <row r="181" spans="1:25">
      <c r="B181" s="19" t="s">
        <v>92</v>
      </c>
      <c r="C181" s="79" t="s">
        <v>93</v>
      </c>
      <c r="D181" s="79" t="s">
        <v>94</v>
      </c>
      <c r="E181" s="80">
        <f>DSUM($B$147:$AA$168,E$147,$C$176:$D181)</f>
        <v>5.8129083942623548E-3</v>
      </c>
      <c r="F181" s="80">
        <f>DSUM($B$147:$AA$168,F$147,$C$176:$D181)</f>
        <v>1.156963015793561E-2</v>
      </c>
      <c r="G181" s="80">
        <f>DSUM($B$147:$AA$168,G$147,$C$176:$D181)</f>
        <v>2.0454092974352689E-2</v>
      </c>
      <c r="H181" s="80">
        <f>DSUM($B$147:$AA$168,H$147,$C$176:$D181)</f>
        <v>3.312847334566555E-2</v>
      </c>
      <c r="I181" s="80">
        <f>DSUM($B$147:$AA$168,I$147,$C$176:$D181)</f>
        <v>5.0068582942805848E-2</v>
      </c>
      <c r="J181" s="80">
        <f>DSUM($B$147:$AA$168,J$147,$C$176:$D181)</f>
        <v>7.1401397592668919E-2</v>
      </c>
      <c r="K181" s="80">
        <f>DSUM($B$147:$AA$168,K$147,$C$176:$D181)</f>
        <v>9.67093418304244E-2</v>
      </c>
      <c r="L181" s="80">
        <f>DSUM($B$147:$AA$168,L$147,$C$176:$D181)</f>
        <v>0.12483348118007506</v>
      </c>
      <c r="M181" s="80">
        <f>DSUM($B$147:$AA$168,M$147,$C$176:$D181)</f>
        <v>0.15373700660281936</v>
      </c>
      <c r="N181" s="80">
        <f>DSUM($B$147:$AA$168,N$147,$C$176:$D181)</f>
        <v>0.18051753041145163</v>
      </c>
      <c r="O181" s="80">
        <f>DSUM($B$147:$AA$168,O$147,$C$176:$D181)</f>
        <v>0.20166394197164667</v>
      </c>
      <c r="P181" s="80">
        <f>DSUM($B$147:$AA$168,P$147,$C$176:$D181)</f>
        <v>0.21361694085566224</v>
      </c>
      <c r="Q181" s="80">
        <f>DSUM($B$147:$AA$168,Q$147,$C$176:$D181)</f>
        <v>0.21359407562776814</v>
      </c>
      <c r="R181" s="80">
        <f>DSUM($B$147:$AA$168,R$147,$C$176:$D181)</f>
        <v>0.20049055580315667</v>
      </c>
      <c r="S181" s="80">
        <f>DSUM($B$147:$AA$168,S$147,$C$176:$D181)</f>
        <v>0.17552558355851217</v>
      </c>
      <c r="T181" s="80">
        <f>DSUM($B$147:$AA$168,T$147,$C$176:$D181)</f>
        <v>0.1422734315032517</v>
      </c>
      <c r="U181" s="80">
        <f>DSUM($B$147:$AA$168,U$147,$C$176:$D181)</f>
        <v>0.10589042002342519</v>
      </c>
      <c r="V181" s="80">
        <f>DSUM($B$147:$AA$168,V$147,$C$176:$D181)</f>
        <v>7.1709703904070402E-2</v>
      </c>
      <c r="W181" s="80">
        <f>DSUM($B$147:$AA$168,W$147,$C$176:$D181)</f>
        <v>4.3748032521833902E-2</v>
      </c>
      <c r="X181" s="80">
        <f>DSUM($B$147:$AA$168,X$147,$C$176:$D181)</f>
        <v>2.0897246276449129E-2</v>
      </c>
      <c r="Y181" s="427">
        <f>DSUM($B$147:$Y$168,Y$147,$C$176:$D181)</f>
        <v>2.0897246276449128</v>
      </c>
    </row>
    <row r="182" spans="1:25">
      <c r="B182" s="19" t="s">
        <v>95</v>
      </c>
      <c r="C182" s="79" t="s">
        <v>96</v>
      </c>
      <c r="D182" s="79" t="s">
        <v>97</v>
      </c>
      <c r="E182" s="80">
        <f>DSUM($B$147:$AA$168,E$147,$C$176:$D182)</f>
        <v>1.5982891983963514E-2</v>
      </c>
      <c r="F182" s="80">
        <f>DSUM($B$147:$AA$168,F$147,$C$176:$D182)</f>
        <v>3.1811295923949788E-2</v>
      </c>
      <c r="G182" s="80">
        <f>DSUM($B$147:$AA$168,G$147,$C$176:$D182)</f>
        <v>5.6239585499353269E-2</v>
      </c>
      <c r="H182" s="80">
        <f>DSUM($B$147:$AA$168,H$147,$C$176:$D182)</f>
        <v>9.1088449217610251E-2</v>
      </c>
      <c r="I182" s="80">
        <f>DSUM($B$147:$AA$168,I$147,$C$176:$D182)</f>
        <v>0.13766615585321512</v>
      </c>
      <c r="J182" s="80">
        <f>DSUM($B$147:$AA$168,J$147,$C$176:$D182)</f>
        <v>0.19632183200307862</v>
      </c>
      <c r="K182" s="80">
        <f>DSUM($B$147:$AA$168,K$147,$C$176:$D182)</f>
        <v>0.26590733235045633</v>
      </c>
      <c r="L182" s="80">
        <f>DSUM($B$147:$AA$168,L$147,$C$176:$D182)</f>
        <v>0.34323610667125753</v>
      </c>
      <c r="M182" s="80">
        <f>DSUM($B$147:$AA$168,M$147,$C$176:$D182)</f>
        <v>0.42270784327103694</v>
      </c>
      <c r="N182" s="80">
        <f>DSUM($B$147:$AA$168,N$147,$C$176:$D182)</f>
        <v>0.49634227723697077</v>
      </c>
      <c r="O182" s="80">
        <f>DSUM($B$147:$AA$168,O$147,$C$176:$D182)</f>
        <v>0.55448542846031357</v>
      </c>
      <c r="P182" s="80">
        <f>DSUM($B$147:$AA$168,P$147,$C$176:$D182)</f>
        <v>0.58735081650534571</v>
      </c>
      <c r="Q182" s="80">
        <f>DSUM($B$147:$AA$168,Q$147,$C$176:$D182)</f>
        <v>0.58728794737980072</v>
      </c>
      <c r="R182" s="80">
        <f>DSUM($B$147:$AA$168,R$147,$C$176:$D182)</f>
        <v>0.55125914256099262</v>
      </c>
      <c r="S182" s="80">
        <f>DSUM($B$147:$AA$168,S$147,$C$176:$D182)</f>
        <v>0.48261666143009319</v>
      </c>
      <c r="T182" s="80">
        <f>DSUM($B$147:$AA$168,T$147,$C$176:$D182)</f>
        <v>0.39118815120995237</v>
      </c>
      <c r="U182" s="80">
        <f>DSUM($B$147:$AA$168,U$147,$C$176:$D182)</f>
        <v>0.29115118122994238</v>
      </c>
      <c r="V182" s="80">
        <f>DSUM($B$147:$AA$168,V$147,$C$176:$D182)</f>
        <v>0.19716953613651517</v>
      </c>
      <c r="W182" s="80">
        <f>DSUM($B$147:$AA$168,W$147,$C$176:$D182)</f>
        <v>0.12028747588686602</v>
      </c>
      <c r="X182" s="80">
        <f>DSUM($B$147:$AA$168,X$147,$C$176:$D182)</f>
        <v>5.7458058401271925E-2</v>
      </c>
      <c r="Y182" s="427">
        <f>DSUM($B$147:$Y$168,Y$147,$C$176:$D182)</f>
        <v>5.7458058401271925</v>
      </c>
    </row>
    <row r="183" spans="1:25">
      <c r="B183" s="19" t="s">
        <v>98</v>
      </c>
      <c r="C183" s="79" t="s">
        <v>99</v>
      </c>
      <c r="D183" s="79" t="s">
        <v>100</v>
      </c>
      <c r="E183" s="80">
        <f>DSUM($B$147:$AA$168,E$147,$C$176:$D183)</f>
        <v>1.9403337610443005E-2</v>
      </c>
      <c r="F183" s="80">
        <f>DSUM($B$147:$AA$168,F$147,$C$176:$D183)</f>
        <v>3.8619125703747627E-2</v>
      </c>
      <c r="G183" s="80">
        <f>DSUM($B$147:$AA$168,G$147,$C$176:$D183)</f>
        <v>6.8275232392874904E-2</v>
      </c>
      <c r="H183" s="80">
        <f>DSUM($B$147:$AA$168,H$147,$C$176:$D183)</f>
        <v>0.11058198568533975</v>
      </c>
      <c r="I183" s="80">
        <f>DSUM($B$147:$AA$168,I$147,$C$176:$D183)</f>
        <v>0.16712763261066504</v>
      </c>
      <c r="J183" s="80">
        <f>DSUM($B$147:$AA$168,J$147,$C$176:$D183)</f>
        <v>0.23833601518914607</v>
      </c>
      <c r="K183" s="80">
        <f>DSUM($B$147:$AA$168,K$147,$C$176:$D183)</f>
        <v>0.32281327733835452</v>
      </c>
      <c r="L183" s="80">
        <f>DSUM($B$147:$AA$168,L$147,$C$176:$D183)</f>
        <v>0.41669092580483541</v>
      </c>
      <c r="M183" s="80">
        <f>DSUM($B$147:$AA$168,M$147,$C$176:$D183)</f>
        <v>0.51317014478979184</v>
      </c>
      <c r="N183" s="80">
        <f>DSUM($B$147:$AA$168,N$147,$C$176:$D183)</f>
        <v>0.60256283939277278</v>
      </c>
      <c r="O183" s="80">
        <f>DSUM($B$147:$AA$168,O$147,$C$176:$D183)</f>
        <v>0.67314901328755472</v>
      </c>
      <c r="P183" s="80">
        <f>DSUM($B$147:$AA$168,P$147,$C$176:$D183)</f>
        <v>0.71304781386606153</v>
      </c>
      <c r="Q183" s="80">
        <f>DSUM($B$147:$AA$168,Q$147,$C$176:$D183)</f>
        <v>0.71297149032777785</v>
      </c>
      <c r="R183" s="80">
        <f>DSUM($B$147:$AA$168,R$147,$C$176:$D183)</f>
        <v>0.66923228065899498</v>
      </c>
      <c r="S183" s="80">
        <f>DSUM($B$147:$AA$168,S$147,$C$176:$D183)</f>
        <v>0.58589985013655477</v>
      </c>
      <c r="T183" s="80">
        <f>DSUM($B$147:$AA$168,T$147,$C$176:$D183)</f>
        <v>0.47490502812304197</v>
      </c>
      <c r="U183" s="80">
        <f>DSUM($B$147:$AA$168,U$147,$C$176:$D183)</f>
        <v>0.35345947846935938</v>
      </c>
      <c r="V183" s="80">
        <f>DSUM($B$147:$AA$168,V$147,$C$176:$D183)</f>
        <v>0.23936513366853895</v>
      </c>
      <c r="W183" s="80">
        <f>DSUM($B$147:$AA$168,W$147,$C$176:$D183)</f>
        <v>0.14602979906782132</v>
      </c>
      <c r="X183" s="80">
        <f>DSUM($B$147:$AA$168,X$147,$C$176:$D183)</f>
        <v>6.975446663338819E-2</v>
      </c>
      <c r="Y183" s="427">
        <f>DSUM($B$147:$Y$168,Y$147,$C$176:$D183)</f>
        <v>6.9754466633388175</v>
      </c>
    </row>
    <row r="184" spans="1:25">
      <c r="B184" s="19" t="s">
        <v>101</v>
      </c>
      <c r="C184" s="79" t="s">
        <v>102</v>
      </c>
      <c r="D184" s="79" t="s">
        <v>103</v>
      </c>
      <c r="E184" s="80">
        <f>DSUM($B$147:$AA$168,E$147,$C$176:$D184)</f>
        <v>1.9403337610443005E-2</v>
      </c>
      <c r="F184" s="80">
        <f>DSUM($B$147:$AA$168,F$147,$C$176:$D184)</f>
        <v>3.8619125703747627E-2</v>
      </c>
      <c r="G184" s="80">
        <f>DSUM($B$147:$AA$168,G$147,$C$176:$D184)</f>
        <v>6.8275232392874904E-2</v>
      </c>
      <c r="H184" s="80">
        <f>DSUM($B$147:$AA$168,H$147,$C$176:$D184)</f>
        <v>0.11058198568533975</v>
      </c>
      <c r="I184" s="80">
        <f>DSUM($B$147:$AA$168,I$147,$C$176:$D184)</f>
        <v>0.16712763261066504</v>
      </c>
      <c r="J184" s="80">
        <f>DSUM($B$147:$AA$168,J$147,$C$176:$D184)</f>
        <v>0.23833601518914607</v>
      </c>
      <c r="K184" s="80">
        <f>DSUM($B$147:$AA$168,K$147,$C$176:$D184)</f>
        <v>0.32281327733835452</v>
      </c>
      <c r="L184" s="80">
        <f>DSUM($B$147:$AA$168,L$147,$C$176:$D184)</f>
        <v>0.41669092580483541</v>
      </c>
      <c r="M184" s="80">
        <f>DSUM($B$147:$AA$168,M$147,$C$176:$D184)</f>
        <v>0.51317014478979184</v>
      </c>
      <c r="N184" s="80">
        <f>DSUM($B$147:$AA$168,N$147,$C$176:$D184)</f>
        <v>0.60256283939277278</v>
      </c>
      <c r="O184" s="80">
        <f>DSUM($B$147:$AA$168,O$147,$C$176:$D184)</f>
        <v>0.67314901328755472</v>
      </c>
      <c r="P184" s="80">
        <f>DSUM($B$147:$AA$168,P$147,$C$176:$D184)</f>
        <v>0.71304781386606153</v>
      </c>
      <c r="Q184" s="80">
        <f>DSUM($B$147:$AA$168,Q$147,$C$176:$D184)</f>
        <v>0.71297149032777785</v>
      </c>
      <c r="R184" s="80">
        <f>DSUM($B$147:$AA$168,R$147,$C$176:$D184)</f>
        <v>0.66923228065899498</v>
      </c>
      <c r="S184" s="80">
        <f>DSUM($B$147:$AA$168,S$147,$C$176:$D184)</f>
        <v>0.58589985013655477</v>
      </c>
      <c r="T184" s="80">
        <f>DSUM($B$147:$AA$168,T$147,$C$176:$D184)</f>
        <v>0.47490502812304197</v>
      </c>
      <c r="U184" s="80">
        <f>DSUM($B$147:$AA$168,U$147,$C$176:$D184)</f>
        <v>0.35345947846935938</v>
      </c>
      <c r="V184" s="80">
        <f>DSUM($B$147:$AA$168,V$147,$C$176:$D184)</f>
        <v>0.23936513366853895</v>
      </c>
      <c r="W184" s="80">
        <f>DSUM($B$147:$AA$168,W$147,$C$176:$D184)</f>
        <v>0.14602979906782132</v>
      </c>
      <c r="X184" s="80">
        <f>DSUM($B$147:$AA$168,X$147,$C$176:$D184)</f>
        <v>6.975446663338819E-2</v>
      </c>
      <c r="Y184" s="427">
        <f>DSUM($B$147:$Y$168,Y$147,$C$176:$D184)</f>
        <v>6.9754466633388175</v>
      </c>
    </row>
    <row r="185" spans="1:25">
      <c r="B185" s="19" t="s">
        <v>104</v>
      </c>
      <c r="C185" s="79" t="s">
        <v>105</v>
      </c>
      <c r="D185" s="79" t="s">
        <v>106</v>
      </c>
      <c r="E185" s="80">
        <f>DSUM($B$147:$AA$168,E$147,$C$176:$D185)</f>
        <v>1.9403337610443005E-2</v>
      </c>
      <c r="F185" s="80">
        <f>DSUM($B$147:$AA$168,F$147,$C$176:$D185)</f>
        <v>3.8619125703747627E-2</v>
      </c>
      <c r="G185" s="80">
        <f>DSUM($B$147:$AA$168,G$147,$C$176:$D185)</f>
        <v>6.8275232392874904E-2</v>
      </c>
      <c r="H185" s="80">
        <f>DSUM($B$147:$AA$168,H$147,$C$176:$D185)</f>
        <v>0.11058198568533975</v>
      </c>
      <c r="I185" s="80">
        <f>DSUM($B$147:$AA$168,I$147,$C$176:$D185)</f>
        <v>0.16712763261066504</v>
      </c>
      <c r="J185" s="80">
        <f>DSUM($B$147:$AA$168,J$147,$C$176:$D185)</f>
        <v>0.23833601518914607</v>
      </c>
      <c r="K185" s="80">
        <f>DSUM($B$147:$AA$168,K$147,$C$176:$D185)</f>
        <v>0.32281327733835452</v>
      </c>
      <c r="L185" s="80">
        <f>DSUM($B$147:$AA$168,L$147,$C$176:$D185)</f>
        <v>0.41669092580483541</v>
      </c>
      <c r="M185" s="80">
        <f>DSUM($B$147:$AA$168,M$147,$C$176:$D185)</f>
        <v>0.51317014478979184</v>
      </c>
      <c r="N185" s="80">
        <f>DSUM($B$147:$AA$168,N$147,$C$176:$D185)</f>
        <v>0.60256283939277278</v>
      </c>
      <c r="O185" s="80">
        <f>DSUM($B$147:$AA$168,O$147,$C$176:$D185)</f>
        <v>0.67314901328755472</v>
      </c>
      <c r="P185" s="80">
        <f>DSUM($B$147:$AA$168,P$147,$C$176:$D185)</f>
        <v>0.71304781386606153</v>
      </c>
      <c r="Q185" s="80">
        <f>DSUM($B$147:$AA$168,Q$147,$C$176:$D185)</f>
        <v>0.71297149032777785</v>
      </c>
      <c r="R185" s="80">
        <f>DSUM($B$147:$AA$168,R$147,$C$176:$D185)</f>
        <v>0.66923228065899498</v>
      </c>
      <c r="S185" s="80">
        <f>DSUM($B$147:$AA$168,S$147,$C$176:$D185)</f>
        <v>0.58589985013655477</v>
      </c>
      <c r="T185" s="80">
        <f>DSUM($B$147:$AA$168,T$147,$C$176:$D185)</f>
        <v>0.47490502812304197</v>
      </c>
      <c r="U185" s="80">
        <f>DSUM($B$147:$AA$168,U$147,$C$176:$D185)</f>
        <v>0.35345947846935938</v>
      </c>
      <c r="V185" s="80">
        <f>DSUM($B$147:$AA$168,V$147,$C$176:$D185)</f>
        <v>0.23936513366853895</v>
      </c>
      <c r="W185" s="80">
        <f>DSUM($B$147:$AA$168,W$147,$C$176:$D185)</f>
        <v>0.14602979906782132</v>
      </c>
      <c r="X185" s="80">
        <f>DSUM($B$147:$AA$168,X$147,$C$176:$D185)</f>
        <v>6.975446663338819E-2</v>
      </c>
      <c r="Y185" s="427">
        <f>DSUM($B$147:$Y$168,Y$147,$C$176:$D185)</f>
        <v>6.9754466633388175</v>
      </c>
    </row>
    <row r="186" spans="1:25">
      <c r="B186" s="19" t="s">
        <v>107</v>
      </c>
      <c r="C186" s="79" t="s">
        <v>108</v>
      </c>
      <c r="D186" s="79" t="s">
        <v>109</v>
      </c>
      <c r="E186" s="80">
        <f>DSUM($B$147:$AA$168,E$147,$C$176:$D186)</f>
        <v>1.9403337610443005E-2</v>
      </c>
      <c r="F186" s="80">
        <f>DSUM($B$147:$AA$168,F$147,$C$176:$D186)</f>
        <v>3.8619125703747627E-2</v>
      </c>
      <c r="G186" s="80">
        <f>DSUM($B$147:$AA$168,G$147,$C$176:$D186)</f>
        <v>6.8275232392874904E-2</v>
      </c>
      <c r="H186" s="80">
        <f>DSUM($B$147:$AA$168,H$147,$C$176:$D186)</f>
        <v>0.11058198568533975</v>
      </c>
      <c r="I186" s="80">
        <f>DSUM($B$147:$AA$168,I$147,$C$176:$D186)</f>
        <v>0.16712763261066504</v>
      </c>
      <c r="J186" s="80">
        <f>DSUM($B$147:$AA$168,J$147,$C$176:$D186)</f>
        <v>0.23833601518914607</v>
      </c>
      <c r="K186" s="80">
        <f>DSUM($B$147:$AA$168,K$147,$C$176:$D186)</f>
        <v>0.32281327733835452</v>
      </c>
      <c r="L186" s="80">
        <f>DSUM($B$147:$AA$168,L$147,$C$176:$D186)</f>
        <v>0.41669092580483541</v>
      </c>
      <c r="M186" s="80">
        <f>DSUM($B$147:$AA$168,M$147,$C$176:$D186)</f>
        <v>0.51317014478979184</v>
      </c>
      <c r="N186" s="80">
        <f>DSUM($B$147:$AA$168,N$147,$C$176:$D186)</f>
        <v>0.60256283939277278</v>
      </c>
      <c r="O186" s="80">
        <f>DSUM($B$147:$AA$168,O$147,$C$176:$D186)</f>
        <v>0.67314901328755472</v>
      </c>
      <c r="P186" s="80">
        <f>DSUM($B$147:$AA$168,P$147,$C$176:$D186)</f>
        <v>0.71304781386606153</v>
      </c>
      <c r="Q186" s="80">
        <f>DSUM($B$147:$AA$168,Q$147,$C$176:$D186)</f>
        <v>0.71297149032777785</v>
      </c>
      <c r="R186" s="80">
        <f>DSUM($B$147:$AA$168,R$147,$C$176:$D186)</f>
        <v>0.66923228065899498</v>
      </c>
      <c r="S186" s="80">
        <f>DSUM($B$147:$AA$168,S$147,$C$176:$D186)</f>
        <v>0.58589985013655477</v>
      </c>
      <c r="T186" s="80">
        <f>DSUM($B$147:$AA$168,T$147,$C$176:$D186)</f>
        <v>0.47490502812304197</v>
      </c>
      <c r="U186" s="80">
        <f>DSUM($B$147:$AA$168,U$147,$C$176:$D186)</f>
        <v>0.35345947846935938</v>
      </c>
      <c r="V186" s="80">
        <f>DSUM($B$147:$AA$168,V$147,$C$176:$D186)</f>
        <v>0.23936513366853895</v>
      </c>
      <c r="W186" s="80">
        <f>DSUM($B$147:$AA$168,W$147,$C$176:$D186)</f>
        <v>0.14602979906782132</v>
      </c>
      <c r="X186" s="80">
        <f>DSUM($B$147:$AA$168,X$147,$C$176:$D186)</f>
        <v>6.975446663338819E-2</v>
      </c>
      <c r="Y186" s="427">
        <f>DSUM($B$147:$Y$168,Y$147,$C$176:$D186)</f>
        <v>6.9754466633388175</v>
      </c>
    </row>
    <row r="187" spans="1:25">
      <c r="B187" s="19" t="s">
        <v>110</v>
      </c>
      <c r="C187" s="79" t="s">
        <v>111</v>
      </c>
      <c r="D187" s="79" t="s">
        <v>112</v>
      </c>
      <c r="E187" s="80">
        <f>DSUM($B$147:$AA$168,E$147,$C$176:$D187)</f>
        <v>2.3518359286814595E-2</v>
      </c>
      <c r="F187" s="80">
        <f>DSUM($B$147:$AA$168,F$147,$C$176:$D187)</f>
        <v>4.6809393923783645E-2</v>
      </c>
      <c r="G187" s="80">
        <f>DSUM($B$147:$AA$168,G$147,$C$176:$D187)</f>
        <v>8.2754909389515782E-2</v>
      </c>
      <c r="H187" s="80">
        <f>DSUM($B$147:$AA$168,H$147,$C$176:$D187)</f>
        <v>0.13403399570790808</v>
      </c>
      <c r="I187" s="80">
        <f>DSUM($B$147:$AA$168,I$147,$C$176:$D187)</f>
        <v>0.20257173221461214</v>
      </c>
      <c r="J187" s="80">
        <f>DSUM($B$147:$AA$168,J$147,$C$176:$D187)</f>
        <v>0.28888184851194076</v>
      </c>
      <c r="K187" s="80">
        <f>DSUM($B$147:$AA$168,K$147,$C$176:$D187)</f>
        <v>0.39127488226105289</v>
      </c>
      <c r="L187" s="80">
        <f>DSUM($B$147:$AA$168,L$147,$C$176:$D187)</f>
        <v>0.50506191776816578</v>
      </c>
      <c r="M187" s="80">
        <f>DSUM($B$147:$AA$168,M$147,$C$176:$D187)</f>
        <v>0.62200225975233359</v>
      </c>
      <c r="N187" s="80">
        <f>DSUM($B$147:$AA$168,N$147,$C$176:$D187)</f>
        <v>0.73035318120194492</v>
      </c>
      <c r="O187" s="80">
        <f>DSUM($B$147:$AA$168,O$147,$C$176:$D187)</f>
        <v>0.81590913202174564</v>
      </c>
      <c r="P187" s="80">
        <f>DSUM($B$147:$AA$168,P$147,$C$176:$D187)</f>
        <v>0.86426959175075957</v>
      </c>
      <c r="Q187" s="80">
        <f>DSUM($B$147:$AA$168,Q$147,$C$176:$D187)</f>
        <v>0.86417708166659601</v>
      </c>
      <c r="R187" s="80">
        <f>DSUM($B$147:$AA$168,R$147,$C$176:$D187)</f>
        <v>0.81116174644106698</v>
      </c>
      <c r="S187" s="80">
        <f>DSUM($B$147:$AA$168,S$147,$C$176:$D187)</f>
        <v>0.71015633795838085</v>
      </c>
      <c r="T187" s="80">
        <f>DSUM($B$147:$AA$168,T$147,$C$176:$D187)</f>
        <v>0.57562195240582059</v>
      </c>
      <c r="U187" s="80">
        <f>DSUM($B$147:$AA$168,U$147,$C$176:$D187)</f>
        <v>0.42842046945049833</v>
      </c>
      <c r="V187" s="80">
        <f>DSUM($B$147:$AA$168,V$147,$C$176:$D187)</f>
        <v>0.29012922041429001</v>
      </c>
      <c r="W187" s="80">
        <f>DSUM($B$147:$AA$168,W$147,$C$176:$D187)</f>
        <v>0.1769995116309247</v>
      </c>
      <c r="X187" s="80">
        <f>DSUM($B$147:$AA$168,X$147,$C$176:$D187)</f>
        <v>8.454785671827976E-2</v>
      </c>
      <c r="Y187" s="427">
        <f>DSUM($B$147:$Y$168,Y$147,$C$176:$D187)</f>
        <v>8.4547856718279739</v>
      </c>
    </row>
    <row r="188" spans="1:25">
      <c r="B188" s="19" t="s">
        <v>113</v>
      </c>
      <c r="C188" s="79" t="s">
        <v>114</v>
      </c>
      <c r="D188" s="79" t="s">
        <v>115</v>
      </c>
      <c r="E188" s="80">
        <f>DSUM($B$147:$AA$168,E$147,$C$176:$D188)</f>
        <v>2.3518359286814595E-2</v>
      </c>
      <c r="F188" s="80">
        <f>DSUM($B$147:$AA$168,F$147,$C$176:$D188)</f>
        <v>4.6809393923783645E-2</v>
      </c>
      <c r="G188" s="80">
        <f>DSUM($B$147:$AA$168,G$147,$C$176:$D188)</f>
        <v>8.2754909389515782E-2</v>
      </c>
      <c r="H188" s="80">
        <f>DSUM($B$147:$AA$168,H$147,$C$176:$D188)</f>
        <v>0.13403399570790808</v>
      </c>
      <c r="I188" s="80">
        <f>DSUM($B$147:$AA$168,I$147,$C$176:$D188)</f>
        <v>0.20257173221461214</v>
      </c>
      <c r="J188" s="80">
        <f>DSUM($B$147:$AA$168,J$147,$C$176:$D188)</f>
        <v>0.28888184851194076</v>
      </c>
      <c r="K188" s="80">
        <f>DSUM($B$147:$AA$168,K$147,$C$176:$D188)</f>
        <v>0.39127488226105289</v>
      </c>
      <c r="L188" s="80">
        <f>DSUM($B$147:$AA$168,L$147,$C$176:$D188)</f>
        <v>0.50506191776816578</v>
      </c>
      <c r="M188" s="80">
        <f>DSUM($B$147:$AA$168,M$147,$C$176:$D188)</f>
        <v>0.62200225975233359</v>
      </c>
      <c r="N188" s="80">
        <f>DSUM($B$147:$AA$168,N$147,$C$176:$D188)</f>
        <v>0.73035318120194492</v>
      </c>
      <c r="O188" s="80">
        <f>DSUM($B$147:$AA$168,O$147,$C$176:$D188)</f>
        <v>0.81590913202174564</v>
      </c>
      <c r="P188" s="80">
        <f>DSUM($B$147:$AA$168,P$147,$C$176:$D188)</f>
        <v>0.86426959175075957</v>
      </c>
      <c r="Q188" s="80">
        <f>DSUM($B$147:$AA$168,Q$147,$C$176:$D188)</f>
        <v>0.86417708166659601</v>
      </c>
      <c r="R188" s="80">
        <f>DSUM($B$147:$AA$168,R$147,$C$176:$D188)</f>
        <v>0.81116174644106698</v>
      </c>
      <c r="S188" s="80">
        <f>DSUM($B$147:$AA$168,S$147,$C$176:$D188)</f>
        <v>0.71015633795838085</v>
      </c>
      <c r="T188" s="80">
        <f>DSUM($B$147:$AA$168,T$147,$C$176:$D188)</f>
        <v>0.57562195240582059</v>
      </c>
      <c r="U188" s="80">
        <f>DSUM($B$147:$AA$168,U$147,$C$176:$D188)</f>
        <v>0.42842046945049833</v>
      </c>
      <c r="V188" s="80">
        <f>DSUM($B$147:$AA$168,V$147,$C$176:$D188)</f>
        <v>0.29012922041429001</v>
      </c>
      <c r="W188" s="80">
        <f>DSUM($B$147:$AA$168,W$147,$C$176:$D188)</f>
        <v>0.1769995116309247</v>
      </c>
      <c r="X188" s="80">
        <f>DSUM($B$147:$AA$168,X$147,$C$176:$D188)</f>
        <v>8.454785671827976E-2</v>
      </c>
      <c r="Y188" s="427">
        <f>DSUM($B$147:$Y$168,Y$147,$C$176:$D188)</f>
        <v>8.4547856718279739</v>
      </c>
    </row>
    <row r="189" spans="1:25">
      <c r="B189" s="19" t="s">
        <v>116</v>
      </c>
      <c r="C189" s="79" t="s">
        <v>117</v>
      </c>
      <c r="D189" s="79" t="s">
        <v>118</v>
      </c>
      <c r="E189" s="80">
        <f>DSUM($B$147:$AA$168,E$147,$C$176:$D189)</f>
        <v>2.4232167932966689E-2</v>
      </c>
      <c r="F189" s="80">
        <f>DSUM($B$147:$AA$168,F$147,$C$176:$D189)</f>
        <v>4.823011165738289E-2</v>
      </c>
      <c r="G189" s="80">
        <f>DSUM($B$147:$AA$168,G$147,$C$176:$D189)</f>
        <v>8.5266613931204938E-2</v>
      </c>
      <c r="H189" s="80">
        <f>DSUM($B$147:$AA$168,H$147,$C$176:$D189)</f>
        <v>0.13810207817266815</v>
      </c>
      <c r="I189" s="80">
        <f>DSUM($B$147:$AA$168,I$147,$C$176:$D189)</f>
        <v>0.2087200120396365</v>
      </c>
      <c r="J189" s="80">
        <f>DSUM($B$147:$AA$168,J$147,$C$176:$D189)</f>
        <v>0.29764973740544154</v>
      </c>
      <c r="K189" s="80">
        <f>DSUM($B$147:$AA$168,K$147,$C$176:$D189)</f>
        <v>0.40315051484978826</v>
      </c>
      <c r="L189" s="80">
        <f>DSUM($B$147:$AA$168,L$147,$C$176:$D189)</f>
        <v>0.52039111481581857</v>
      </c>
      <c r="M189" s="80">
        <f>DSUM($B$147:$AA$168,M$147,$C$176:$D189)</f>
        <v>0.6408807276557591</v>
      </c>
      <c r="N189" s="80">
        <f>DSUM($B$147:$AA$168,N$147,$C$176:$D189)</f>
        <v>0.752520221390795</v>
      </c>
      <c r="O189" s="80">
        <f>DSUM($B$147:$AA$168,O$147,$C$176:$D189)</f>
        <v>0.84067289150891755</v>
      </c>
      <c r="P189" s="80">
        <f>DSUM($B$147:$AA$168,P$147,$C$176:$D189)</f>
        <v>0.89050114556258975</v>
      </c>
      <c r="Q189" s="80">
        <f>DSUM($B$147:$AA$168,Q$147,$C$176:$D189)</f>
        <v>0.8904058276933623</v>
      </c>
      <c r="R189" s="80">
        <f>DSUM($B$147:$AA$168,R$147,$C$176:$D189)</f>
        <v>0.83578141743835821</v>
      </c>
      <c r="S189" s="80">
        <f>DSUM($B$147:$AA$168,S$147,$C$176:$D189)</f>
        <v>0.73171038124738697</v>
      </c>
      <c r="T189" s="80">
        <f>DSUM($B$147:$AA$168,T$147,$C$176:$D189)</f>
        <v>0.59309272583569095</v>
      </c>
      <c r="U189" s="80">
        <f>DSUM($B$147:$AA$168,U$147,$C$176:$D189)</f>
        <v>0.44142351237338434</v>
      </c>
      <c r="V189" s="80">
        <f>DSUM($B$147:$AA$168,V$147,$C$176:$D189)</f>
        <v>0.29893496844745293</v>
      </c>
      <c r="W189" s="80">
        <f>DSUM($B$147:$AA$168,W$147,$C$176:$D189)</f>
        <v>0.18237164581027138</v>
      </c>
      <c r="X189" s="80">
        <f>DSUM($B$147:$AA$168,X$147,$C$176:$D189)</f>
        <v>8.7113979227215657E-2</v>
      </c>
      <c r="Y189" s="427">
        <f>DSUM($B$147:$Y$168,Y$147,$C$176:$D189)</f>
        <v>8.7113979227215648</v>
      </c>
    </row>
    <row r="190" spans="1:25">
      <c r="B190" s="19" t="s">
        <v>119</v>
      </c>
      <c r="C190" s="79" t="s">
        <v>120</v>
      </c>
      <c r="D190" s="79" t="s">
        <v>121</v>
      </c>
      <c r="E190" s="80">
        <f>DSUM($B$147:$AA$168,E$147,$C$176:$D190)</f>
        <v>2.4232167932966689E-2</v>
      </c>
      <c r="F190" s="80">
        <f>DSUM($B$147:$AA$168,F$147,$C$176:$D190)</f>
        <v>4.823011165738289E-2</v>
      </c>
      <c r="G190" s="80">
        <f>DSUM($B$147:$AA$168,G$147,$C$176:$D190)</f>
        <v>8.5266613931204938E-2</v>
      </c>
      <c r="H190" s="80">
        <f>DSUM($B$147:$AA$168,H$147,$C$176:$D190)</f>
        <v>0.13810207817266815</v>
      </c>
      <c r="I190" s="80">
        <f>DSUM($B$147:$AA$168,I$147,$C$176:$D190)</f>
        <v>0.2087200120396365</v>
      </c>
      <c r="J190" s="80">
        <f>DSUM($B$147:$AA$168,J$147,$C$176:$D190)</f>
        <v>0.29764973740544154</v>
      </c>
      <c r="K190" s="80">
        <f>DSUM($B$147:$AA$168,K$147,$C$176:$D190)</f>
        <v>0.40315051484978826</v>
      </c>
      <c r="L190" s="80">
        <f>DSUM($B$147:$AA$168,L$147,$C$176:$D190)</f>
        <v>0.52039111481581857</v>
      </c>
      <c r="M190" s="80">
        <f>DSUM($B$147:$AA$168,M$147,$C$176:$D190)</f>
        <v>0.6408807276557591</v>
      </c>
      <c r="N190" s="80">
        <f>DSUM($B$147:$AA$168,N$147,$C$176:$D190)</f>
        <v>0.752520221390795</v>
      </c>
      <c r="O190" s="80">
        <f>DSUM($B$147:$AA$168,O$147,$C$176:$D190)</f>
        <v>0.84067289150891755</v>
      </c>
      <c r="P190" s="80">
        <f>DSUM($B$147:$AA$168,P$147,$C$176:$D190)</f>
        <v>0.89050114556258975</v>
      </c>
      <c r="Q190" s="80">
        <f>DSUM($B$147:$AA$168,Q$147,$C$176:$D190)</f>
        <v>0.8904058276933623</v>
      </c>
      <c r="R190" s="80">
        <f>DSUM($B$147:$AA$168,R$147,$C$176:$D190)</f>
        <v>0.83578141743835821</v>
      </c>
      <c r="S190" s="80">
        <f>DSUM($B$147:$AA$168,S$147,$C$176:$D190)</f>
        <v>0.73171038124738697</v>
      </c>
      <c r="T190" s="80">
        <f>DSUM($B$147:$AA$168,T$147,$C$176:$D190)</f>
        <v>0.59309272583569095</v>
      </c>
      <c r="U190" s="80">
        <f>DSUM($B$147:$AA$168,U$147,$C$176:$D190)</f>
        <v>0.44142351237338434</v>
      </c>
      <c r="V190" s="80">
        <f>DSUM($B$147:$AA$168,V$147,$C$176:$D190)</f>
        <v>0.29893496844745293</v>
      </c>
      <c r="W190" s="80">
        <f>DSUM($B$147:$AA$168,W$147,$C$176:$D190)</f>
        <v>0.18237164581027138</v>
      </c>
      <c r="X190" s="80">
        <f>DSUM($B$147:$AA$168,X$147,$C$176:$D190)</f>
        <v>8.7113979227215657E-2</v>
      </c>
      <c r="Y190" s="427">
        <f>DSUM($B$147:$Y$168,Y$147,$C$176:$D190)</f>
        <v>8.7113979227215648</v>
      </c>
    </row>
    <row r="191" spans="1:25">
      <c r="B191" s="19" t="s">
        <v>122</v>
      </c>
      <c r="C191" s="79" t="s">
        <v>123</v>
      </c>
      <c r="D191" s="79" t="s">
        <v>124</v>
      </c>
      <c r="E191" s="80">
        <f>DSUM($B$147:$AA$168,E$147,$C$176:$D191)</f>
        <v>2.4232167932966689E-2</v>
      </c>
      <c r="F191" s="80">
        <f>DSUM($B$147:$AA$168,F$147,$C$176:$D191)</f>
        <v>4.823011165738289E-2</v>
      </c>
      <c r="G191" s="80">
        <f>DSUM($B$147:$AA$168,G$147,$C$176:$D191)</f>
        <v>8.5266613931204938E-2</v>
      </c>
      <c r="H191" s="80">
        <f>DSUM($B$147:$AA$168,H$147,$C$176:$D191)</f>
        <v>0.13810207817266815</v>
      </c>
      <c r="I191" s="80">
        <f>DSUM($B$147:$AA$168,I$147,$C$176:$D191)</f>
        <v>0.2087200120396365</v>
      </c>
      <c r="J191" s="80">
        <f>DSUM($B$147:$AA$168,J$147,$C$176:$D191)</f>
        <v>0.29764973740544154</v>
      </c>
      <c r="K191" s="80">
        <f>DSUM($B$147:$AA$168,K$147,$C$176:$D191)</f>
        <v>0.40315051484978826</v>
      </c>
      <c r="L191" s="80">
        <f>DSUM($B$147:$AA$168,L$147,$C$176:$D191)</f>
        <v>0.52039111481581857</v>
      </c>
      <c r="M191" s="80">
        <f>DSUM($B$147:$AA$168,M$147,$C$176:$D191)</f>
        <v>0.6408807276557591</v>
      </c>
      <c r="N191" s="80">
        <f>DSUM($B$147:$AA$168,N$147,$C$176:$D191)</f>
        <v>0.752520221390795</v>
      </c>
      <c r="O191" s="80">
        <f>DSUM($B$147:$AA$168,O$147,$C$176:$D191)</f>
        <v>0.84067289150891755</v>
      </c>
      <c r="P191" s="80">
        <f>DSUM($B$147:$AA$168,P$147,$C$176:$D191)</f>
        <v>0.89050114556258975</v>
      </c>
      <c r="Q191" s="80">
        <f>DSUM($B$147:$AA$168,Q$147,$C$176:$D191)</f>
        <v>0.8904058276933623</v>
      </c>
      <c r="R191" s="80">
        <f>DSUM($B$147:$AA$168,R$147,$C$176:$D191)</f>
        <v>0.83578141743835821</v>
      </c>
      <c r="S191" s="80">
        <f>DSUM($B$147:$AA$168,S$147,$C$176:$D191)</f>
        <v>0.73171038124738697</v>
      </c>
      <c r="T191" s="80">
        <f>DSUM($B$147:$AA$168,T$147,$C$176:$D191)</f>
        <v>0.59309272583569095</v>
      </c>
      <c r="U191" s="80">
        <f>DSUM($B$147:$AA$168,U$147,$C$176:$D191)</f>
        <v>0.44142351237338434</v>
      </c>
      <c r="V191" s="80">
        <f>DSUM($B$147:$AA$168,V$147,$C$176:$D191)</f>
        <v>0.29893496844745293</v>
      </c>
      <c r="W191" s="80">
        <f>DSUM($B$147:$AA$168,W$147,$C$176:$D191)</f>
        <v>0.18237164581027138</v>
      </c>
      <c r="X191" s="80">
        <f>DSUM($B$147:$AA$168,X$147,$C$176:$D191)</f>
        <v>8.7113979227215657E-2</v>
      </c>
      <c r="Y191" s="427">
        <f>DSUM($B$147:$Y$168,Y$147,$C$176:$D191)</f>
        <v>8.7113979227215648</v>
      </c>
    </row>
    <row r="192" spans="1:25">
      <c r="B192" s="19" t="s">
        <v>125</v>
      </c>
      <c r="C192" s="79" t="s">
        <v>126</v>
      </c>
      <c r="D192" s="79" t="s">
        <v>127</v>
      </c>
      <c r="E192" s="80">
        <f>DSUM($B$147:$AA$168,E$147,$C$176:$D192)</f>
        <v>2.4232167932966689E-2</v>
      </c>
      <c r="F192" s="80">
        <f>DSUM($B$147:$AA$168,F$147,$C$176:$D192)</f>
        <v>4.823011165738289E-2</v>
      </c>
      <c r="G192" s="80">
        <f>DSUM($B$147:$AA$168,G$147,$C$176:$D192)</f>
        <v>8.5266613931204938E-2</v>
      </c>
      <c r="H192" s="80">
        <f>DSUM($B$147:$AA$168,H$147,$C$176:$D192)</f>
        <v>0.13810207817266815</v>
      </c>
      <c r="I192" s="80">
        <f>DSUM($B$147:$AA$168,I$147,$C$176:$D192)</f>
        <v>0.2087200120396365</v>
      </c>
      <c r="J192" s="80">
        <f>DSUM($B$147:$AA$168,J$147,$C$176:$D192)</f>
        <v>0.29764973740544154</v>
      </c>
      <c r="K192" s="80">
        <f>DSUM($B$147:$AA$168,K$147,$C$176:$D192)</f>
        <v>0.40315051484978826</v>
      </c>
      <c r="L192" s="80">
        <f>DSUM($B$147:$AA$168,L$147,$C$176:$D192)</f>
        <v>0.52039111481581857</v>
      </c>
      <c r="M192" s="80">
        <f>DSUM($B$147:$AA$168,M$147,$C$176:$D192)</f>
        <v>0.6408807276557591</v>
      </c>
      <c r="N192" s="80">
        <f>DSUM($B$147:$AA$168,N$147,$C$176:$D192)</f>
        <v>0.752520221390795</v>
      </c>
      <c r="O192" s="80">
        <f>DSUM($B$147:$AA$168,O$147,$C$176:$D192)</f>
        <v>0.84067289150891755</v>
      </c>
      <c r="P192" s="80">
        <f>DSUM($B$147:$AA$168,P$147,$C$176:$D192)</f>
        <v>0.89050114556258975</v>
      </c>
      <c r="Q192" s="80">
        <f>DSUM($B$147:$AA$168,Q$147,$C$176:$D192)</f>
        <v>0.8904058276933623</v>
      </c>
      <c r="R192" s="80">
        <f>DSUM($B$147:$AA$168,R$147,$C$176:$D192)</f>
        <v>0.83578141743835821</v>
      </c>
      <c r="S192" s="80">
        <f>DSUM($B$147:$AA$168,S$147,$C$176:$D192)</f>
        <v>0.73171038124738697</v>
      </c>
      <c r="T192" s="80">
        <f>DSUM($B$147:$AA$168,T$147,$C$176:$D192)</f>
        <v>0.59309272583569095</v>
      </c>
      <c r="U192" s="80">
        <f>DSUM($B$147:$AA$168,U$147,$C$176:$D192)</f>
        <v>0.44142351237338434</v>
      </c>
      <c r="V192" s="80">
        <f>DSUM($B$147:$AA$168,V$147,$C$176:$D192)</f>
        <v>0.29893496844745293</v>
      </c>
      <c r="W192" s="80">
        <f>DSUM($B$147:$AA$168,W$147,$C$176:$D192)</f>
        <v>0.18237164581027138</v>
      </c>
      <c r="X192" s="80">
        <f>DSUM($B$147:$AA$168,X$147,$C$176:$D192)</f>
        <v>8.7113979227215657E-2</v>
      </c>
      <c r="Y192" s="427">
        <f>DSUM($B$147:$Y$168,Y$147,$C$176:$D192)</f>
        <v>8.7113979227215648</v>
      </c>
    </row>
    <row r="193" spans="2:25">
      <c r="B193" s="19" t="s">
        <v>128</v>
      </c>
      <c r="C193" s="79" t="s">
        <v>129</v>
      </c>
      <c r="D193" s="79" t="s">
        <v>130</v>
      </c>
      <c r="E193" s="80">
        <f>DSUM($B$147:$AA$168,E$147,$C$176:$D193)</f>
        <v>2.9171852204498319E-2</v>
      </c>
      <c r="F193" s="80">
        <f>DSUM($B$147:$AA$168,F$147,$C$176:$D193)</f>
        <v>5.8061734012726185E-2</v>
      </c>
      <c r="G193" s="80">
        <f>DSUM($B$147:$AA$168,G$147,$C$176:$D193)</f>
        <v>0.10264806130677068</v>
      </c>
      <c r="H193" s="80">
        <f>DSUM($B$147:$AA$168,H$147,$C$176:$D193)</f>
        <v>0.16625394082492739</v>
      </c>
      <c r="I193" s="80">
        <f>DSUM($B$147:$AA$168,I$147,$C$176:$D193)</f>
        <v>0.25126721472815217</v>
      </c>
      <c r="J193" s="80">
        <f>DSUM($B$147:$AA$168,J$147,$C$176:$D193)</f>
        <v>0.35832510621084301</v>
      </c>
      <c r="K193" s="80">
        <f>DSUM($B$147:$AA$168,K$147,$C$176:$D193)</f>
        <v>0.48533202922243024</v>
      </c>
      <c r="L193" s="80">
        <f>DSUM($B$147:$AA$168,L$147,$C$176:$D193)</f>
        <v>0.62647191666612989</v>
      </c>
      <c r="M193" s="80">
        <f>DSUM($B$147:$AA$168,M$147,$C$176:$D193)</f>
        <v>0.77152312247104304</v>
      </c>
      <c r="N193" s="80">
        <f>DSUM($B$147:$AA$168,N$147,$C$176:$D193)</f>
        <v>0.90592012815508072</v>
      </c>
      <c r="O193" s="80">
        <f>DSUM($B$147:$AA$168,O$147,$C$176:$D193)</f>
        <v>1.0120425630619163</v>
      </c>
      <c r="P193" s="80">
        <f>DSUM($B$147:$AA$168,P$147,$C$176:$D193)</f>
        <v>1.0720282179518528</v>
      </c>
      <c r="Q193" s="80">
        <f>DSUM($B$147:$AA$168,Q$147,$C$176:$D193)</f>
        <v>1.0719134697047605</v>
      </c>
      <c r="R193" s="80">
        <f>DSUM($B$147:$AA$168,R$147,$C$176:$D193)</f>
        <v>1.006153970714619</v>
      </c>
      <c r="S193" s="80">
        <f>DSUM($B$147:$AA$168,S$147,$C$176:$D193)</f>
        <v>0.88086823916429602</v>
      </c>
      <c r="T193" s="80">
        <f>DSUM($B$147:$AA$168,T$147,$C$176:$D193)</f>
        <v>0.71399362159849544</v>
      </c>
      <c r="U193" s="80">
        <f>DSUM($B$147:$AA$168,U$147,$C$176:$D193)</f>
        <v>0.53140690912050736</v>
      </c>
      <c r="V193" s="80">
        <f>DSUM($B$147:$AA$168,V$147,$C$176:$D193)</f>
        <v>0.35987232931155383</v>
      </c>
      <c r="W193" s="80">
        <f>DSUM($B$147:$AA$168,W$147,$C$176:$D193)</f>
        <v>0.21954778097384292</v>
      </c>
      <c r="X193" s="80">
        <f>DSUM($B$147:$AA$168,X$147,$C$176:$D193)</f>
        <v>0.10487200872790206</v>
      </c>
      <c r="Y193" s="427">
        <f>DSUM($B$147:$Y$168,Y$147,$C$176:$D193)</f>
        <v>10.487200872790204</v>
      </c>
    </row>
    <row r="194" spans="2:25">
      <c r="B194" s="19" t="s">
        <v>131</v>
      </c>
      <c r="C194" s="79" t="s">
        <v>132</v>
      </c>
      <c r="D194" s="79" t="s">
        <v>133</v>
      </c>
      <c r="E194" s="80">
        <f>DSUM($B$147:$AA$168,E$147,$C$176:$D194)</f>
        <v>2.9171852204498319E-2</v>
      </c>
      <c r="F194" s="80">
        <f>DSUM($B$147:$AA$168,F$147,$C$176:$D194)</f>
        <v>5.8061734012726185E-2</v>
      </c>
      <c r="G194" s="80">
        <f>DSUM($B$147:$AA$168,G$147,$C$176:$D194)</f>
        <v>0.10264806130677068</v>
      </c>
      <c r="H194" s="80">
        <f>DSUM($B$147:$AA$168,H$147,$C$176:$D194)</f>
        <v>0.16625394082492739</v>
      </c>
      <c r="I194" s="80">
        <f>DSUM($B$147:$AA$168,I$147,$C$176:$D194)</f>
        <v>0.25126721472815217</v>
      </c>
      <c r="J194" s="80">
        <f>DSUM($B$147:$AA$168,J$147,$C$176:$D194)</f>
        <v>0.35832510621084301</v>
      </c>
      <c r="K194" s="80">
        <f>DSUM($B$147:$AA$168,K$147,$C$176:$D194)</f>
        <v>0.48533202922243024</v>
      </c>
      <c r="L194" s="80">
        <f>DSUM($B$147:$AA$168,L$147,$C$176:$D194)</f>
        <v>0.62647191666612989</v>
      </c>
      <c r="M194" s="80">
        <f>DSUM($B$147:$AA$168,M$147,$C$176:$D194)</f>
        <v>0.77152312247104304</v>
      </c>
      <c r="N194" s="80">
        <f>DSUM($B$147:$AA$168,N$147,$C$176:$D194)</f>
        <v>0.90592012815508072</v>
      </c>
      <c r="O194" s="80">
        <f>DSUM($B$147:$AA$168,O$147,$C$176:$D194)</f>
        <v>1.0120425630619163</v>
      </c>
      <c r="P194" s="80">
        <f>DSUM($B$147:$AA$168,P$147,$C$176:$D194)</f>
        <v>1.0720282179518528</v>
      </c>
      <c r="Q194" s="80">
        <f>DSUM($B$147:$AA$168,Q$147,$C$176:$D194)</f>
        <v>1.0719134697047605</v>
      </c>
      <c r="R194" s="80">
        <f>DSUM($B$147:$AA$168,R$147,$C$176:$D194)</f>
        <v>1.006153970714619</v>
      </c>
      <c r="S194" s="80">
        <f>DSUM($B$147:$AA$168,S$147,$C$176:$D194)</f>
        <v>0.88086823916429602</v>
      </c>
      <c r="T194" s="80">
        <f>DSUM($B$147:$AA$168,T$147,$C$176:$D194)</f>
        <v>0.71399362159849544</v>
      </c>
      <c r="U194" s="80">
        <f>DSUM($B$147:$AA$168,U$147,$C$176:$D194)</f>
        <v>0.53140690912050736</v>
      </c>
      <c r="V194" s="80">
        <f>DSUM($B$147:$AA$168,V$147,$C$176:$D194)</f>
        <v>0.35987232931155383</v>
      </c>
      <c r="W194" s="80">
        <f>DSUM($B$147:$AA$168,W$147,$C$176:$D194)</f>
        <v>0.21954778097384292</v>
      </c>
      <c r="X194" s="80">
        <f>DSUM($B$147:$AA$168,X$147,$C$176:$D194)</f>
        <v>0.10487200872790206</v>
      </c>
      <c r="Y194" s="427">
        <f>DSUM($B$147:$Y$168,Y$147,$C$176:$D194)</f>
        <v>10.487200872790204</v>
      </c>
    </row>
    <row r="195" spans="2:25">
      <c r="B195" s="19" t="s">
        <v>134</v>
      </c>
      <c r="C195" s="79" t="s">
        <v>135</v>
      </c>
      <c r="D195" s="79" t="s">
        <v>136</v>
      </c>
      <c r="E195" s="80">
        <f>DSUM($B$147:$AA$168,E$147,$C$176:$D195)</f>
        <v>4.2571754515464723E-2</v>
      </c>
      <c r="F195" s="80">
        <f>DSUM($B$147:$AA$168,F$147,$C$176:$D195)</f>
        <v>8.4732017350301655E-2</v>
      </c>
      <c r="G195" s="80">
        <f>DSUM($B$147:$AA$168,G$147,$C$176:$D195)</f>
        <v>0.14979878674849351</v>
      </c>
      <c r="H195" s="80">
        <f>DSUM($B$147:$AA$168,H$147,$C$176:$D195)</f>
        <v>0.24262161711267746</v>
      </c>
      <c r="I195" s="80">
        <f>DSUM($B$147:$AA$168,I$147,$C$176:$D195)</f>
        <v>0.36668519051189996</v>
      </c>
      <c r="J195" s="80">
        <f>DSUM($B$147:$AA$168,J$147,$C$176:$D195)</f>
        <v>0.52291943450829537</v>
      </c>
      <c r="K195" s="80">
        <f>DSUM($B$147:$AA$168,K$147,$C$176:$D195)</f>
        <v>0.70826616910405293</v>
      </c>
      <c r="L195" s="80">
        <f>DSUM($B$147:$AA$168,L$147,$C$176:$D195)</f>
        <v>0.91423775426335852</v>
      </c>
      <c r="M195" s="80">
        <f>DSUM($B$147:$AA$168,M$147,$C$176:$D195)</f>
        <v>1.1259172966664532</v>
      </c>
      <c r="N195" s="80">
        <f>DSUM($B$147:$AA$168,N$147,$C$176:$D195)</f>
        <v>1.3220487007845678</v>
      </c>
      <c r="O195" s="80">
        <f>DSUM($B$147:$AA$168,O$147,$C$176:$D195)</f>
        <v>1.4769177922555765</v>
      </c>
      <c r="P195" s="80">
        <f>DSUM($B$147:$AA$168,P$147,$C$176:$D195)</f>
        <v>1.5644574711392494</v>
      </c>
      <c r="Q195" s="80">
        <f>DSUM($B$147:$AA$168,Q$147,$C$176:$D195)</f>
        <v>1.5642900140243552</v>
      </c>
      <c r="R195" s="80">
        <f>DSUM($B$147:$AA$168,R$147,$C$176:$D195)</f>
        <v>1.4683243129628167</v>
      </c>
      <c r="S195" s="80">
        <f>DSUM($B$147:$AA$168,S$147,$C$176:$D195)</f>
        <v>1.2854893880337681</v>
      </c>
      <c r="T195" s="80">
        <f>DSUM($B$147:$AA$168,T$147,$C$176:$D195)</f>
        <v>1.0419619903192736</v>
      </c>
      <c r="U195" s="80">
        <f>DSUM($B$147:$AA$168,U$147,$C$176:$D195)</f>
        <v>0.77550524815190303</v>
      </c>
      <c r="V195" s="80">
        <f>DSUM($B$147:$AA$168,V$147,$C$176:$D195)</f>
        <v>0.52517736456917641</v>
      </c>
      <c r="W195" s="80">
        <f>DSUM($B$147:$AA$168,W$147,$C$176:$D195)</f>
        <v>0.32039563927970999</v>
      </c>
      <c r="X195" s="80">
        <f>DSUM($B$147:$AA$168,X$147,$C$176:$D195)</f>
        <v>0.15304429008520334</v>
      </c>
      <c r="Y195" s="427">
        <f>DSUM($B$147:$Y$168,Y$147,$C$176:$D195)</f>
        <v>15.304429008520334</v>
      </c>
    </row>
    <row r="196" spans="2:25">
      <c r="B196" s="19" t="s">
        <v>137</v>
      </c>
      <c r="C196" s="79" t="s">
        <v>138</v>
      </c>
      <c r="D196" s="79" t="s">
        <v>139</v>
      </c>
      <c r="E196" s="80">
        <f>DSUM($B$147:$AA$168,E$147,$C$176:$D196)</f>
        <v>4.273134270052692E-2</v>
      </c>
      <c r="F196" s="80">
        <f>DSUM($B$147:$AA$168,F$147,$C$176:$D196)</f>
        <v>8.5049651166889631E-2</v>
      </c>
      <c r="G196" s="80">
        <f>DSUM($B$147:$AA$168,G$147,$C$176:$D196)</f>
        <v>0.15036033552123731</v>
      </c>
      <c r="H196" s="80">
        <f>DSUM($B$147:$AA$168,H$147,$C$176:$D196)</f>
        <v>0.24353112962801907</v>
      </c>
      <c r="I196" s="80">
        <f>DSUM($B$147:$AA$168,I$147,$C$176:$D196)</f>
        <v>0.36805977853884442</v>
      </c>
      <c r="J196" s="80">
        <f>DSUM($B$147:$AA$168,J$147,$C$176:$D196)</f>
        <v>0.5248796958232621</v>
      </c>
      <c r="K196" s="80">
        <f>DSUM($B$147:$AA$168,K$147,$C$176:$D196)</f>
        <v>0.71092123732369161</v>
      </c>
      <c r="L196" s="80">
        <f>DSUM($B$147:$AA$168,L$147,$C$176:$D196)</f>
        <v>0.91766494549798872</v>
      </c>
      <c r="M196" s="80">
        <f>DSUM($B$147:$AA$168,M$147,$C$176:$D196)</f>
        <v>1.1301380082615051</v>
      </c>
      <c r="N196" s="80">
        <f>DSUM($B$147:$AA$168,N$147,$C$176:$D196)</f>
        <v>1.3270046476353232</v>
      </c>
      <c r="O196" s="80">
        <f>DSUM($B$147:$AA$168,O$147,$C$176:$D196)</f>
        <v>1.4824542948647537</v>
      </c>
      <c r="P196" s="80">
        <f>DSUM($B$147:$AA$168,P$147,$C$176:$D196)</f>
        <v>1.5703221326094596</v>
      </c>
      <c r="Q196" s="80">
        <f>DSUM($B$147:$AA$168,Q$147,$C$176:$D196)</f>
        <v>1.5701540477502467</v>
      </c>
      <c r="R196" s="80">
        <f>DSUM($B$147:$AA$168,R$147,$C$176:$D196)</f>
        <v>1.4738286013074116</v>
      </c>
      <c r="S196" s="80">
        <f>DSUM($B$147:$AA$168,S$147,$C$176:$D196)</f>
        <v>1.2903082854620733</v>
      </c>
      <c r="T196" s="80">
        <f>DSUM($B$147:$AA$168,T$147,$C$176:$D196)</f>
        <v>1.0458679797442205</v>
      </c>
      <c r="U196" s="80">
        <f>DSUM($B$147:$AA$168,U$147,$C$176:$D196)</f>
        <v>0.77841237463676072</v>
      </c>
      <c r="V196" s="80">
        <f>DSUM($B$147:$AA$168,V$147,$C$176:$D196)</f>
        <v>0.5271460901573336</v>
      </c>
      <c r="W196" s="80">
        <f>DSUM($B$147:$AA$168,W$147,$C$176:$D196)</f>
        <v>0.32159670226516707</v>
      </c>
      <c r="X196" s="80">
        <f>DSUM($B$147:$AA$168,X$147,$C$176:$D196)</f>
        <v>0.15361800523429256</v>
      </c>
      <c r="Y196" s="427">
        <f>DSUM($B$147:$Y$168,Y$147,$C$176:$D196)</f>
        <v>15.361800523429254</v>
      </c>
    </row>
    <row r="197" spans="2:25">
      <c r="B197" s="19" t="s">
        <v>140</v>
      </c>
      <c r="C197" s="79" t="s">
        <v>141</v>
      </c>
      <c r="D197" s="79" t="s">
        <v>142</v>
      </c>
      <c r="E197" s="80">
        <f>DSUM($B$147:$AA$168,E$147,$C$176:$D197)</f>
        <v>4.6362145237722023E-2</v>
      </c>
      <c r="F197" s="80">
        <f>DSUM($B$147:$AA$168,F$147,$C$176:$D197)</f>
        <v>9.2276161492306899E-2</v>
      </c>
      <c r="G197" s="80">
        <f>DSUM($B$147:$AA$168,G$147,$C$176:$D197)</f>
        <v>0.16313617295583505</v>
      </c>
      <c r="H197" s="80">
        <f>DSUM($B$147:$AA$168,H$147,$C$176:$D197)</f>
        <v>0.2642235157656655</v>
      </c>
      <c r="I197" s="80">
        <f>DSUM($B$147:$AA$168,I$147,$C$176:$D197)</f>
        <v>0.39933313185057706</v>
      </c>
      <c r="J197" s="80">
        <f>DSUM($B$147:$AA$168,J$147,$C$176:$D197)</f>
        <v>0.56947774519122163</v>
      </c>
      <c r="K197" s="80">
        <f>DSUM($B$147:$AA$168,K$147,$C$176:$D197)</f>
        <v>0.77132688968782659</v>
      </c>
      <c r="L197" s="80">
        <f>DSUM($B$147:$AA$168,L$147,$C$176:$D197)</f>
        <v>0.99563722537132893</v>
      </c>
      <c r="M197" s="80">
        <f>DSUM($B$147:$AA$168,M$147,$C$176:$D197)</f>
        <v>1.2261637282238667</v>
      </c>
      <c r="N197" s="80">
        <f>DSUM($B$147:$AA$168,N$147,$C$176:$D197)</f>
        <v>1.4397577589819655</v>
      </c>
      <c r="O197" s="80">
        <f>DSUM($B$147:$AA$168,O$147,$C$176:$D197)</f>
        <v>1.608415672975261</v>
      </c>
      <c r="P197" s="80">
        <f>DSUM($B$147:$AA$168,P$147,$C$176:$D197)</f>
        <v>1.7037494771057458</v>
      </c>
      <c r="Q197" s="80">
        <f>DSUM($B$147:$AA$168,Q$147,$C$176:$D197)</f>
        <v>1.7035671103893588</v>
      </c>
      <c r="R197" s="80">
        <f>DSUM($B$147:$AA$168,R$147,$C$176:$D197)</f>
        <v>1.599057070314815</v>
      </c>
      <c r="S197" s="80">
        <f>DSUM($B$147:$AA$168,S$147,$C$176:$D197)</f>
        <v>1.3999433753175998</v>
      </c>
      <c r="T197" s="80">
        <f>DSUM($B$147:$AA$168,T$147,$C$176:$D197)</f>
        <v>1.1347334324644693</v>
      </c>
      <c r="U197" s="80">
        <f>DSUM($B$147:$AA$168,U$147,$C$176:$D197)</f>
        <v>0.84455262313357127</v>
      </c>
      <c r="V197" s="80">
        <f>DSUM($B$147:$AA$168,V$147,$C$176:$D197)</f>
        <v>0.57193671082725517</v>
      </c>
      <c r="W197" s="80">
        <f>DSUM($B$147:$AA$168,W$147,$C$176:$D197)</f>
        <v>0.34892217459401925</v>
      </c>
      <c r="X197" s="80">
        <f>DSUM($B$147:$AA$168,X$147,$C$176:$D197)</f>
        <v>0.16667064079204777</v>
      </c>
      <c r="Y197" s="427">
        <f>DSUM($B$147:$Y$168,Y$147,$C$176:$D197)</f>
        <v>16.667064079204778</v>
      </c>
    </row>
    <row r="198" spans="2:25">
      <c r="B198" s="19" t="s">
        <v>143</v>
      </c>
      <c r="C198" s="79" t="s">
        <v>144</v>
      </c>
      <c r="D198" s="79" t="s">
        <v>145</v>
      </c>
      <c r="E198" s="80">
        <f>DSUM($B$147:$AA$168,E$147,$C$176:$D198)</f>
        <v>4.6362145237722023E-2</v>
      </c>
      <c r="F198" s="80">
        <f>DSUM($B$147:$AA$168,F$147,$C$176:$D198)</f>
        <v>9.2276161492306899E-2</v>
      </c>
      <c r="G198" s="80">
        <f>DSUM($B$147:$AA$168,G$147,$C$176:$D198)</f>
        <v>0.16313617295583505</v>
      </c>
      <c r="H198" s="80">
        <f>DSUM($B$147:$AA$168,H$147,$C$176:$D198)</f>
        <v>0.2642235157656655</v>
      </c>
      <c r="I198" s="80">
        <f>DSUM($B$147:$AA$168,I$147,$C$176:$D198)</f>
        <v>0.39933313185057706</v>
      </c>
      <c r="J198" s="80">
        <f>DSUM($B$147:$AA$168,J$147,$C$176:$D198)</f>
        <v>0.56947774519122163</v>
      </c>
      <c r="K198" s="80">
        <f>DSUM($B$147:$AA$168,K$147,$C$176:$D198)</f>
        <v>0.77132688968782659</v>
      </c>
      <c r="L198" s="80">
        <f>DSUM($B$147:$AA$168,L$147,$C$176:$D198)</f>
        <v>0.99563722537132893</v>
      </c>
      <c r="M198" s="80">
        <f>DSUM($B$147:$AA$168,M$147,$C$176:$D198)</f>
        <v>1.2261637282238667</v>
      </c>
      <c r="N198" s="80">
        <f>DSUM($B$147:$AA$168,N$147,$C$176:$D198)</f>
        <v>1.4397577589819655</v>
      </c>
      <c r="O198" s="80">
        <f>DSUM($B$147:$AA$168,O$147,$C$176:$D198)</f>
        <v>1.608415672975261</v>
      </c>
      <c r="P198" s="80">
        <f>DSUM($B$147:$AA$168,P$147,$C$176:$D198)</f>
        <v>1.7037494771057458</v>
      </c>
      <c r="Q198" s="80">
        <f>DSUM($B$147:$AA$168,Q$147,$C$176:$D198)</f>
        <v>1.7035671103893588</v>
      </c>
      <c r="R198" s="80">
        <f>DSUM($B$147:$AA$168,R$147,$C$176:$D198)</f>
        <v>1.599057070314815</v>
      </c>
      <c r="S198" s="80">
        <f>DSUM($B$147:$AA$168,S$147,$C$176:$D198)</f>
        <v>1.3999433753175998</v>
      </c>
      <c r="T198" s="80">
        <f>DSUM($B$147:$AA$168,T$147,$C$176:$D198)</f>
        <v>1.1347334324644693</v>
      </c>
      <c r="U198" s="80">
        <f>DSUM($B$147:$AA$168,U$147,$C$176:$D198)</f>
        <v>0.84455262313357127</v>
      </c>
      <c r="V198" s="80">
        <f>DSUM($B$147:$AA$168,V$147,$C$176:$D198)</f>
        <v>0.57193671082725517</v>
      </c>
      <c r="W198" s="80">
        <f>DSUM($B$147:$AA$168,W$147,$C$176:$D198)</f>
        <v>0.34892217459401925</v>
      </c>
      <c r="X198" s="80">
        <f>DSUM($B$147:$AA$168,X$147,$C$176:$D198)</f>
        <v>0.16667064079204777</v>
      </c>
      <c r="Y198" s="427">
        <f>DSUM($B$147:$Y$168,Y$147,$C$176:$D198)</f>
        <v>16.667064079204778</v>
      </c>
    </row>
    <row r="199" spans="2:25">
      <c r="B199" s="19" t="s">
        <v>146</v>
      </c>
      <c r="C199" s="79" t="s">
        <v>147</v>
      </c>
      <c r="D199" s="79" t="s">
        <v>148</v>
      </c>
      <c r="E199" s="80">
        <f>DSUM($B$147:$AA$168,E$147,$C$176:$D199)</f>
        <v>4.9821885818409732E-2</v>
      </c>
      <c r="F199" s="80">
        <f>DSUM($B$147:$AA$168,F$147,$C$176:$D199)</f>
        <v>9.9162201361861338E-2</v>
      </c>
      <c r="G199" s="80">
        <f>DSUM($B$147:$AA$168,G$147,$C$176:$D199)</f>
        <v>0.1753100884392404</v>
      </c>
      <c r="H199" s="80">
        <f>DSUM($B$147:$AA$168,H$147,$C$176:$D199)</f>
        <v>0.28394099896621994</v>
      </c>
      <c r="I199" s="80">
        <f>DSUM($B$147:$AA$168,I$147,$C$176:$D199)</f>
        <v>0.42913306958841158</v>
      </c>
      <c r="J199" s="80">
        <f>DSUM($B$147:$AA$168,J$147,$C$176:$D199)</f>
        <v>0.61197459805974552</v>
      </c>
      <c r="K199" s="80">
        <f>DSUM($B$147:$AA$168,K$147,$C$176:$D199)</f>
        <v>0.82888658472664323</v>
      </c>
      <c r="L199" s="80">
        <f>DSUM($B$147:$AA$168,L$147,$C$176:$D199)</f>
        <v>1.0699359122547349</v>
      </c>
      <c r="M199" s="80">
        <f>DSUM($B$147:$AA$168,M$147,$C$176:$D199)</f>
        <v>1.3176652838001135</v>
      </c>
      <c r="N199" s="80">
        <f>DSUM($B$147:$AA$168,N$147,$C$176:$D199)</f>
        <v>1.5471986101239659</v>
      </c>
      <c r="O199" s="80">
        <f>DSUM($B$147:$AA$168,O$147,$C$176:$D199)</f>
        <v>1.7284424954157158</v>
      </c>
      <c r="P199" s="80">
        <f>DSUM($B$147:$AA$168,P$147,$C$176:$D199)</f>
        <v>1.8308905137218037</v>
      </c>
      <c r="Q199" s="80">
        <f>DSUM($B$147:$AA$168,Q$147,$C$176:$D199)</f>
        <v>1.8306945380249433</v>
      </c>
      <c r="R199" s="80">
        <f>DSUM($B$147:$AA$168,R$147,$C$176:$D199)</f>
        <v>1.7183855139974091</v>
      </c>
      <c r="S199" s="80">
        <f>DSUM($B$147:$AA$168,S$147,$C$176:$D199)</f>
        <v>1.5044131077127785</v>
      </c>
      <c r="T199" s="80">
        <f>DSUM($B$147:$AA$168,T$147,$C$176:$D199)</f>
        <v>1.2194120702718962</v>
      </c>
      <c r="U199" s="80">
        <f>DSUM($B$147:$AA$168,U$147,$C$176:$D199)</f>
        <v>0.90757673402833783</v>
      </c>
      <c r="V199" s="80">
        <f>DSUM($B$147:$AA$168,V$147,$C$176:$D199)</f>
        <v>0.61461706217614231</v>
      </c>
      <c r="W199" s="80">
        <f>DSUM($B$147:$AA$168,W$147,$C$176:$D199)</f>
        <v>0.37496023216782026</v>
      </c>
      <c r="X199" s="80">
        <f>DSUM($B$147:$AA$168,X$147,$C$176:$D199)</f>
        <v>0.17910831330700072</v>
      </c>
      <c r="Y199" s="427">
        <f>DSUM($B$147:$Y$168,Y$147,$C$176:$D199)</f>
        <v>17.910831330700073</v>
      </c>
    </row>
    <row r="200" spans="2:25">
      <c r="B200" s="19" t="s">
        <v>149</v>
      </c>
      <c r="C200" s="79" t="s">
        <v>150</v>
      </c>
      <c r="D200" s="79" t="s">
        <v>151</v>
      </c>
      <c r="E200" s="80">
        <f>DSUM($B$147:$AA$168,E$147,$C$176:$D200)</f>
        <v>6.5923551447596013E-2</v>
      </c>
      <c r="F200" s="80">
        <f>DSUM($B$147:$AA$168,F$147,$C$176:$D200)</f>
        <v>0.13120989652944851</v>
      </c>
      <c r="G200" s="80">
        <f>DSUM($B$147:$AA$168,G$147,$C$176:$D200)</f>
        <v>0.23196760710001882</v>
      </c>
      <c r="H200" s="80">
        <f>DSUM($B$147:$AA$168,H$147,$C$176:$D200)</f>
        <v>0.37570635366264576</v>
      </c>
      <c r="I200" s="80">
        <f>DSUM($B$147:$AA$168,I$147,$C$176:$D200)</f>
        <v>0.56782226377354439</v>
      </c>
      <c r="J200" s="80">
        <f>DSUM($B$147:$AA$168,J$147,$C$176:$D200)</f>
        <v>0.80975535624759809</v>
      </c>
      <c r="K200" s="80">
        <f>DSUM($B$147:$AA$168,K$147,$C$176:$D200)</f>
        <v>1.0967699539036266</v>
      </c>
      <c r="L200" s="80">
        <f>DSUM($B$147:$AA$168,L$147,$C$176:$D200)</f>
        <v>1.4157227089764737</v>
      </c>
      <c r="M200" s="80">
        <f>DSUM($B$147:$AA$168,M$147,$C$176:$D200)</f>
        <v>1.7435143953384908</v>
      </c>
      <c r="N200" s="80">
        <f>DSUM($B$147:$AA$168,N$147,$C$176:$D200)</f>
        <v>2.0472293551053693</v>
      </c>
      <c r="O200" s="80">
        <f>DSUM($B$147:$AA$168,O$147,$C$176:$D200)</f>
        <v>2.2870484707474725</v>
      </c>
      <c r="P200" s="80">
        <f>DSUM($B$147:$AA$168,P$147,$C$176:$D200)</f>
        <v>2.4226061096156917</v>
      </c>
      <c r="Q200" s="80">
        <f>DSUM($B$147:$AA$168,Q$147,$C$176:$D200)</f>
        <v>2.4223467975940323</v>
      </c>
      <c r="R200" s="80">
        <f>DSUM($B$147:$AA$168,R$147,$C$176:$D200)</f>
        <v>2.2737412279354747</v>
      </c>
      <c r="S200" s="80">
        <f>DSUM($B$147:$AA$168,S$147,$C$176:$D200)</f>
        <v>1.9906162377357148</v>
      </c>
      <c r="T200" s="80">
        <f>DSUM($B$147:$AA$168,T$147,$C$176:$D200)</f>
        <v>1.6135072575009732</v>
      </c>
      <c r="U200" s="80">
        <f>DSUM($B$147:$AA$168,U$147,$C$176:$D200)</f>
        <v>1.2008915466674326</v>
      </c>
      <c r="V200" s="80">
        <f>DSUM($B$147:$AA$168,V$147,$C$176:$D200)</f>
        <v>0.81325182404009844</v>
      </c>
      <c r="W200" s="80">
        <f>DSUM($B$147:$AA$168,W$147,$C$176:$D200)</f>
        <v>0.49614160022389214</v>
      </c>
      <c r="X200" s="80">
        <f>DSUM($B$147:$AA$168,X$147,$C$176:$D200)</f>
        <v>0.23699335970585089</v>
      </c>
      <c r="Y200" s="427">
        <f>DSUM($B$147:$Y$168,Y$147,$C$176:$D200)</f>
        <v>23.699335970585093</v>
      </c>
    </row>
    <row r="201" spans="2:25">
      <c r="B201" s="19" t="s">
        <v>152</v>
      </c>
      <c r="C201" s="79" t="s">
        <v>153</v>
      </c>
      <c r="D201" s="79" t="s">
        <v>154</v>
      </c>
      <c r="E201" s="80">
        <f>DSUM($B$147:$AA$168,E$147,$C$176:$D201)</f>
        <v>6.5923551447596013E-2</v>
      </c>
      <c r="F201" s="80">
        <f>DSUM($B$147:$AA$168,F$147,$C$176:$D201)</f>
        <v>0.13120989652944851</v>
      </c>
      <c r="G201" s="80">
        <f>DSUM($B$147:$AA$168,G$147,$C$176:$D201)</f>
        <v>0.23196760710001882</v>
      </c>
      <c r="H201" s="80">
        <f>DSUM($B$147:$AA$168,H$147,$C$176:$D201)</f>
        <v>0.37570635366264576</v>
      </c>
      <c r="I201" s="80">
        <f>DSUM($B$147:$AA$168,I$147,$C$176:$D201)</f>
        <v>0.56782226377354439</v>
      </c>
      <c r="J201" s="80">
        <f>DSUM($B$147:$AA$168,J$147,$C$176:$D201)</f>
        <v>0.80975535624759809</v>
      </c>
      <c r="K201" s="80">
        <f>DSUM($B$147:$AA$168,K$147,$C$176:$D201)</f>
        <v>1.0967699539036266</v>
      </c>
      <c r="L201" s="80">
        <f>DSUM($B$147:$AA$168,L$147,$C$176:$D201)</f>
        <v>1.4157227089764737</v>
      </c>
      <c r="M201" s="80">
        <f>DSUM($B$147:$AA$168,M$147,$C$176:$D201)</f>
        <v>1.7435143953384908</v>
      </c>
      <c r="N201" s="80">
        <f>DSUM($B$147:$AA$168,N$147,$C$176:$D201)</f>
        <v>2.0472293551053693</v>
      </c>
      <c r="O201" s="80">
        <f>DSUM($B$147:$AA$168,O$147,$C$176:$D201)</f>
        <v>2.2870484707474725</v>
      </c>
      <c r="P201" s="80">
        <f>DSUM($B$147:$AA$168,P$147,$C$176:$D201)</f>
        <v>2.4226061096156917</v>
      </c>
      <c r="Q201" s="80">
        <f>DSUM($B$147:$AA$168,Q$147,$C$176:$D201)</f>
        <v>2.4223467975940323</v>
      </c>
      <c r="R201" s="80">
        <f>DSUM($B$147:$AA$168,R$147,$C$176:$D201)</f>
        <v>2.2737412279354747</v>
      </c>
      <c r="S201" s="80">
        <f>DSUM($B$147:$AA$168,S$147,$C$176:$D201)</f>
        <v>1.9906162377357148</v>
      </c>
      <c r="T201" s="80">
        <f>DSUM($B$147:$AA$168,T$147,$C$176:$D201)</f>
        <v>1.6135072575009732</v>
      </c>
      <c r="U201" s="80">
        <f>DSUM($B$147:$AA$168,U$147,$C$176:$D201)</f>
        <v>1.2008915466674326</v>
      </c>
      <c r="V201" s="80">
        <f>DSUM($B$147:$AA$168,V$147,$C$176:$D201)</f>
        <v>0.81325182404009844</v>
      </c>
      <c r="W201" s="80">
        <f>DSUM($B$147:$AA$168,W$147,$C$176:$D201)</f>
        <v>0.49614160022389214</v>
      </c>
      <c r="X201" s="80">
        <f>DSUM($B$147:$AA$168,X$147,$C$176:$D201)</f>
        <v>0.23699335970585089</v>
      </c>
      <c r="Y201" s="427">
        <f>DSUM($B$147:$Y$168,Y$147,$C$176:$D201)</f>
        <v>23.699335970585093</v>
      </c>
    </row>
    <row r="202" spans="2:25">
      <c r="B202" s="19" t="s">
        <v>155</v>
      </c>
      <c r="C202" s="79" t="s">
        <v>156</v>
      </c>
      <c r="D202" s="79" t="s">
        <v>157</v>
      </c>
      <c r="E202" s="80">
        <f>DSUM($B$147:$AA$168,E$147,$C$176:$D202)</f>
        <v>6.5923551447596013E-2</v>
      </c>
      <c r="F202" s="80">
        <f>DSUM($B$147:$AA$168,F$147,$C$176:$D202)</f>
        <v>0.13120989652944851</v>
      </c>
      <c r="G202" s="80">
        <f>DSUM($B$147:$AA$168,G$147,$C$176:$D202)</f>
        <v>0.23196760710001882</v>
      </c>
      <c r="H202" s="80">
        <f>DSUM($B$147:$AA$168,H$147,$C$176:$D202)</f>
        <v>0.37570635366264576</v>
      </c>
      <c r="I202" s="80">
        <f>DSUM($B$147:$AA$168,I$147,$C$176:$D202)</f>
        <v>0.56782226377354439</v>
      </c>
      <c r="J202" s="80">
        <f>DSUM($B$147:$AA$168,J$147,$C$176:$D202)</f>
        <v>0.80975535624759809</v>
      </c>
      <c r="K202" s="80">
        <f>DSUM($B$147:$AA$168,K$147,$C$176:$D202)</f>
        <v>1.0967699539036266</v>
      </c>
      <c r="L202" s="80">
        <f>DSUM($B$147:$AA$168,L$147,$C$176:$D202)</f>
        <v>1.4157227089764737</v>
      </c>
      <c r="M202" s="80">
        <f>DSUM($B$147:$AA$168,M$147,$C$176:$D202)</f>
        <v>1.7435143953384908</v>
      </c>
      <c r="N202" s="80">
        <f>DSUM($B$147:$AA$168,N$147,$C$176:$D202)</f>
        <v>2.0472293551053693</v>
      </c>
      <c r="O202" s="80">
        <f>DSUM($B$147:$AA$168,O$147,$C$176:$D202)</f>
        <v>2.2870484707474725</v>
      </c>
      <c r="P202" s="80">
        <f>DSUM($B$147:$AA$168,P$147,$C$176:$D202)</f>
        <v>2.4226061096156917</v>
      </c>
      <c r="Q202" s="80">
        <f>DSUM($B$147:$AA$168,Q$147,$C$176:$D202)</f>
        <v>2.4223467975940323</v>
      </c>
      <c r="R202" s="80">
        <f>DSUM($B$147:$AA$168,R$147,$C$176:$D202)</f>
        <v>2.2737412279354747</v>
      </c>
      <c r="S202" s="80">
        <f>DSUM($B$147:$AA$168,S$147,$C$176:$D202)</f>
        <v>1.9906162377357148</v>
      </c>
      <c r="T202" s="80">
        <f>DSUM($B$147:$AA$168,T$147,$C$176:$D202)</f>
        <v>1.6135072575009732</v>
      </c>
      <c r="U202" s="80">
        <f>DSUM($B$147:$AA$168,U$147,$C$176:$D202)</f>
        <v>1.2008915466674326</v>
      </c>
      <c r="V202" s="80">
        <f>DSUM($B$147:$AA$168,V$147,$C$176:$D202)</f>
        <v>0.81325182404009844</v>
      </c>
      <c r="W202" s="80">
        <f>DSUM($B$147:$AA$168,W$147,$C$176:$D202)</f>
        <v>0.49614160022389214</v>
      </c>
      <c r="X202" s="80">
        <f>DSUM($B$147:$AA$168,X$147,$C$176:$D202)</f>
        <v>0.23699335970585089</v>
      </c>
      <c r="Y202" s="427">
        <f>DSUM($B$147:$Y$168,Y$147,$C$176:$D202)</f>
        <v>23.699335970585093</v>
      </c>
    </row>
    <row r="203" spans="2:25">
      <c r="B203" s="19" t="s">
        <v>158</v>
      </c>
      <c r="C203" s="79" t="s">
        <v>159</v>
      </c>
      <c r="D203" s="79" t="s">
        <v>160</v>
      </c>
      <c r="E203" s="80">
        <f>DSUM($B$147:$AA$168,E$147,$C$176:$D203)</f>
        <v>6.5923551447596013E-2</v>
      </c>
      <c r="F203" s="80">
        <f>DSUM($B$147:$AA$168,F$147,$C$176:$D203)</f>
        <v>0.13120989652944851</v>
      </c>
      <c r="G203" s="80">
        <f>DSUM($B$147:$AA$168,G$147,$C$176:$D203)</f>
        <v>0.23196760710001882</v>
      </c>
      <c r="H203" s="80">
        <f>DSUM($B$147:$AA$168,H$147,$C$176:$D203)</f>
        <v>0.37570635366264576</v>
      </c>
      <c r="I203" s="80">
        <f>DSUM($B$147:$AA$168,I$147,$C$176:$D203)</f>
        <v>0.56782226377354439</v>
      </c>
      <c r="J203" s="80">
        <f>DSUM($B$147:$AA$168,J$147,$C$176:$D203)</f>
        <v>0.80975535624759809</v>
      </c>
      <c r="K203" s="80">
        <f>DSUM($B$147:$AA$168,K$147,$C$176:$D203)</f>
        <v>1.0967699539036266</v>
      </c>
      <c r="L203" s="80">
        <f>DSUM($B$147:$AA$168,L$147,$C$176:$D203)</f>
        <v>1.4157227089764737</v>
      </c>
      <c r="M203" s="80">
        <f>DSUM($B$147:$AA$168,M$147,$C$176:$D203)</f>
        <v>1.7435143953384908</v>
      </c>
      <c r="N203" s="80">
        <f>DSUM($B$147:$AA$168,N$147,$C$176:$D203)</f>
        <v>2.0472293551053693</v>
      </c>
      <c r="O203" s="80">
        <f>DSUM($B$147:$AA$168,O$147,$C$176:$D203)</f>
        <v>2.2870484707474725</v>
      </c>
      <c r="P203" s="80">
        <f>DSUM($B$147:$AA$168,P$147,$C$176:$D203)</f>
        <v>2.4226061096156917</v>
      </c>
      <c r="Q203" s="80">
        <f>DSUM($B$147:$AA$168,Q$147,$C$176:$D203)</f>
        <v>2.4223467975940323</v>
      </c>
      <c r="R203" s="80">
        <f>DSUM($B$147:$AA$168,R$147,$C$176:$D203)</f>
        <v>2.2737412279354747</v>
      </c>
      <c r="S203" s="80">
        <f>DSUM($B$147:$AA$168,S$147,$C$176:$D203)</f>
        <v>1.9906162377357148</v>
      </c>
      <c r="T203" s="80">
        <f>DSUM($B$147:$AA$168,T$147,$C$176:$D203)</f>
        <v>1.6135072575009732</v>
      </c>
      <c r="U203" s="80">
        <f>DSUM($B$147:$AA$168,U$147,$C$176:$D203)</f>
        <v>1.2008915466674326</v>
      </c>
      <c r="V203" s="80">
        <f>DSUM($B$147:$AA$168,V$147,$C$176:$D203)</f>
        <v>0.81325182404009844</v>
      </c>
      <c r="W203" s="80">
        <f>DSUM($B$147:$AA$168,W$147,$C$176:$D203)</f>
        <v>0.49614160022389214</v>
      </c>
      <c r="X203" s="80">
        <f>DSUM($B$147:$AA$168,X$147,$C$176:$D203)</f>
        <v>0.23699335970585089</v>
      </c>
      <c r="Y203" s="427">
        <f>DSUM($B$147:$Y$168,Y$147,$C$176:$D203)</f>
        <v>23.699335970585093</v>
      </c>
    </row>
    <row r="204" spans="2:25">
      <c r="B204" s="19" t="s">
        <v>161</v>
      </c>
      <c r="C204" s="79" t="s">
        <v>162</v>
      </c>
      <c r="D204" s="79" t="s">
        <v>163</v>
      </c>
      <c r="E204" s="80">
        <f>DSUM($B$147:$AA$168,E$147,$C$176:$D204)</f>
        <v>7.3267226227905408E-2</v>
      </c>
      <c r="F204" s="80">
        <f>DSUM($B$147:$AA$168,F$147,$C$176:$D204)</f>
        <v>0.14582626331964293</v>
      </c>
      <c r="G204" s="80">
        <f>DSUM($B$147:$AA$168,G$147,$C$176:$D204)</f>
        <v>0.25780806363948894</v>
      </c>
      <c r="H204" s="80">
        <f>DSUM($B$147:$AA$168,H$147,$C$176:$D204)</f>
        <v>0.41755885119363223</v>
      </c>
      <c r="I204" s="80">
        <f>DSUM($B$147:$AA$168,I$147,$C$176:$D204)</f>
        <v>0.6310758650526973</v>
      </c>
      <c r="J204" s="80">
        <f>DSUM($B$147:$AA$168,J$147,$C$176:$D204)</f>
        <v>0.89995953756545355</v>
      </c>
      <c r="K204" s="80">
        <f>DSUM($B$147:$AA$168,K$147,$C$176:$D204)</f>
        <v>1.2189466521157324</v>
      </c>
      <c r="L204" s="80">
        <f>DSUM($B$147:$AA$168,L$147,$C$176:$D204)</f>
        <v>1.5734297336364893</v>
      </c>
      <c r="M204" s="80">
        <f>DSUM($B$147:$AA$168,M$147,$C$176:$D204)</f>
        <v>1.9377363753896062</v>
      </c>
      <c r="N204" s="80">
        <f>DSUM($B$147:$AA$168,N$147,$C$176:$D204)</f>
        <v>2.2752842194818332</v>
      </c>
      <c r="O204" s="80">
        <f>DSUM($B$147:$AA$168,O$147,$C$176:$D204)</f>
        <v>2.5418184248408036</v>
      </c>
      <c r="P204" s="80">
        <f>DSUM($B$147:$AA$168,P$147,$C$176:$D204)</f>
        <v>2.6924767552217697</v>
      </c>
      <c r="Q204" s="80">
        <f>DSUM($B$147:$AA$168,Q$147,$C$176:$D204)</f>
        <v>2.6921885566624177</v>
      </c>
      <c r="R204" s="80">
        <f>DSUM($B$147:$AA$168,R$147,$C$176:$D204)</f>
        <v>2.5270287973379322</v>
      </c>
      <c r="S204" s="80">
        <f>DSUM($B$147:$AA$168,S$147,$C$176:$D204)</f>
        <v>2.2123645801919705</v>
      </c>
      <c r="T204" s="80">
        <f>DSUM($B$147:$AA$168,T$147,$C$176:$D204)</f>
        <v>1.7932468542697415</v>
      </c>
      <c r="U204" s="80">
        <f>DSUM($B$147:$AA$168,U$147,$C$176:$D204)</f>
        <v>1.334667060448099</v>
      </c>
      <c r="V204" s="80">
        <f>DSUM($B$147:$AA$168,V$147,$C$176:$D204)</f>
        <v>0.90384550079295589</v>
      </c>
      <c r="W204" s="80">
        <f>DSUM($B$147:$AA$168,W$147,$C$176:$D204)</f>
        <v>0.55141020267354679</v>
      </c>
      <c r="X204" s="80">
        <f>DSUM($B$147:$AA$168,X$147,$C$176:$D204)</f>
        <v>0.26339366916363444</v>
      </c>
      <c r="Y204" s="427">
        <f>DSUM($B$147:$Y$168,Y$147,$C$176:$D204)</f>
        <v>26.339366916363449</v>
      </c>
    </row>
    <row r="205" spans="2:25">
      <c r="B205" s="19" t="s">
        <v>164</v>
      </c>
      <c r="C205" s="79" t="s">
        <v>165</v>
      </c>
      <c r="D205" s="79" t="s">
        <v>166</v>
      </c>
      <c r="E205" s="80">
        <f>DSUM($B$147:$AA$168,E$147,$C$176:$D205)</f>
        <v>7.3267226227905408E-2</v>
      </c>
      <c r="F205" s="80">
        <f>DSUM($B$147:$AA$168,F$147,$C$176:$D205)</f>
        <v>0.14582626331964293</v>
      </c>
      <c r="G205" s="80">
        <f>DSUM($B$147:$AA$168,G$147,$C$176:$D205)</f>
        <v>0.25780806363948894</v>
      </c>
      <c r="H205" s="80">
        <f>DSUM($B$147:$AA$168,H$147,$C$176:$D205)</f>
        <v>0.41755885119363223</v>
      </c>
      <c r="I205" s="80">
        <f>DSUM($B$147:$AA$168,I$147,$C$176:$D205)</f>
        <v>0.6310758650526973</v>
      </c>
      <c r="J205" s="80">
        <f>DSUM($B$147:$AA$168,J$147,$C$176:$D205)</f>
        <v>0.89995953756545355</v>
      </c>
      <c r="K205" s="80">
        <f>DSUM($B$147:$AA$168,K$147,$C$176:$D205)</f>
        <v>1.2189466521157324</v>
      </c>
      <c r="L205" s="80">
        <f>DSUM($B$147:$AA$168,L$147,$C$176:$D205)</f>
        <v>1.5734297336364893</v>
      </c>
      <c r="M205" s="80">
        <f>DSUM($B$147:$AA$168,M$147,$C$176:$D205)</f>
        <v>1.9377363753896062</v>
      </c>
      <c r="N205" s="80">
        <f>DSUM($B$147:$AA$168,N$147,$C$176:$D205)</f>
        <v>2.2752842194818332</v>
      </c>
      <c r="O205" s="80">
        <f>DSUM($B$147:$AA$168,O$147,$C$176:$D205)</f>
        <v>2.5418184248408036</v>
      </c>
      <c r="P205" s="80">
        <f>DSUM($B$147:$AA$168,P$147,$C$176:$D205)</f>
        <v>2.6924767552217697</v>
      </c>
      <c r="Q205" s="80">
        <f>DSUM($B$147:$AA$168,Q$147,$C$176:$D205)</f>
        <v>2.6921885566624177</v>
      </c>
      <c r="R205" s="80">
        <f>DSUM($B$147:$AA$168,R$147,$C$176:$D205)</f>
        <v>2.5270287973379322</v>
      </c>
      <c r="S205" s="80">
        <f>DSUM($B$147:$AA$168,S$147,$C$176:$D205)</f>
        <v>2.2123645801919705</v>
      </c>
      <c r="T205" s="80">
        <f>DSUM($B$147:$AA$168,T$147,$C$176:$D205)</f>
        <v>1.7932468542697415</v>
      </c>
      <c r="U205" s="80">
        <f>DSUM($B$147:$AA$168,U$147,$C$176:$D205)</f>
        <v>1.334667060448099</v>
      </c>
      <c r="V205" s="80">
        <f>DSUM($B$147:$AA$168,V$147,$C$176:$D205)</f>
        <v>0.90384550079295589</v>
      </c>
      <c r="W205" s="80">
        <f>DSUM($B$147:$AA$168,W$147,$C$176:$D205)</f>
        <v>0.55141020267354679</v>
      </c>
      <c r="X205" s="80">
        <f>DSUM($B$147:$AA$168,X$147,$C$176:$D205)</f>
        <v>0.26339366916363444</v>
      </c>
      <c r="Y205" s="427">
        <f>DSUM($B$147:$Y$168,Y$147,$C$176:$D205)</f>
        <v>26.339366916363449</v>
      </c>
    </row>
    <row r="206" spans="2:25">
      <c r="B206" s="19" t="s">
        <v>167</v>
      </c>
      <c r="C206" s="79" t="s">
        <v>168</v>
      </c>
      <c r="D206" s="79" t="s">
        <v>169</v>
      </c>
      <c r="E206" s="80">
        <f>DSUM($B$147:$AA$168,E$147,$C$176:$D206)</f>
        <v>7.3267226227905408E-2</v>
      </c>
      <c r="F206" s="80">
        <f>DSUM($B$147:$AA$168,F$147,$C$176:$D206)</f>
        <v>0.14582626331964293</v>
      </c>
      <c r="G206" s="80">
        <f>DSUM($B$147:$AA$168,G$147,$C$176:$D206)</f>
        <v>0.25780806363948894</v>
      </c>
      <c r="H206" s="80">
        <f>DSUM($B$147:$AA$168,H$147,$C$176:$D206)</f>
        <v>0.41755885119363223</v>
      </c>
      <c r="I206" s="80">
        <f>DSUM($B$147:$AA$168,I$147,$C$176:$D206)</f>
        <v>0.6310758650526973</v>
      </c>
      <c r="J206" s="80">
        <f>DSUM($B$147:$AA$168,J$147,$C$176:$D206)</f>
        <v>0.89995953756545355</v>
      </c>
      <c r="K206" s="80">
        <f>DSUM($B$147:$AA$168,K$147,$C$176:$D206)</f>
        <v>1.2189466521157324</v>
      </c>
      <c r="L206" s="80">
        <f>DSUM($B$147:$AA$168,L$147,$C$176:$D206)</f>
        <v>1.5734297336364893</v>
      </c>
      <c r="M206" s="80">
        <f>DSUM($B$147:$AA$168,M$147,$C$176:$D206)</f>
        <v>1.9377363753896062</v>
      </c>
      <c r="N206" s="80">
        <f>DSUM($B$147:$AA$168,N$147,$C$176:$D206)</f>
        <v>2.2752842194818332</v>
      </c>
      <c r="O206" s="80">
        <f>DSUM($B$147:$AA$168,O$147,$C$176:$D206)</f>
        <v>2.5418184248408036</v>
      </c>
      <c r="P206" s="80">
        <f>DSUM($B$147:$AA$168,P$147,$C$176:$D206)</f>
        <v>2.6924767552217697</v>
      </c>
      <c r="Q206" s="80">
        <f>DSUM($B$147:$AA$168,Q$147,$C$176:$D206)</f>
        <v>2.6921885566624177</v>
      </c>
      <c r="R206" s="80">
        <f>DSUM($B$147:$AA$168,R$147,$C$176:$D206)</f>
        <v>2.5270287973379322</v>
      </c>
      <c r="S206" s="80">
        <f>DSUM($B$147:$AA$168,S$147,$C$176:$D206)</f>
        <v>2.2123645801919705</v>
      </c>
      <c r="T206" s="80">
        <f>DSUM($B$147:$AA$168,T$147,$C$176:$D206)</f>
        <v>1.7932468542697415</v>
      </c>
      <c r="U206" s="80">
        <f>DSUM($B$147:$AA$168,U$147,$C$176:$D206)</f>
        <v>1.334667060448099</v>
      </c>
      <c r="V206" s="80">
        <f>DSUM($B$147:$AA$168,V$147,$C$176:$D206)</f>
        <v>0.90384550079295589</v>
      </c>
      <c r="W206" s="80">
        <f>DSUM($B$147:$AA$168,W$147,$C$176:$D206)</f>
        <v>0.55141020267354679</v>
      </c>
      <c r="X206" s="80">
        <f>DSUM($B$147:$AA$168,X$147,$C$176:$D206)</f>
        <v>0.26339366916363444</v>
      </c>
      <c r="Y206" s="427">
        <f>DSUM($B$147:$Y$168,Y$147,$C$176:$D206)</f>
        <v>26.339366916363449</v>
      </c>
    </row>
    <row r="207" spans="2:25">
      <c r="B207" s="19" t="s">
        <v>170</v>
      </c>
      <c r="C207" s="79" t="s">
        <v>171</v>
      </c>
      <c r="D207" s="79" t="s">
        <v>172</v>
      </c>
      <c r="E207" s="80">
        <f>DSUM($B$147:$AA$168,E$147,$C$176:$D207)</f>
        <v>7.3267226227905408E-2</v>
      </c>
      <c r="F207" s="80">
        <f>DSUM($B$147:$AA$168,F$147,$C$176:$D207)</f>
        <v>0.14582626331964293</v>
      </c>
      <c r="G207" s="80">
        <f>DSUM($B$147:$AA$168,G$147,$C$176:$D207)</f>
        <v>0.25780806363948894</v>
      </c>
      <c r="H207" s="80">
        <f>DSUM($B$147:$AA$168,H$147,$C$176:$D207)</f>
        <v>0.41755885119363223</v>
      </c>
      <c r="I207" s="80">
        <f>DSUM($B$147:$AA$168,I$147,$C$176:$D207)</f>
        <v>0.6310758650526973</v>
      </c>
      <c r="J207" s="80">
        <f>DSUM($B$147:$AA$168,J$147,$C$176:$D207)</f>
        <v>0.89995953756545355</v>
      </c>
      <c r="K207" s="80">
        <f>DSUM($B$147:$AA$168,K$147,$C$176:$D207)</f>
        <v>1.2189466521157324</v>
      </c>
      <c r="L207" s="80">
        <f>DSUM($B$147:$AA$168,L$147,$C$176:$D207)</f>
        <v>1.5734297336364893</v>
      </c>
      <c r="M207" s="80">
        <f>DSUM($B$147:$AA$168,M$147,$C$176:$D207)</f>
        <v>1.9377363753896062</v>
      </c>
      <c r="N207" s="80">
        <f>DSUM($B$147:$AA$168,N$147,$C$176:$D207)</f>
        <v>2.2752842194818332</v>
      </c>
      <c r="O207" s="80">
        <f>DSUM($B$147:$AA$168,O$147,$C$176:$D207)</f>
        <v>2.5418184248408036</v>
      </c>
      <c r="P207" s="80">
        <f>DSUM($B$147:$AA$168,P$147,$C$176:$D207)</f>
        <v>2.6924767552217697</v>
      </c>
      <c r="Q207" s="80">
        <f>DSUM($B$147:$AA$168,Q$147,$C$176:$D207)</f>
        <v>2.6921885566624177</v>
      </c>
      <c r="R207" s="80">
        <f>DSUM($B$147:$AA$168,R$147,$C$176:$D207)</f>
        <v>2.5270287973379322</v>
      </c>
      <c r="S207" s="80">
        <f>DSUM($B$147:$AA$168,S$147,$C$176:$D207)</f>
        <v>2.2123645801919705</v>
      </c>
      <c r="T207" s="80">
        <f>DSUM($B$147:$AA$168,T$147,$C$176:$D207)</f>
        <v>1.7932468542697415</v>
      </c>
      <c r="U207" s="80">
        <f>DSUM($B$147:$AA$168,U$147,$C$176:$D207)</f>
        <v>1.334667060448099</v>
      </c>
      <c r="V207" s="80">
        <f>DSUM($B$147:$AA$168,V$147,$C$176:$D207)</f>
        <v>0.90384550079295589</v>
      </c>
      <c r="W207" s="80">
        <f>DSUM($B$147:$AA$168,W$147,$C$176:$D207)</f>
        <v>0.55141020267354679</v>
      </c>
      <c r="X207" s="80">
        <f>DSUM($B$147:$AA$168,X$147,$C$176:$D207)</f>
        <v>0.26339366916363444</v>
      </c>
      <c r="Y207" s="427">
        <f>DSUM($B$147:$Y$168,Y$147,$C$176:$D207)</f>
        <v>26.339366916363449</v>
      </c>
    </row>
    <row r="208" spans="2:25">
      <c r="B208" s="19" t="s">
        <v>173</v>
      </c>
      <c r="C208" s="79" t="s">
        <v>174</v>
      </c>
      <c r="D208" s="79" t="s">
        <v>175</v>
      </c>
      <c r="E208" s="80">
        <f>DSUM($B$147:$AA$168,E$147,$C$176:$D208)</f>
        <v>0.11235356325453785</v>
      </c>
      <c r="F208" s="80">
        <f>DSUM($B$147:$AA$168,F$147,$C$176:$D208)</f>
        <v>0.22362113517293433</v>
      </c>
      <c r="G208" s="80">
        <f>DSUM($B$147:$AA$168,G$147,$C$176:$D208)</f>
        <v>0.3953425846305213</v>
      </c>
      <c r="H208" s="80">
        <f>DSUM($B$147:$AA$168,H$147,$C$176:$D208)</f>
        <v>0.64031664927704945</v>
      </c>
      <c r="I208" s="80">
        <f>DSUM($B$147:$AA$168,I$147,$C$176:$D208)</f>
        <v>0.96773995376946897</v>
      </c>
      <c r="J208" s="80">
        <f>DSUM($B$147:$AA$168,J$147,$C$176:$D208)</f>
        <v>1.3800667233649622</v>
      </c>
      <c r="K208" s="80">
        <f>DSUM($B$147:$AA$168,K$147,$C$176:$D208)</f>
        <v>1.8692259395269779</v>
      </c>
      <c r="L208" s="80">
        <f>DSUM($B$147:$AA$168,L$147,$C$176:$D208)</f>
        <v>2.4128173837890872</v>
      </c>
      <c r="M208" s="80">
        <f>DSUM($B$147:$AA$168,M$147,$C$176:$D208)</f>
        <v>2.9714730259576121</v>
      </c>
      <c r="N208" s="80">
        <f>DSUM($B$147:$AA$168,N$147,$C$176:$D208)</f>
        <v>3.4890946830772651</v>
      </c>
      <c r="O208" s="80">
        <f>DSUM($B$147:$AA$168,O$147,$C$176:$D208)</f>
        <v>3.8978186002096908</v>
      </c>
      <c r="P208" s="80">
        <f>DSUM($B$147:$AA$168,P$147,$C$176:$D208)</f>
        <v>4.1288495962464147</v>
      </c>
      <c r="Q208" s="80">
        <f>DSUM($B$147:$AA$168,Q$147,$C$176:$D208)</f>
        <v>4.1284076505534335</v>
      </c>
      <c r="R208" s="80">
        <f>DSUM($B$147:$AA$168,R$147,$C$176:$D208)</f>
        <v>3.8751390552793814</v>
      </c>
      <c r="S208" s="80">
        <f>DSUM($B$147:$AA$168,S$147,$C$176:$D208)</f>
        <v>3.3926089003220041</v>
      </c>
      <c r="T208" s="80">
        <f>DSUM($B$147:$AA$168,T$147,$C$176:$D208)</f>
        <v>2.749901753418083</v>
      </c>
      <c r="U208" s="80">
        <f>DSUM($B$147:$AA$168,U$147,$C$176:$D208)</f>
        <v>2.0466804561886107</v>
      </c>
      <c r="V208" s="80">
        <f>DSUM($B$147:$AA$168,V$147,$C$176:$D208)</f>
        <v>1.3860257563154919</v>
      </c>
      <c r="W208" s="80">
        <f>DSUM($B$147:$AA$168,W$147,$C$176:$D208)</f>
        <v>0.84557453959794893</v>
      </c>
      <c r="X208" s="80">
        <f>DSUM($B$147:$AA$168,X$147,$C$176:$D208)</f>
        <v>0.40390797895321434</v>
      </c>
      <c r="Y208" s="427">
        <f>DSUM($B$147:$Y$168,Y$147,$C$176:$D208)</f>
        <v>40.390797895321441</v>
      </c>
    </row>
    <row r="211" spans="1:26" ht="15">
      <c r="A211" s="88" t="s">
        <v>176</v>
      </c>
      <c r="B211" s="88"/>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5">
      <c r="A212" s="19"/>
      <c r="B212" s="19"/>
      <c r="C212" s="65" t="s">
        <v>191</v>
      </c>
      <c r="D212" s="65" t="str">
        <f>$C$8</f>
        <v>Secondary Glazing Systems-Retro</v>
      </c>
      <c r="E212" s="74">
        <f>E65</f>
        <v>0</v>
      </c>
      <c r="F212" s="74">
        <f t="shared" ref="F212:X212" si="49">F65</f>
        <v>0</v>
      </c>
      <c r="G212" s="74">
        <f t="shared" si="49"/>
        <v>0</v>
      </c>
      <c r="H212" s="74">
        <f t="shared" si="49"/>
        <v>0</v>
      </c>
      <c r="I212" s="74">
        <f t="shared" si="49"/>
        <v>0</v>
      </c>
      <c r="J212" s="74">
        <f t="shared" si="49"/>
        <v>0</v>
      </c>
      <c r="K212" s="74">
        <f t="shared" si="49"/>
        <v>0</v>
      </c>
      <c r="L212" s="74">
        <f t="shared" si="49"/>
        <v>0</v>
      </c>
      <c r="M212" s="74">
        <f t="shared" si="49"/>
        <v>0</v>
      </c>
      <c r="N212" s="74">
        <f t="shared" si="49"/>
        <v>0</v>
      </c>
      <c r="O212" s="74">
        <f t="shared" si="49"/>
        <v>0</v>
      </c>
      <c r="P212" s="74">
        <f t="shared" si="49"/>
        <v>0</v>
      </c>
      <c r="Q212" s="74">
        <f t="shared" si="49"/>
        <v>0</v>
      </c>
      <c r="R212" s="74">
        <f t="shared" si="49"/>
        <v>0</v>
      </c>
      <c r="S212" s="74">
        <f t="shared" si="49"/>
        <v>0</v>
      </c>
      <c r="T212" s="74">
        <f t="shared" si="49"/>
        <v>0</v>
      </c>
      <c r="U212" s="74">
        <f t="shared" si="49"/>
        <v>0</v>
      </c>
      <c r="V212" s="74">
        <f t="shared" si="49"/>
        <v>0</v>
      </c>
      <c r="W212" s="74">
        <f t="shared" si="49"/>
        <v>0</v>
      </c>
      <c r="X212" s="74">
        <f t="shared" si="49"/>
        <v>0</v>
      </c>
      <c r="Y212" s="19"/>
      <c r="Z212" s="65"/>
    </row>
    <row r="213" spans="1:26" ht="15">
      <c r="A213" s="19"/>
      <c r="B213" s="19"/>
      <c r="C213" s="65">
        <f>C63</f>
        <v>0</v>
      </c>
      <c r="D213" s="65"/>
      <c r="E213" s="75" t="str">
        <f>CONCATENATE("aMW_",E$11)</f>
        <v>aMW_2016</v>
      </c>
      <c r="F213" s="75" t="str">
        <f t="shared" ref="F213:X213" si="50">CONCATENATE("aMW_",F$11)</f>
        <v>aMW_2017</v>
      </c>
      <c r="G213" s="75" t="str">
        <f t="shared" si="50"/>
        <v>aMW_2018</v>
      </c>
      <c r="H213" s="75" t="str">
        <f t="shared" si="50"/>
        <v>aMW_2019</v>
      </c>
      <c r="I213" s="75" t="str">
        <f t="shared" si="50"/>
        <v>aMW_2020</v>
      </c>
      <c r="J213" s="75" t="str">
        <f t="shared" si="50"/>
        <v>aMW_2021</v>
      </c>
      <c r="K213" s="75" t="str">
        <f t="shared" si="50"/>
        <v>aMW_2022</v>
      </c>
      <c r="L213" s="75" t="str">
        <f t="shared" si="50"/>
        <v>aMW_2023</v>
      </c>
      <c r="M213" s="75" t="str">
        <f t="shared" si="50"/>
        <v>aMW_2024</v>
      </c>
      <c r="N213" s="75" t="str">
        <f t="shared" si="50"/>
        <v>aMW_2025</v>
      </c>
      <c r="O213" s="75" t="str">
        <f t="shared" si="50"/>
        <v>aMW_2026</v>
      </c>
      <c r="P213" s="75" t="str">
        <f t="shared" si="50"/>
        <v>aMW_2027</v>
      </c>
      <c r="Q213" s="75" t="str">
        <f t="shared" si="50"/>
        <v>aMW_2028</v>
      </c>
      <c r="R213" s="75" t="str">
        <f t="shared" si="50"/>
        <v>aMW_2029</v>
      </c>
      <c r="S213" s="75" t="str">
        <f t="shared" si="50"/>
        <v>aMW_2030</v>
      </c>
      <c r="T213" s="75" t="str">
        <f t="shared" si="50"/>
        <v>aMW_2031</v>
      </c>
      <c r="U213" s="75" t="str">
        <f t="shared" si="50"/>
        <v>aMW_2032</v>
      </c>
      <c r="V213" s="75" t="str">
        <f t="shared" si="50"/>
        <v>aMW_2033</v>
      </c>
      <c r="W213" s="75" t="str">
        <f t="shared" si="50"/>
        <v>aMW_2034</v>
      </c>
      <c r="X213" s="75" t="str">
        <f t="shared" si="50"/>
        <v>aMW_2035</v>
      </c>
      <c r="Y213" s="70" t="s">
        <v>71</v>
      </c>
      <c r="Z213" s="89"/>
    </row>
    <row r="214" spans="1:26">
      <c r="A214" s="19"/>
      <c r="B214" s="19"/>
      <c r="C214" s="19" t="s">
        <v>80</v>
      </c>
      <c r="D214" s="19"/>
      <c r="E214" s="439">
        <f t="shared" ref="E214:Y214" si="51">E177</f>
        <v>0</v>
      </c>
      <c r="F214" s="439">
        <f t="shared" si="51"/>
        <v>0</v>
      </c>
      <c r="G214" s="439">
        <f t="shared" si="51"/>
        <v>0</v>
      </c>
      <c r="H214" s="439">
        <f t="shared" si="51"/>
        <v>0</v>
      </c>
      <c r="I214" s="439">
        <f t="shared" si="51"/>
        <v>0</v>
      </c>
      <c r="J214" s="439">
        <f t="shared" si="51"/>
        <v>0</v>
      </c>
      <c r="K214" s="439">
        <f t="shared" si="51"/>
        <v>0</v>
      </c>
      <c r="L214" s="439">
        <f t="shared" si="51"/>
        <v>0</v>
      </c>
      <c r="M214" s="439">
        <f t="shared" si="51"/>
        <v>0</v>
      </c>
      <c r="N214" s="439">
        <f t="shared" si="51"/>
        <v>0</v>
      </c>
      <c r="O214" s="439">
        <f t="shared" si="51"/>
        <v>0</v>
      </c>
      <c r="P214" s="439">
        <f t="shared" si="51"/>
        <v>0</v>
      </c>
      <c r="Q214" s="439">
        <f t="shared" si="51"/>
        <v>0</v>
      </c>
      <c r="R214" s="439">
        <f t="shared" si="51"/>
        <v>0</v>
      </c>
      <c r="S214" s="439">
        <f t="shared" si="51"/>
        <v>0</v>
      </c>
      <c r="T214" s="439">
        <f t="shared" si="51"/>
        <v>0</v>
      </c>
      <c r="U214" s="439">
        <f t="shared" si="51"/>
        <v>0</v>
      </c>
      <c r="V214" s="439">
        <f t="shared" si="51"/>
        <v>0</v>
      </c>
      <c r="W214" s="439">
        <f t="shared" si="51"/>
        <v>0</v>
      </c>
      <c r="X214" s="439">
        <f t="shared" si="51"/>
        <v>0</v>
      </c>
      <c r="Y214" s="439">
        <f t="shared" si="51"/>
        <v>0</v>
      </c>
      <c r="Z214" s="81"/>
    </row>
    <row r="215" spans="1:26">
      <c r="A215" s="19"/>
      <c r="B215" s="19"/>
      <c r="C215" s="19" t="s">
        <v>83</v>
      </c>
      <c r="D215" s="19"/>
      <c r="E215" s="439">
        <f t="shared" ref="E215:Y227" si="52">E178-E177</f>
        <v>3.8779198369425843E-3</v>
      </c>
      <c r="F215" s="439">
        <f t="shared" si="52"/>
        <v>7.7183563291368679E-3</v>
      </c>
      <c r="G215" s="439">
        <f t="shared" si="52"/>
        <v>1.3645378098544023E-2</v>
      </c>
      <c r="H215" s="439">
        <f t="shared" si="52"/>
        <v>2.2100737744566265E-2</v>
      </c>
      <c r="I215" s="439">
        <f t="shared" si="52"/>
        <v>3.3401859763205623E-2</v>
      </c>
      <c r="J215" s="439">
        <f t="shared" si="52"/>
        <v>4.7633452538722115E-2</v>
      </c>
      <c r="K215" s="439">
        <f t="shared" si="52"/>
        <v>6.4516942237045988E-2</v>
      </c>
      <c r="L215" s="439">
        <f t="shared" si="52"/>
        <v>8.3279178020530698E-2</v>
      </c>
      <c r="M215" s="439">
        <f t="shared" si="52"/>
        <v>0.1025613595021912</v>
      </c>
      <c r="N215" s="439">
        <f t="shared" si="52"/>
        <v>0.12042723962232459</v>
      </c>
      <c r="O215" s="439">
        <f t="shared" si="52"/>
        <v>0.13453447877138369</v>
      </c>
      <c r="P215" s="439">
        <f t="shared" si="52"/>
        <v>0.14250858886213091</v>
      </c>
      <c r="Q215" s="439">
        <f t="shared" si="52"/>
        <v>0.14249333496256592</v>
      </c>
      <c r="R215" s="439">
        <f t="shared" si="52"/>
        <v>0.13375168688984077</v>
      </c>
      <c r="S215" s="439">
        <f t="shared" si="52"/>
        <v>0.11709700139853202</v>
      </c>
      <c r="T215" s="439">
        <f t="shared" si="52"/>
        <v>9.4913754849626275E-2</v>
      </c>
      <c r="U215" s="439">
        <f t="shared" si="52"/>
        <v>7.0641842688651466E-2</v>
      </c>
      <c r="V215" s="439">
        <f t="shared" si="52"/>
        <v>4.7839130502272779E-2</v>
      </c>
      <c r="W215" s="439">
        <f t="shared" si="52"/>
        <v>2.9185280695474883E-2</v>
      </c>
      <c r="X215" s="439">
        <f t="shared" si="52"/>
        <v>1.3941015473924422E-2</v>
      </c>
      <c r="Y215" s="439">
        <f t="shared" si="52"/>
        <v>1.3941015473924419</v>
      </c>
      <c r="Z215" s="81"/>
    </row>
    <row r="216" spans="1:26">
      <c r="A216" s="19"/>
      <c r="B216" s="19"/>
      <c r="C216" s="19" t="s">
        <v>86</v>
      </c>
      <c r="D216" s="19"/>
      <c r="E216" s="439">
        <f t="shared" si="52"/>
        <v>6.4822672463522423E-4</v>
      </c>
      <c r="F216" s="439">
        <f t="shared" si="52"/>
        <v>1.2901877947916994E-3</v>
      </c>
      <c r="G216" s="439">
        <f t="shared" si="52"/>
        <v>2.2809390402980037E-3</v>
      </c>
      <c r="H216" s="439">
        <f t="shared" si="52"/>
        <v>3.6943231017063372E-3</v>
      </c>
      <c r="I216" s="439">
        <f t="shared" si="52"/>
        <v>5.5834001375589595E-3</v>
      </c>
      <c r="J216" s="439">
        <f t="shared" si="52"/>
        <v>7.9623298625449146E-3</v>
      </c>
      <c r="K216" s="439">
        <f t="shared" si="52"/>
        <v>1.0784546331100306E-2</v>
      </c>
      <c r="L216" s="439">
        <f t="shared" si="52"/>
        <v>1.3920810916278267E-2</v>
      </c>
      <c r="M216" s="439">
        <f t="shared" si="52"/>
        <v>1.7143988772253066E-2</v>
      </c>
      <c r="N216" s="439">
        <f t="shared" si="52"/>
        <v>2.0130420013732872E-2</v>
      </c>
      <c r="O216" s="439">
        <f t="shared" si="52"/>
        <v>2.2488562990316485E-2</v>
      </c>
      <c r="P216" s="439">
        <f t="shared" si="52"/>
        <v>2.3821502164758285E-2</v>
      </c>
      <c r="Q216" s="439">
        <f t="shared" si="52"/>
        <v>2.3818952347905764E-2</v>
      </c>
      <c r="R216" s="439">
        <f t="shared" si="52"/>
        <v>2.2357712782272027E-2</v>
      </c>
      <c r="S216" s="439">
        <f t="shared" si="52"/>
        <v>1.9573742849986753E-2</v>
      </c>
      <c r="T216" s="439">
        <f t="shared" si="52"/>
        <v>1.5865627711766125E-2</v>
      </c>
      <c r="U216" s="439">
        <f t="shared" si="52"/>
        <v>1.1808374652830467E-2</v>
      </c>
      <c r="V216" s="439">
        <f t="shared" si="52"/>
        <v>7.9967106538578123E-3</v>
      </c>
      <c r="W216" s="439">
        <f t="shared" si="52"/>
        <v>4.8785636909150533E-3</v>
      </c>
      <c r="X216" s="439">
        <f t="shared" si="52"/>
        <v>2.3303572994628659E-3</v>
      </c>
      <c r="Y216" s="439">
        <f t="shared" si="52"/>
        <v>0.23303572994628663</v>
      </c>
      <c r="Z216" s="81"/>
    </row>
    <row r="217" spans="1:26">
      <c r="A217" s="19"/>
      <c r="B217" s="19"/>
      <c r="C217" s="19" t="s">
        <v>89</v>
      </c>
      <c r="D217" s="19"/>
      <c r="E217" s="439">
        <f t="shared" si="52"/>
        <v>1.2867618326845463E-3</v>
      </c>
      <c r="F217" s="439">
        <f t="shared" si="52"/>
        <v>2.5610860340070426E-3</v>
      </c>
      <c r="G217" s="439">
        <f t="shared" si="52"/>
        <v>4.5277758355106619E-3</v>
      </c>
      <c r="H217" s="439">
        <f t="shared" si="52"/>
        <v>7.3334124993929481E-3</v>
      </c>
      <c r="I217" s="439">
        <f t="shared" si="52"/>
        <v>1.1083323042041265E-2</v>
      </c>
      <c r="J217" s="439">
        <f t="shared" si="52"/>
        <v>1.5805615191401889E-2</v>
      </c>
      <c r="K217" s="439">
        <f t="shared" si="52"/>
        <v>2.1407853262278106E-2</v>
      </c>
      <c r="L217" s="439">
        <f t="shared" si="52"/>
        <v>2.7633492243266097E-2</v>
      </c>
      <c r="M217" s="439">
        <f t="shared" si="52"/>
        <v>3.4031658328375097E-2</v>
      </c>
      <c r="N217" s="439">
        <f t="shared" si="52"/>
        <v>3.9959870775394174E-2</v>
      </c>
      <c r="O217" s="439">
        <f t="shared" si="52"/>
        <v>4.4640900209946488E-2</v>
      </c>
      <c r="P217" s="439">
        <f t="shared" si="52"/>
        <v>4.7286849828773042E-2</v>
      </c>
      <c r="Q217" s="439">
        <f t="shared" si="52"/>
        <v>4.7281788317296458E-2</v>
      </c>
      <c r="R217" s="439">
        <f t="shared" si="52"/>
        <v>4.4381156131043875E-2</v>
      </c>
      <c r="S217" s="439">
        <f t="shared" si="52"/>
        <v>3.8854839309993394E-2</v>
      </c>
      <c r="T217" s="439">
        <f t="shared" si="52"/>
        <v>3.1494048941859296E-2</v>
      </c>
      <c r="U217" s="439">
        <f t="shared" si="52"/>
        <v>2.3440202681943259E-2</v>
      </c>
      <c r="V217" s="439">
        <f t="shared" si="52"/>
        <v>1.587386274793981E-2</v>
      </c>
      <c r="W217" s="439">
        <f t="shared" si="52"/>
        <v>9.6841881354439649E-3</v>
      </c>
      <c r="X217" s="439">
        <f t="shared" si="52"/>
        <v>4.6258735030618413E-3</v>
      </c>
      <c r="Y217" s="439">
        <f t="shared" si="52"/>
        <v>0.46258735030618436</v>
      </c>
      <c r="Z217" s="81"/>
    </row>
    <row r="218" spans="1:26">
      <c r="A218" s="19"/>
      <c r="B218" s="19"/>
      <c r="C218" s="19" t="s">
        <v>92</v>
      </c>
      <c r="D218" s="19"/>
      <c r="E218" s="439">
        <f t="shared" si="52"/>
        <v>0</v>
      </c>
      <c r="F218" s="439">
        <f t="shared" si="52"/>
        <v>0</v>
      </c>
      <c r="G218" s="439">
        <f t="shared" si="52"/>
        <v>0</v>
      </c>
      <c r="H218" s="439">
        <f t="shared" si="52"/>
        <v>0</v>
      </c>
      <c r="I218" s="439">
        <f t="shared" si="52"/>
        <v>0</v>
      </c>
      <c r="J218" s="439">
        <f t="shared" si="52"/>
        <v>0</v>
      </c>
      <c r="K218" s="439">
        <f t="shared" si="52"/>
        <v>0</v>
      </c>
      <c r="L218" s="439">
        <f t="shared" si="52"/>
        <v>0</v>
      </c>
      <c r="M218" s="439">
        <f t="shared" si="52"/>
        <v>0</v>
      </c>
      <c r="N218" s="439">
        <f t="shared" si="52"/>
        <v>0</v>
      </c>
      <c r="O218" s="439">
        <f t="shared" si="52"/>
        <v>0</v>
      </c>
      <c r="P218" s="439">
        <f t="shared" si="52"/>
        <v>0</v>
      </c>
      <c r="Q218" s="439">
        <f t="shared" si="52"/>
        <v>0</v>
      </c>
      <c r="R218" s="439">
        <f t="shared" si="52"/>
        <v>0</v>
      </c>
      <c r="S218" s="439">
        <f t="shared" si="52"/>
        <v>0</v>
      </c>
      <c r="T218" s="439">
        <f t="shared" si="52"/>
        <v>0</v>
      </c>
      <c r="U218" s="439">
        <f t="shared" si="52"/>
        <v>0</v>
      </c>
      <c r="V218" s="439">
        <f t="shared" si="52"/>
        <v>0</v>
      </c>
      <c r="W218" s="439">
        <f t="shared" si="52"/>
        <v>0</v>
      </c>
      <c r="X218" s="439">
        <f t="shared" si="52"/>
        <v>0</v>
      </c>
      <c r="Y218" s="439">
        <f t="shared" si="52"/>
        <v>0</v>
      </c>
      <c r="Z218" s="81"/>
    </row>
    <row r="219" spans="1:26">
      <c r="A219" s="19"/>
      <c r="B219" s="19"/>
      <c r="C219" s="19" t="s">
        <v>95</v>
      </c>
      <c r="D219" s="19"/>
      <c r="E219" s="439">
        <f t="shared" si="52"/>
        <v>1.016998358970116E-2</v>
      </c>
      <c r="F219" s="439">
        <f t="shared" si="52"/>
        <v>2.0241665766014178E-2</v>
      </c>
      <c r="G219" s="439">
        <f t="shared" si="52"/>
        <v>3.578549252500058E-2</v>
      </c>
      <c r="H219" s="439">
        <f t="shared" si="52"/>
        <v>5.7959975871944701E-2</v>
      </c>
      <c r="I219" s="439">
        <f t="shared" si="52"/>
        <v>8.7597572910409274E-2</v>
      </c>
      <c r="J219" s="439">
        <f t="shared" si="52"/>
        <v>0.1249204344104097</v>
      </c>
      <c r="K219" s="439">
        <f t="shared" si="52"/>
        <v>0.16919799052003193</v>
      </c>
      <c r="L219" s="439">
        <f t="shared" si="52"/>
        <v>0.21840262549118247</v>
      </c>
      <c r="M219" s="439">
        <f t="shared" si="52"/>
        <v>0.26897083666821758</v>
      </c>
      <c r="N219" s="439">
        <f t="shared" si="52"/>
        <v>0.31582474682551914</v>
      </c>
      <c r="O219" s="439">
        <f t="shared" si="52"/>
        <v>0.3528214864886669</v>
      </c>
      <c r="P219" s="439">
        <f t="shared" si="52"/>
        <v>0.37373387564968347</v>
      </c>
      <c r="Q219" s="439">
        <f t="shared" si="52"/>
        <v>0.37369387175203261</v>
      </c>
      <c r="R219" s="439">
        <f t="shared" si="52"/>
        <v>0.35076858675783595</v>
      </c>
      <c r="S219" s="439">
        <f t="shared" si="52"/>
        <v>0.30709107787158102</v>
      </c>
      <c r="T219" s="439">
        <f t="shared" si="52"/>
        <v>0.24891471970670068</v>
      </c>
      <c r="U219" s="439">
        <f t="shared" si="52"/>
        <v>0.18526076120651719</v>
      </c>
      <c r="V219" s="439">
        <f t="shared" si="52"/>
        <v>0.12545983223244478</v>
      </c>
      <c r="W219" s="439">
        <f t="shared" si="52"/>
        <v>7.6539443365032114E-2</v>
      </c>
      <c r="X219" s="439">
        <f t="shared" si="52"/>
        <v>3.6560812124822796E-2</v>
      </c>
      <c r="Y219" s="439">
        <f t="shared" si="52"/>
        <v>3.6560812124822797</v>
      </c>
      <c r="Z219" s="81"/>
    </row>
    <row r="220" spans="1:26">
      <c r="A220" s="19"/>
      <c r="B220" s="19"/>
      <c r="C220" s="19" t="s">
        <v>98</v>
      </c>
      <c r="D220" s="19"/>
      <c r="E220" s="439">
        <f t="shared" si="52"/>
        <v>3.4204456264794909E-3</v>
      </c>
      <c r="F220" s="439">
        <f t="shared" si="52"/>
        <v>6.8078297797978388E-3</v>
      </c>
      <c r="G220" s="439">
        <f t="shared" si="52"/>
        <v>1.2035646893521636E-2</v>
      </c>
      <c r="H220" s="439">
        <f t="shared" si="52"/>
        <v>1.94935364677295E-2</v>
      </c>
      <c r="I220" s="439">
        <f t="shared" si="52"/>
        <v>2.9461476757449923E-2</v>
      </c>
      <c r="J220" s="439">
        <f t="shared" si="52"/>
        <v>4.201418318606745E-2</v>
      </c>
      <c r="K220" s="439">
        <f t="shared" si="52"/>
        <v>5.6905944987898194E-2</v>
      </c>
      <c r="L220" s="439">
        <f t="shared" si="52"/>
        <v>7.3454819133577876E-2</v>
      </c>
      <c r="M220" s="439">
        <f t="shared" si="52"/>
        <v>9.0462301518754895E-2</v>
      </c>
      <c r="N220" s="439">
        <f t="shared" si="52"/>
        <v>0.106220562155802</v>
      </c>
      <c r="O220" s="439">
        <f t="shared" si="52"/>
        <v>0.11866358482724115</v>
      </c>
      <c r="P220" s="439">
        <f t="shared" si="52"/>
        <v>0.12569699736071582</v>
      </c>
      <c r="Q220" s="439">
        <f t="shared" si="52"/>
        <v>0.12568354294797712</v>
      </c>
      <c r="R220" s="439">
        <f t="shared" si="52"/>
        <v>0.11797313809800236</v>
      </c>
      <c r="S220" s="439">
        <f t="shared" si="52"/>
        <v>0.10328318870646158</v>
      </c>
      <c r="T220" s="439">
        <f t="shared" si="52"/>
        <v>8.37168769130896E-2</v>
      </c>
      <c r="U220" s="439">
        <f t="shared" si="52"/>
        <v>6.2308297239416999E-2</v>
      </c>
      <c r="V220" s="439">
        <f t="shared" si="52"/>
        <v>4.2195597532023787E-2</v>
      </c>
      <c r="W220" s="439">
        <f t="shared" si="52"/>
        <v>2.5742323180955304E-2</v>
      </c>
      <c r="X220" s="439">
        <f t="shared" si="52"/>
        <v>1.2296408232116265E-2</v>
      </c>
      <c r="Y220" s="439">
        <f t="shared" si="52"/>
        <v>1.2296408232116249</v>
      </c>
      <c r="Z220" s="81"/>
    </row>
    <row r="221" spans="1:26">
      <c r="A221" s="19"/>
      <c r="B221" s="19"/>
      <c r="C221" s="19" t="s">
        <v>101</v>
      </c>
      <c r="D221" s="19"/>
      <c r="E221" s="439">
        <f t="shared" si="52"/>
        <v>0</v>
      </c>
      <c r="F221" s="439">
        <f t="shared" si="52"/>
        <v>0</v>
      </c>
      <c r="G221" s="439">
        <f t="shared" si="52"/>
        <v>0</v>
      </c>
      <c r="H221" s="439">
        <f t="shared" si="52"/>
        <v>0</v>
      </c>
      <c r="I221" s="439">
        <f t="shared" si="52"/>
        <v>0</v>
      </c>
      <c r="J221" s="439">
        <f t="shared" si="52"/>
        <v>0</v>
      </c>
      <c r="K221" s="439">
        <f t="shared" si="52"/>
        <v>0</v>
      </c>
      <c r="L221" s="439">
        <f t="shared" si="52"/>
        <v>0</v>
      </c>
      <c r="M221" s="439">
        <f t="shared" si="52"/>
        <v>0</v>
      </c>
      <c r="N221" s="439">
        <f t="shared" si="52"/>
        <v>0</v>
      </c>
      <c r="O221" s="439">
        <f t="shared" si="52"/>
        <v>0</v>
      </c>
      <c r="P221" s="439">
        <f t="shared" si="52"/>
        <v>0</v>
      </c>
      <c r="Q221" s="439">
        <f t="shared" si="52"/>
        <v>0</v>
      </c>
      <c r="R221" s="439">
        <f t="shared" si="52"/>
        <v>0</v>
      </c>
      <c r="S221" s="439">
        <f t="shared" si="52"/>
        <v>0</v>
      </c>
      <c r="T221" s="439">
        <f t="shared" si="52"/>
        <v>0</v>
      </c>
      <c r="U221" s="439">
        <f t="shared" si="52"/>
        <v>0</v>
      </c>
      <c r="V221" s="439">
        <f t="shared" si="52"/>
        <v>0</v>
      </c>
      <c r="W221" s="439">
        <f t="shared" si="52"/>
        <v>0</v>
      </c>
      <c r="X221" s="439">
        <f t="shared" si="52"/>
        <v>0</v>
      </c>
      <c r="Y221" s="439">
        <f t="shared" si="52"/>
        <v>0</v>
      </c>
      <c r="Z221" s="81"/>
    </row>
    <row r="222" spans="1:26">
      <c r="A222" s="19"/>
      <c r="B222" s="19"/>
      <c r="C222" s="19" t="s">
        <v>104</v>
      </c>
      <c r="D222" s="19"/>
      <c r="E222" s="439">
        <f t="shared" si="52"/>
        <v>0</v>
      </c>
      <c r="F222" s="439">
        <f t="shared" si="52"/>
        <v>0</v>
      </c>
      <c r="G222" s="439">
        <f t="shared" si="52"/>
        <v>0</v>
      </c>
      <c r="H222" s="439">
        <f t="shared" si="52"/>
        <v>0</v>
      </c>
      <c r="I222" s="439">
        <f t="shared" si="52"/>
        <v>0</v>
      </c>
      <c r="J222" s="439">
        <f t="shared" si="52"/>
        <v>0</v>
      </c>
      <c r="K222" s="439">
        <f t="shared" si="52"/>
        <v>0</v>
      </c>
      <c r="L222" s="439">
        <f t="shared" si="52"/>
        <v>0</v>
      </c>
      <c r="M222" s="439">
        <f t="shared" si="52"/>
        <v>0</v>
      </c>
      <c r="N222" s="439">
        <f t="shared" si="52"/>
        <v>0</v>
      </c>
      <c r="O222" s="439">
        <f t="shared" si="52"/>
        <v>0</v>
      </c>
      <c r="P222" s="439">
        <f t="shared" si="52"/>
        <v>0</v>
      </c>
      <c r="Q222" s="439">
        <f t="shared" si="52"/>
        <v>0</v>
      </c>
      <c r="R222" s="439">
        <f t="shared" si="52"/>
        <v>0</v>
      </c>
      <c r="S222" s="439">
        <f t="shared" si="52"/>
        <v>0</v>
      </c>
      <c r="T222" s="439">
        <f t="shared" si="52"/>
        <v>0</v>
      </c>
      <c r="U222" s="439">
        <f t="shared" si="52"/>
        <v>0</v>
      </c>
      <c r="V222" s="439">
        <f t="shared" si="52"/>
        <v>0</v>
      </c>
      <c r="W222" s="439">
        <f t="shared" si="52"/>
        <v>0</v>
      </c>
      <c r="X222" s="439">
        <f t="shared" si="52"/>
        <v>0</v>
      </c>
      <c r="Y222" s="439">
        <f t="shared" si="52"/>
        <v>0</v>
      </c>
      <c r="Z222" s="81"/>
    </row>
    <row r="223" spans="1:26">
      <c r="A223" s="19"/>
      <c r="B223" s="19"/>
      <c r="C223" s="19" t="s">
        <v>107</v>
      </c>
      <c r="D223" s="19"/>
      <c r="E223" s="439">
        <f t="shared" si="52"/>
        <v>0</v>
      </c>
      <c r="F223" s="439">
        <f t="shared" si="52"/>
        <v>0</v>
      </c>
      <c r="G223" s="439">
        <f t="shared" si="52"/>
        <v>0</v>
      </c>
      <c r="H223" s="439">
        <f t="shared" si="52"/>
        <v>0</v>
      </c>
      <c r="I223" s="439">
        <f t="shared" si="52"/>
        <v>0</v>
      </c>
      <c r="J223" s="439">
        <f t="shared" si="52"/>
        <v>0</v>
      </c>
      <c r="K223" s="439">
        <f t="shared" si="52"/>
        <v>0</v>
      </c>
      <c r="L223" s="439">
        <f t="shared" si="52"/>
        <v>0</v>
      </c>
      <c r="M223" s="439">
        <f t="shared" si="52"/>
        <v>0</v>
      </c>
      <c r="N223" s="439">
        <f t="shared" si="52"/>
        <v>0</v>
      </c>
      <c r="O223" s="439">
        <f t="shared" si="52"/>
        <v>0</v>
      </c>
      <c r="P223" s="439">
        <f t="shared" si="52"/>
        <v>0</v>
      </c>
      <c r="Q223" s="439">
        <f t="shared" si="52"/>
        <v>0</v>
      </c>
      <c r="R223" s="439">
        <f t="shared" si="52"/>
        <v>0</v>
      </c>
      <c r="S223" s="439">
        <f t="shared" si="52"/>
        <v>0</v>
      </c>
      <c r="T223" s="439">
        <f t="shared" si="52"/>
        <v>0</v>
      </c>
      <c r="U223" s="439">
        <f t="shared" si="52"/>
        <v>0</v>
      </c>
      <c r="V223" s="439">
        <f t="shared" si="52"/>
        <v>0</v>
      </c>
      <c r="W223" s="439">
        <f t="shared" si="52"/>
        <v>0</v>
      </c>
      <c r="X223" s="439">
        <f t="shared" si="52"/>
        <v>0</v>
      </c>
      <c r="Y223" s="439">
        <f t="shared" si="52"/>
        <v>0</v>
      </c>
      <c r="Z223" s="81"/>
    </row>
    <row r="224" spans="1:26">
      <c r="A224" s="19"/>
      <c r="B224" s="19"/>
      <c r="C224" s="19" t="s">
        <v>110</v>
      </c>
      <c r="D224" s="19"/>
      <c r="E224" s="439">
        <f t="shared" si="52"/>
        <v>4.1150216763715906E-3</v>
      </c>
      <c r="F224" s="439">
        <f t="shared" si="52"/>
        <v>8.1902682200360177E-3</v>
      </c>
      <c r="G224" s="439">
        <f t="shared" si="52"/>
        <v>1.4479676996640878E-2</v>
      </c>
      <c r="H224" s="439">
        <f t="shared" si="52"/>
        <v>2.3452010022568331E-2</v>
      </c>
      <c r="I224" s="439">
        <f t="shared" si="52"/>
        <v>3.5444099603947093E-2</v>
      </c>
      <c r="J224" s="439">
        <f t="shared" si="52"/>
        <v>5.0545833322794692E-2</v>
      </c>
      <c r="K224" s="439">
        <f t="shared" si="52"/>
        <v>6.8461604922698371E-2</v>
      </c>
      <c r="L224" s="439">
        <f t="shared" si="52"/>
        <v>8.837099196333037E-2</v>
      </c>
      <c r="M224" s="439">
        <f t="shared" si="52"/>
        <v>0.10883211496254175</v>
      </c>
      <c r="N224" s="439">
        <f t="shared" si="52"/>
        <v>0.12779034180917215</v>
      </c>
      <c r="O224" s="439">
        <f t="shared" si="52"/>
        <v>0.14276011873419092</v>
      </c>
      <c r="P224" s="439">
        <f t="shared" si="52"/>
        <v>0.15122177788469804</v>
      </c>
      <c r="Q224" s="439">
        <f t="shared" si="52"/>
        <v>0.15120559133881817</v>
      </c>
      <c r="R224" s="439">
        <f t="shared" si="52"/>
        <v>0.141929465782072</v>
      </c>
      <c r="S224" s="439">
        <f t="shared" si="52"/>
        <v>0.12425648782182608</v>
      </c>
      <c r="T224" s="439">
        <f t="shared" si="52"/>
        <v>0.10071692428277862</v>
      </c>
      <c r="U224" s="439">
        <f t="shared" si="52"/>
        <v>7.4960990981138953E-2</v>
      </c>
      <c r="V224" s="439">
        <f t="shared" si="52"/>
        <v>5.0764086745751058E-2</v>
      </c>
      <c r="W224" s="439">
        <f t="shared" si="52"/>
        <v>3.096971256310338E-2</v>
      </c>
      <c r="X224" s="439">
        <f t="shared" si="52"/>
        <v>1.4793390084891569E-2</v>
      </c>
      <c r="Y224" s="439">
        <f t="shared" si="52"/>
        <v>1.4793390084891564</v>
      </c>
      <c r="Z224" s="81"/>
    </row>
    <row r="225" spans="1:26">
      <c r="A225" s="19"/>
      <c r="B225" s="19"/>
      <c r="C225" s="19" t="s">
        <v>113</v>
      </c>
      <c r="D225" s="19"/>
      <c r="E225" s="439">
        <f t="shared" si="52"/>
        <v>0</v>
      </c>
      <c r="F225" s="439">
        <f t="shared" si="52"/>
        <v>0</v>
      </c>
      <c r="G225" s="439">
        <f t="shared" si="52"/>
        <v>0</v>
      </c>
      <c r="H225" s="439">
        <f t="shared" si="52"/>
        <v>0</v>
      </c>
      <c r="I225" s="439">
        <f t="shared" si="52"/>
        <v>0</v>
      </c>
      <c r="J225" s="439">
        <f t="shared" si="52"/>
        <v>0</v>
      </c>
      <c r="K225" s="439">
        <f t="shared" si="52"/>
        <v>0</v>
      </c>
      <c r="L225" s="439">
        <f t="shared" si="52"/>
        <v>0</v>
      </c>
      <c r="M225" s="439">
        <f t="shared" si="52"/>
        <v>0</v>
      </c>
      <c r="N225" s="439">
        <f t="shared" si="52"/>
        <v>0</v>
      </c>
      <c r="O225" s="439">
        <f t="shared" si="52"/>
        <v>0</v>
      </c>
      <c r="P225" s="439">
        <f t="shared" si="52"/>
        <v>0</v>
      </c>
      <c r="Q225" s="439">
        <f t="shared" si="52"/>
        <v>0</v>
      </c>
      <c r="R225" s="439">
        <f t="shared" si="52"/>
        <v>0</v>
      </c>
      <c r="S225" s="439">
        <f t="shared" si="52"/>
        <v>0</v>
      </c>
      <c r="T225" s="439">
        <f t="shared" si="52"/>
        <v>0</v>
      </c>
      <c r="U225" s="439">
        <f t="shared" si="52"/>
        <v>0</v>
      </c>
      <c r="V225" s="439">
        <f t="shared" si="52"/>
        <v>0</v>
      </c>
      <c r="W225" s="439">
        <f t="shared" si="52"/>
        <v>0</v>
      </c>
      <c r="X225" s="439">
        <f t="shared" si="52"/>
        <v>0</v>
      </c>
      <c r="Y225" s="439">
        <f t="shared" si="52"/>
        <v>0</v>
      </c>
      <c r="Z225" s="81"/>
    </row>
    <row r="226" spans="1:26">
      <c r="A226" s="19"/>
      <c r="B226" s="19"/>
      <c r="C226" s="19" t="s">
        <v>116</v>
      </c>
      <c r="D226" s="19"/>
      <c r="E226" s="439">
        <f t="shared" si="52"/>
        <v>7.1380864615209344E-4</v>
      </c>
      <c r="F226" s="439">
        <f t="shared" si="52"/>
        <v>1.4207177335992457E-3</v>
      </c>
      <c r="G226" s="439">
        <f t="shared" si="52"/>
        <v>2.5117045416891554E-3</v>
      </c>
      <c r="H226" s="439">
        <f t="shared" si="52"/>
        <v>4.0680824647600644E-3</v>
      </c>
      <c r="I226" s="439">
        <f t="shared" si="52"/>
        <v>6.1482798250243609E-3</v>
      </c>
      <c r="J226" s="439">
        <f t="shared" si="52"/>
        <v>8.7678888935007748E-3</v>
      </c>
      <c r="K226" s="439">
        <f t="shared" si="52"/>
        <v>1.1875632588735363E-2</v>
      </c>
      <c r="L226" s="439">
        <f t="shared" si="52"/>
        <v>1.5329197047652787E-2</v>
      </c>
      <c r="M226" s="439">
        <f t="shared" si="52"/>
        <v>1.8878467903425511E-2</v>
      </c>
      <c r="N226" s="439">
        <f t="shared" si="52"/>
        <v>2.2167040188850073E-2</v>
      </c>
      <c r="O226" s="439">
        <f t="shared" si="52"/>
        <v>2.476375948717191E-2</v>
      </c>
      <c r="P226" s="439">
        <f t="shared" si="52"/>
        <v>2.6231553811830177E-2</v>
      </c>
      <c r="Q226" s="439">
        <f t="shared" si="52"/>
        <v>2.6228746026766281E-2</v>
      </c>
      <c r="R226" s="439">
        <f t="shared" si="52"/>
        <v>2.4619670997291232E-2</v>
      </c>
      <c r="S226" s="439">
        <f t="shared" si="52"/>
        <v>2.155404328900612E-2</v>
      </c>
      <c r="T226" s="439">
        <f t="shared" si="52"/>
        <v>1.7470773429870357E-2</v>
      </c>
      <c r="U226" s="439">
        <f t="shared" si="52"/>
        <v>1.300304292288601E-2</v>
      </c>
      <c r="V226" s="439">
        <f t="shared" si="52"/>
        <v>8.805748033162919E-3</v>
      </c>
      <c r="W226" s="439">
        <f t="shared" si="52"/>
        <v>5.372134179346677E-3</v>
      </c>
      <c r="X226" s="439">
        <f t="shared" si="52"/>
        <v>2.5661225089358974E-3</v>
      </c>
      <c r="Y226" s="439">
        <f t="shared" si="52"/>
        <v>0.25661225089359085</v>
      </c>
      <c r="Z226" s="81"/>
    </row>
    <row r="227" spans="1:26">
      <c r="A227" s="19"/>
      <c r="B227" s="19"/>
      <c r="C227" s="19" t="s">
        <v>119</v>
      </c>
      <c r="D227" s="19"/>
      <c r="E227" s="439">
        <f t="shared" si="52"/>
        <v>0</v>
      </c>
      <c r="F227" s="439">
        <f t="shared" si="52"/>
        <v>0</v>
      </c>
      <c r="G227" s="439">
        <f t="shared" si="52"/>
        <v>0</v>
      </c>
      <c r="H227" s="439">
        <f t="shared" ref="H227:Y242" si="53">H190-H189</f>
        <v>0</v>
      </c>
      <c r="I227" s="439">
        <f t="shared" si="53"/>
        <v>0</v>
      </c>
      <c r="J227" s="439">
        <f t="shared" si="53"/>
        <v>0</v>
      </c>
      <c r="K227" s="439">
        <f t="shared" si="53"/>
        <v>0</v>
      </c>
      <c r="L227" s="439">
        <f t="shared" si="53"/>
        <v>0</v>
      </c>
      <c r="M227" s="439">
        <f t="shared" si="53"/>
        <v>0</v>
      </c>
      <c r="N227" s="439">
        <f t="shared" si="53"/>
        <v>0</v>
      </c>
      <c r="O227" s="439">
        <f t="shared" si="53"/>
        <v>0</v>
      </c>
      <c r="P227" s="439">
        <f t="shared" si="53"/>
        <v>0</v>
      </c>
      <c r="Q227" s="439">
        <f t="shared" si="53"/>
        <v>0</v>
      </c>
      <c r="R227" s="439">
        <f t="shared" si="53"/>
        <v>0</v>
      </c>
      <c r="S227" s="439">
        <f t="shared" si="53"/>
        <v>0</v>
      </c>
      <c r="T227" s="439">
        <f t="shared" si="53"/>
        <v>0</v>
      </c>
      <c r="U227" s="439">
        <f t="shared" si="53"/>
        <v>0</v>
      </c>
      <c r="V227" s="439">
        <f t="shared" si="53"/>
        <v>0</v>
      </c>
      <c r="W227" s="439">
        <f t="shared" si="53"/>
        <v>0</v>
      </c>
      <c r="X227" s="439">
        <f t="shared" si="53"/>
        <v>0</v>
      </c>
      <c r="Y227" s="439">
        <f t="shared" si="53"/>
        <v>0</v>
      </c>
      <c r="Z227" s="81"/>
    </row>
    <row r="228" spans="1:26">
      <c r="A228" s="19"/>
      <c r="B228" s="19"/>
      <c r="C228" s="19" t="s">
        <v>122</v>
      </c>
      <c r="D228" s="19"/>
      <c r="E228" s="439">
        <f t="shared" ref="E228:X240" si="54">E191-E190</f>
        <v>0</v>
      </c>
      <c r="F228" s="439">
        <f t="shared" si="54"/>
        <v>0</v>
      </c>
      <c r="G228" s="439">
        <f t="shared" si="54"/>
        <v>0</v>
      </c>
      <c r="H228" s="439">
        <f t="shared" si="54"/>
        <v>0</v>
      </c>
      <c r="I228" s="439">
        <f t="shared" si="54"/>
        <v>0</v>
      </c>
      <c r="J228" s="439">
        <f t="shared" si="54"/>
        <v>0</v>
      </c>
      <c r="K228" s="439">
        <f t="shared" si="54"/>
        <v>0</v>
      </c>
      <c r="L228" s="439">
        <f t="shared" si="54"/>
        <v>0</v>
      </c>
      <c r="M228" s="439">
        <f t="shared" si="54"/>
        <v>0</v>
      </c>
      <c r="N228" s="439">
        <f t="shared" si="54"/>
        <v>0</v>
      </c>
      <c r="O228" s="439">
        <f t="shared" si="54"/>
        <v>0</v>
      </c>
      <c r="P228" s="439">
        <f t="shared" si="54"/>
        <v>0</v>
      </c>
      <c r="Q228" s="439">
        <f t="shared" si="54"/>
        <v>0</v>
      </c>
      <c r="R228" s="439">
        <f t="shared" si="54"/>
        <v>0</v>
      </c>
      <c r="S228" s="439">
        <f t="shared" si="54"/>
        <v>0</v>
      </c>
      <c r="T228" s="439">
        <f t="shared" si="54"/>
        <v>0</v>
      </c>
      <c r="U228" s="439">
        <f t="shared" si="54"/>
        <v>0</v>
      </c>
      <c r="V228" s="439">
        <f t="shared" si="54"/>
        <v>0</v>
      </c>
      <c r="W228" s="439">
        <f t="shared" si="54"/>
        <v>0</v>
      </c>
      <c r="X228" s="439">
        <f t="shared" si="54"/>
        <v>0</v>
      </c>
      <c r="Y228" s="439">
        <f t="shared" si="53"/>
        <v>0</v>
      </c>
      <c r="Z228" s="81"/>
    </row>
    <row r="229" spans="1:26">
      <c r="A229" s="19"/>
      <c r="B229" s="19"/>
      <c r="C229" s="19" t="s">
        <v>125</v>
      </c>
      <c r="D229" s="19"/>
      <c r="E229" s="439">
        <f t="shared" si="54"/>
        <v>0</v>
      </c>
      <c r="F229" s="439">
        <f t="shared" si="54"/>
        <v>0</v>
      </c>
      <c r="G229" s="439">
        <f t="shared" si="54"/>
        <v>0</v>
      </c>
      <c r="H229" s="439">
        <f t="shared" si="54"/>
        <v>0</v>
      </c>
      <c r="I229" s="439">
        <f t="shared" si="54"/>
        <v>0</v>
      </c>
      <c r="J229" s="439">
        <f t="shared" si="54"/>
        <v>0</v>
      </c>
      <c r="K229" s="439">
        <f t="shared" si="54"/>
        <v>0</v>
      </c>
      <c r="L229" s="439">
        <f t="shared" si="54"/>
        <v>0</v>
      </c>
      <c r="M229" s="439">
        <f t="shared" si="54"/>
        <v>0</v>
      </c>
      <c r="N229" s="439">
        <f t="shared" si="54"/>
        <v>0</v>
      </c>
      <c r="O229" s="439">
        <f t="shared" si="54"/>
        <v>0</v>
      </c>
      <c r="P229" s="439">
        <f t="shared" si="54"/>
        <v>0</v>
      </c>
      <c r="Q229" s="439">
        <f t="shared" si="54"/>
        <v>0</v>
      </c>
      <c r="R229" s="439">
        <f t="shared" si="54"/>
        <v>0</v>
      </c>
      <c r="S229" s="439">
        <f t="shared" si="54"/>
        <v>0</v>
      </c>
      <c r="T229" s="439">
        <f t="shared" si="54"/>
        <v>0</v>
      </c>
      <c r="U229" s="439">
        <f t="shared" si="54"/>
        <v>0</v>
      </c>
      <c r="V229" s="439">
        <f t="shared" si="54"/>
        <v>0</v>
      </c>
      <c r="W229" s="439">
        <f t="shared" si="54"/>
        <v>0</v>
      </c>
      <c r="X229" s="439">
        <f t="shared" si="54"/>
        <v>0</v>
      </c>
      <c r="Y229" s="439">
        <f t="shared" si="53"/>
        <v>0</v>
      </c>
      <c r="Z229" s="81"/>
    </row>
    <row r="230" spans="1:26">
      <c r="A230" s="19"/>
      <c r="B230" s="19"/>
      <c r="C230" s="19" t="s">
        <v>128</v>
      </c>
      <c r="D230" s="19"/>
      <c r="E230" s="439">
        <f t="shared" si="54"/>
        <v>4.9396842715316303E-3</v>
      </c>
      <c r="F230" s="439">
        <f t="shared" si="54"/>
        <v>9.8316223553432947E-3</v>
      </c>
      <c r="G230" s="439">
        <f t="shared" si="54"/>
        <v>1.7381447375565739E-2</v>
      </c>
      <c r="H230" s="439">
        <f t="shared" si="54"/>
        <v>2.8151862652259246E-2</v>
      </c>
      <c r="I230" s="439">
        <f t="shared" si="54"/>
        <v>4.2547202688515667E-2</v>
      </c>
      <c r="J230" s="439">
        <f t="shared" si="54"/>
        <v>6.0675368805401475E-2</v>
      </c>
      <c r="K230" s="439">
        <f t="shared" si="54"/>
        <v>8.2181514372641984E-2</v>
      </c>
      <c r="L230" s="439">
        <f t="shared" si="54"/>
        <v>0.10608080185031132</v>
      </c>
      <c r="M230" s="439">
        <f t="shared" si="54"/>
        <v>0.13064239481528395</v>
      </c>
      <c r="N230" s="439">
        <f t="shared" si="54"/>
        <v>0.15339990676428572</v>
      </c>
      <c r="O230" s="439">
        <f t="shared" si="54"/>
        <v>0.17136967155299876</v>
      </c>
      <c r="P230" s="439">
        <f t="shared" si="54"/>
        <v>0.18152707238926302</v>
      </c>
      <c r="Q230" s="439">
        <f t="shared" si="54"/>
        <v>0.18150764201139824</v>
      </c>
      <c r="R230" s="439">
        <f t="shared" si="54"/>
        <v>0.17037255327626077</v>
      </c>
      <c r="S230" s="439">
        <f t="shared" si="54"/>
        <v>0.14915785791690905</v>
      </c>
      <c r="T230" s="439">
        <f t="shared" si="54"/>
        <v>0.12090089576280449</v>
      </c>
      <c r="U230" s="439">
        <f t="shared" si="54"/>
        <v>8.9983396747123023E-2</v>
      </c>
      <c r="V230" s="439">
        <f t="shared" si="54"/>
        <v>6.0937360864100898E-2</v>
      </c>
      <c r="W230" s="439">
        <f t="shared" si="54"/>
        <v>3.7176135163571544E-2</v>
      </c>
      <c r="X230" s="439">
        <f t="shared" si="54"/>
        <v>1.7758029500686404E-2</v>
      </c>
      <c r="Y230" s="439">
        <f t="shared" si="53"/>
        <v>1.7758029500686394</v>
      </c>
      <c r="Z230" s="81"/>
    </row>
    <row r="231" spans="1:26">
      <c r="A231" s="19"/>
      <c r="B231" s="19"/>
      <c r="C231" s="19" t="s">
        <v>131</v>
      </c>
      <c r="D231" s="19"/>
      <c r="E231" s="439">
        <f t="shared" si="54"/>
        <v>0</v>
      </c>
      <c r="F231" s="439">
        <f t="shared" si="54"/>
        <v>0</v>
      </c>
      <c r="G231" s="439">
        <f t="shared" si="54"/>
        <v>0</v>
      </c>
      <c r="H231" s="439">
        <f t="shared" si="54"/>
        <v>0</v>
      </c>
      <c r="I231" s="439">
        <f t="shared" si="54"/>
        <v>0</v>
      </c>
      <c r="J231" s="439">
        <f t="shared" si="54"/>
        <v>0</v>
      </c>
      <c r="K231" s="439">
        <f t="shared" si="54"/>
        <v>0</v>
      </c>
      <c r="L231" s="439">
        <f t="shared" si="54"/>
        <v>0</v>
      </c>
      <c r="M231" s="439">
        <f t="shared" si="54"/>
        <v>0</v>
      </c>
      <c r="N231" s="439">
        <f t="shared" si="54"/>
        <v>0</v>
      </c>
      <c r="O231" s="439">
        <f t="shared" si="54"/>
        <v>0</v>
      </c>
      <c r="P231" s="439">
        <f t="shared" si="54"/>
        <v>0</v>
      </c>
      <c r="Q231" s="439">
        <f t="shared" si="54"/>
        <v>0</v>
      </c>
      <c r="R231" s="439">
        <f t="shared" si="54"/>
        <v>0</v>
      </c>
      <c r="S231" s="439">
        <f t="shared" si="54"/>
        <v>0</v>
      </c>
      <c r="T231" s="439">
        <f t="shared" si="54"/>
        <v>0</v>
      </c>
      <c r="U231" s="439">
        <f t="shared" si="54"/>
        <v>0</v>
      </c>
      <c r="V231" s="439">
        <f t="shared" si="54"/>
        <v>0</v>
      </c>
      <c r="W231" s="439">
        <f t="shared" si="54"/>
        <v>0</v>
      </c>
      <c r="X231" s="439">
        <f t="shared" si="54"/>
        <v>0</v>
      </c>
      <c r="Y231" s="439">
        <f t="shared" si="53"/>
        <v>0</v>
      </c>
      <c r="Z231" s="81"/>
    </row>
    <row r="232" spans="1:26">
      <c r="A232" s="19"/>
      <c r="B232" s="19"/>
      <c r="C232" s="19" t="s">
        <v>134</v>
      </c>
      <c r="D232" s="19"/>
      <c r="E232" s="439">
        <f t="shared" si="54"/>
        <v>1.3399902310966404E-2</v>
      </c>
      <c r="F232" s="439">
        <f t="shared" si="54"/>
        <v>2.6670283337575471E-2</v>
      </c>
      <c r="G232" s="439">
        <f t="shared" si="54"/>
        <v>4.7150725441722829E-2</v>
      </c>
      <c r="H232" s="439">
        <f t="shared" si="54"/>
        <v>7.6367676287750069E-2</v>
      </c>
      <c r="I232" s="439">
        <f t="shared" si="54"/>
        <v>0.11541797578374779</v>
      </c>
      <c r="J232" s="439">
        <f t="shared" si="54"/>
        <v>0.16459432829745235</v>
      </c>
      <c r="K232" s="439">
        <f t="shared" si="54"/>
        <v>0.22293413988162269</v>
      </c>
      <c r="L232" s="439">
        <f t="shared" si="54"/>
        <v>0.28776583759722862</v>
      </c>
      <c r="M232" s="439">
        <f t="shared" si="54"/>
        <v>0.35439417419541019</v>
      </c>
      <c r="N232" s="439">
        <f t="shared" si="54"/>
        <v>0.4161285726294871</v>
      </c>
      <c r="O232" s="439">
        <f t="shared" si="54"/>
        <v>0.4648752291936602</v>
      </c>
      <c r="P232" s="439">
        <f t="shared" si="54"/>
        <v>0.49242925318739661</v>
      </c>
      <c r="Q232" s="439">
        <f t="shared" si="54"/>
        <v>0.49237654431959466</v>
      </c>
      <c r="R232" s="439">
        <f t="shared" si="54"/>
        <v>0.46217034224819775</v>
      </c>
      <c r="S232" s="439">
        <f t="shared" si="54"/>
        <v>0.40462114886947209</v>
      </c>
      <c r="T232" s="439">
        <f t="shared" si="54"/>
        <v>0.32796836872077817</v>
      </c>
      <c r="U232" s="439">
        <f t="shared" si="54"/>
        <v>0.24409833903139566</v>
      </c>
      <c r="V232" s="439">
        <f t="shared" si="54"/>
        <v>0.16530503525762258</v>
      </c>
      <c r="W232" s="439">
        <f t="shared" si="54"/>
        <v>0.10084785830586707</v>
      </c>
      <c r="X232" s="439">
        <f t="shared" si="54"/>
        <v>4.8172281357301283E-2</v>
      </c>
      <c r="Y232" s="439">
        <f t="shared" si="53"/>
        <v>4.8172281357301294</v>
      </c>
      <c r="Z232" s="81"/>
    </row>
    <row r="233" spans="1:26">
      <c r="A233" s="19"/>
      <c r="B233" s="19"/>
      <c r="C233" s="19" t="s">
        <v>137</v>
      </c>
      <c r="D233" s="19"/>
      <c r="E233" s="439">
        <f t="shared" si="54"/>
        <v>1.5958818506219691E-4</v>
      </c>
      <c r="F233" s="439">
        <f t="shared" si="54"/>
        <v>3.1763381658797551E-4</v>
      </c>
      <c r="G233" s="439">
        <f t="shared" si="54"/>
        <v>5.6154877274380843E-4</v>
      </c>
      <c r="H233" s="439">
        <f t="shared" si="54"/>
        <v>9.0951251534160393E-4</v>
      </c>
      <c r="I233" s="439">
        <f t="shared" si="54"/>
        <v>1.3745880269444566E-3</v>
      </c>
      <c r="J233" s="439">
        <f t="shared" si="54"/>
        <v>1.9602613149667381E-3</v>
      </c>
      <c r="K233" s="439">
        <f t="shared" si="54"/>
        <v>2.6550682196386788E-3</v>
      </c>
      <c r="L233" s="439">
        <f t="shared" si="54"/>
        <v>3.4271912346302003E-3</v>
      </c>
      <c r="M233" s="439">
        <f t="shared" si="54"/>
        <v>4.2207115950518848E-3</v>
      </c>
      <c r="N233" s="439">
        <f t="shared" si="54"/>
        <v>4.9559468507553994E-3</v>
      </c>
      <c r="O233" s="439">
        <f t="shared" si="54"/>
        <v>5.5365026091771519E-3</v>
      </c>
      <c r="P233" s="439">
        <f t="shared" si="54"/>
        <v>5.8646614702102529E-3</v>
      </c>
      <c r="Q233" s="439">
        <f t="shared" si="54"/>
        <v>5.8640337258915043E-3</v>
      </c>
      <c r="R233" s="439">
        <f t="shared" si="54"/>
        <v>5.504288344594821E-3</v>
      </c>
      <c r="S233" s="439">
        <f t="shared" si="54"/>
        <v>4.8188974283052133E-3</v>
      </c>
      <c r="T233" s="439">
        <f t="shared" si="54"/>
        <v>3.9059894249469096E-3</v>
      </c>
      <c r="U233" s="439">
        <f t="shared" si="54"/>
        <v>2.9071264848576917E-3</v>
      </c>
      <c r="V233" s="439">
        <f t="shared" si="54"/>
        <v>1.9687255881571941E-3</v>
      </c>
      <c r="W233" s="439">
        <f t="shared" si="54"/>
        <v>1.2010629854570798E-3</v>
      </c>
      <c r="X233" s="439">
        <f t="shared" si="54"/>
        <v>5.7371514908921561E-4</v>
      </c>
      <c r="Y233" s="439">
        <f t="shared" si="53"/>
        <v>5.7371514908920673E-2</v>
      </c>
      <c r="Z233" s="81"/>
    </row>
    <row r="234" spans="1:26">
      <c r="A234" s="19"/>
      <c r="B234" s="19"/>
      <c r="C234" s="19" t="s">
        <v>140</v>
      </c>
      <c r="D234" s="19"/>
      <c r="E234" s="439">
        <f t="shared" si="54"/>
        <v>3.6308025371951033E-3</v>
      </c>
      <c r="F234" s="439">
        <f t="shared" si="54"/>
        <v>7.226510325417268E-3</v>
      </c>
      <c r="G234" s="439">
        <f t="shared" si="54"/>
        <v>1.2775837434597731E-2</v>
      </c>
      <c r="H234" s="439">
        <f t="shared" si="54"/>
        <v>2.0692386137646429E-2</v>
      </c>
      <c r="I234" s="439">
        <f t="shared" si="54"/>
        <v>3.1273353311732643E-2</v>
      </c>
      <c r="J234" s="439">
        <f t="shared" si="54"/>
        <v>4.4598049367959525E-2</v>
      </c>
      <c r="K234" s="439">
        <f t="shared" si="54"/>
        <v>6.0405652364134976E-2</v>
      </c>
      <c r="L234" s="439">
        <f t="shared" si="54"/>
        <v>7.7972279873340211E-2</v>
      </c>
      <c r="M234" s="439">
        <f t="shared" si="54"/>
        <v>9.6025719962361533E-2</v>
      </c>
      <c r="N234" s="439">
        <f t="shared" si="54"/>
        <v>0.11275311134664223</v>
      </c>
      <c r="O234" s="439">
        <f t="shared" si="54"/>
        <v>0.12596137811050734</v>
      </c>
      <c r="P234" s="439">
        <f t="shared" si="54"/>
        <v>0.13342734449628613</v>
      </c>
      <c r="Q234" s="439">
        <f t="shared" si="54"/>
        <v>0.13341306263911212</v>
      </c>
      <c r="R234" s="439">
        <f t="shared" si="54"/>
        <v>0.12522846900740348</v>
      </c>
      <c r="S234" s="439">
        <f t="shared" si="54"/>
        <v>0.1096350898555265</v>
      </c>
      <c r="T234" s="439">
        <f t="shared" si="54"/>
        <v>8.8865452720248816E-2</v>
      </c>
      <c r="U234" s="439">
        <f t="shared" si="54"/>
        <v>6.614024849681055E-2</v>
      </c>
      <c r="V234" s="439">
        <f t="shared" si="54"/>
        <v>4.4790620669921566E-2</v>
      </c>
      <c r="W234" s="439">
        <f t="shared" si="54"/>
        <v>2.7325472328852185E-2</v>
      </c>
      <c r="X234" s="439">
        <f t="shared" si="54"/>
        <v>1.305263555775521E-2</v>
      </c>
      <c r="Y234" s="439">
        <f t="shared" si="53"/>
        <v>1.3052635557755234</v>
      </c>
      <c r="Z234" s="81"/>
    </row>
    <row r="235" spans="1:26">
      <c r="A235" s="19"/>
      <c r="B235" s="19"/>
      <c r="C235" s="19" t="s">
        <v>143</v>
      </c>
      <c r="D235" s="19"/>
      <c r="E235" s="439">
        <f t="shared" si="54"/>
        <v>0</v>
      </c>
      <c r="F235" s="439">
        <f t="shared" si="54"/>
        <v>0</v>
      </c>
      <c r="G235" s="439">
        <f t="shared" si="54"/>
        <v>0</v>
      </c>
      <c r="H235" s="439">
        <f t="shared" si="54"/>
        <v>0</v>
      </c>
      <c r="I235" s="439">
        <f t="shared" si="54"/>
        <v>0</v>
      </c>
      <c r="J235" s="439">
        <f t="shared" si="54"/>
        <v>0</v>
      </c>
      <c r="K235" s="439">
        <f t="shared" si="54"/>
        <v>0</v>
      </c>
      <c r="L235" s="439">
        <f t="shared" si="54"/>
        <v>0</v>
      </c>
      <c r="M235" s="439">
        <f t="shared" si="54"/>
        <v>0</v>
      </c>
      <c r="N235" s="439">
        <f t="shared" si="54"/>
        <v>0</v>
      </c>
      <c r="O235" s="439">
        <f t="shared" si="54"/>
        <v>0</v>
      </c>
      <c r="P235" s="439">
        <f t="shared" si="54"/>
        <v>0</v>
      </c>
      <c r="Q235" s="439">
        <f t="shared" si="54"/>
        <v>0</v>
      </c>
      <c r="R235" s="439">
        <f t="shared" si="54"/>
        <v>0</v>
      </c>
      <c r="S235" s="439">
        <f t="shared" si="54"/>
        <v>0</v>
      </c>
      <c r="T235" s="439">
        <f t="shared" si="54"/>
        <v>0</v>
      </c>
      <c r="U235" s="439">
        <f t="shared" si="54"/>
        <v>0</v>
      </c>
      <c r="V235" s="439">
        <f t="shared" si="54"/>
        <v>0</v>
      </c>
      <c r="W235" s="439">
        <f t="shared" si="54"/>
        <v>0</v>
      </c>
      <c r="X235" s="439">
        <f t="shared" si="54"/>
        <v>0</v>
      </c>
      <c r="Y235" s="439">
        <f t="shared" si="53"/>
        <v>0</v>
      </c>
      <c r="Z235" s="81"/>
    </row>
    <row r="236" spans="1:26">
      <c r="A236" s="19"/>
      <c r="B236" s="19"/>
      <c r="C236" s="19" t="s">
        <v>146</v>
      </c>
      <c r="D236" s="19"/>
      <c r="E236" s="439">
        <f t="shared" si="54"/>
        <v>3.4597405806877091E-3</v>
      </c>
      <c r="F236" s="439">
        <f t="shared" si="54"/>
        <v>6.8860398695544389E-3</v>
      </c>
      <c r="G236" s="439">
        <f t="shared" si="54"/>
        <v>1.2173915483405351E-2</v>
      </c>
      <c r="H236" s="439">
        <f t="shared" si="54"/>
        <v>1.9717483200554442E-2</v>
      </c>
      <c r="I236" s="439">
        <f t="shared" si="54"/>
        <v>2.9799937737834514E-2</v>
      </c>
      <c r="J236" s="439">
        <f t="shared" si="54"/>
        <v>4.2496852868523893E-2</v>
      </c>
      <c r="K236" s="439">
        <f t="shared" si="54"/>
        <v>5.7559695038816638E-2</v>
      </c>
      <c r="L236" s="439">
        <f t="shared" si="54"/>
        <v>7.4298686883406018E-2</v>
      </c>
      <c r="M236" s="439">
        <f t="shared" si="54"/>
        <v>9.150155557624684E-2</v>
      </c>
      <c r="N236" s="439">
        <f t="shared" si="54"/>
        <v>0.10744085114200042</v>
      </c>
      <c r="O236" s="439">
        <f t="shared" si="54"/>
        <v>0.12002682244045482</v>
      </c>
      <c r="P236" s="439">
        <f t="shared" si="54"/>
        <v>0.12714103661605791</v>
      </c>
      <c r="Q236" s="439">
        <f t="shared" si="54"/>
        <v>0.12712742763558449</v>
      </c>
      <c r="R236" s="439">
        <f t="shared" si="54"/>
        <v>0.1193284436825941</v>
      </c>
      <c r="S236" s="439">
        <f t="shared" si="54"/>
        <v>0.10446973239517865</v>
      </c>
      <c r="T236" s="439">
        <f t="shared" si="54"/>
        <v>8.4678637807426904E-2</v>
      </c>
      <c r="U236" s="439">
        <f t="shared" si="54"/>
        <v>6.3024110894766561E-2</v>
      </c>
      <c r="V236" s="439">
        <f t="shared" si="54"/>
        <v>4.2680351348887147E-2</v>
      </c>
      <c r="W236" s="439">
        <f t="shared" si="54"/>
        <v>2.603805757380101E-2</v>
      </c>
      <c r="X236" s="439">
        <f t="shared" si="54"/>
        <v>1.2437672514952952E-2</v>
      </c>
      <c r="Y236" s="439">
        <f t="shared" si="53"/>
        <v>1.2437672514952958</v>
      </c>
      <c r="Z236" s="81"/>
    </row>
    <row r="237" spans="1:26">
      <c r="A237" s="19"/>
      <c r="B237" s="19"/>
      <c r="C237" s="19" t="s">
        <v>149</v>
      </c>
      <c r="D237" s="19"/>
      <c r="E237" s="439">
        <f t="shared" si="54"/>
        <v>1.6101665629186281E-2</v>
      </c>
      <c r="F237" s="439">
        <f t="shared" si="54"/>
        <v>3.2047695167587167E-2</v>
      </c>
      <c r="G237" s="439">
        <f t="shared" si="54"/>
        <v>5.6657518660778422E-2</v>
      </c>
      <c r="H237" s="439">
        <f t="shared" si="54"/>
        <v>9.1765354696425827E-2</v>
      </c>
      <c r="I237" s="439">
        <f t="shared" si="54"/>
        <v>0.13868919418513281</v>
      </c>
      <c r="J237" s="439">
        <f t="shared" si="54"/>
        <v>0.19778075818785257</v>
      </c>
      <c r="K237" s="439">
        <f t="shared" si="54"/>
        <v>0.26788336917698341</v>
      </c>
      <c r="L237" s="439">
        <f t="shared" si="54"/>
        <v>0.34578679672173873</v>
      </c>
      <c r="M237" s="439">
        <f t="shared" si="54"/>
        <v>0.42584911153837735</v>
      </c>
      <c r="N237" s="439">
        <f t="shared" si="54"/>
        <v>0.50003074498140343</v>
      </c>
      <c r="O237" s="439">
        <f t="shared" si="54"/>
        <v>0.55860597533175671</v>
      </c>
      <c r="P237" s="439">
        <f t="shared" si="54"/>
        <v>0.591715595893888</v>
      </c>
      <c r="Q237" s="439">
        <f t="shared" si="54"/>
        <v>0.59165225956908896</v>
      </c>
      <c r="R237" s="439">
        <f t="shared" si="54"/>
        <v>0.5553557139380656</v>
      </c>
      <c r="S237" s="439">
        <f t="shared" si="54"/>
        <v>0.48620313002293636</v>
      </c>
      <c r="T237" s="439">
        <f t="shared" si="54"/>
        <v>0.39409518722907699</v>
      </c>
      <c r="U237" s="439">
        <f t="shared" si="54"/>
        <v>0.29331481263909476</v>
      </c>
      <c r="V237" s="439">
        <f t="shared" si="54"/>
        <v>0.19863476186395612</v>
      </c>
      <c r="W237" s="439">
        <f t="shared" si="54"/>
        <v>0.12118136805607188</v>
      </c>
      <c r="X237" s="439">
        <f t="shared" si="54"/>
        <v>5.7885046398850171E-2</v>
      </c>
      <c r="Y237" s="439">
        <f t="shared" si="53"/>
        <v>5.7885046398850193</v>
      </c>
      <c r="Z237" s="81"/>
    </row>
    <row r="238" spans="1:26">
      <c r="A238" s="19"/>
      <c r="B238" s="19"/>
      <c r="C238" s="19" t="s">
        <v>152</v>
      </c>
      <c r="D238" s="19"/>
      <c r="E238" s="439">
        <f t="shared" si="54"/>
        <v>0</v>
      </c>
      <c r="F238" s="439">
        <f t="shared" si="54"/>
        <v>0</v>
      </c>
      <c r="G238" s="439">
        <f t="shared" si="54"/>
        <v>0</v>
      </c>
      <c r="H238" s="439">
        <f t="shared" si="54"/>
        <v>0</v>
      </c>
      <c r="I238" s="439">
        <f t="shared" si="54"/>
        <v>0</v>
      </c>
      <c r="J238" s="439">
        <f t="shared" si="54"/>
        <v>0</v>
      </c>
      <c r="K238" s="439">
        <f t="shared" si="54"/>
        <v>0</v>
      </c>
      <c r="L238" s="439">
        <f t="shared" si="54"/>
        <v>0</v>
      </c>
      <c r="M238" s="439">
        <f t="shared" si="54"/>
        <v>0</v>
      </c>
      <c r="N238" s="439">
        <f t="shared" si="54"/>
        <v>0</v>
      </c>
      <c r="O238" s="439">
        <f t="shared" si="54"/>
        <v>0</v>
      </c>
      <c r="P238" s="439">
        <f t="shared" si="54"/>
        <v>0</v>
      </c>
      <c r="Q238" s="439">
        <f t="shared" si="54"/>
        <v>0</v>
      </c>
      <c r="R238" s="439">
        <f t="shared" si="54"/>
        <v>0</v>
      </c>
      <c r="S238" s="439">
        <f t="shared" si="54"/>
        <v>0</v>
      </c>
      <c r="T238" s="439">
        <f t="shared" si="54"/>
        <v>0</v>
      </c>
      <c r="U238" s="439">
        <f t="shared" si="54"/>
        <v>0</v>
      </c>
      <c r="V238" s="439">
        <f t="shared" si="54"/>
        <v>0</v>
      </c>
      <c r="W238" s="439">
        <f t="shared" si="54"/>
        <v>0</v>
      </c>
      <c r="X238" s="439">
        <f t="shared" si="54"/>
        <v>0</v>
      </c>
      <c r="Y238" s="439">
        <f t="shared" si="53"/>
        <v>0</v>
      </c>
      <c r="Z238" s="81"/>
    </row>
    <row r="239" spans="1:26">
      <c r="A239" s="19"/>
      <c r="B239" s="19"/>
      <c r="C239" s="19" t="s">
        <v>155</v>
      </c>
      <c r="D239" s="19"/>
      <c r="E239" s="439">
        <f t="shared" si="54"/>
        <v>0</v>
      </c>
      <c r="F239" s="439">
        <f t="shared" si="54"/>
        <v>0</v>
      </c>
      <c r="G239" s="439">
        <f t="shared" si="54"/>
        <v>0</v>
      </c>
      <c r="H239" s="439">
        <f t="shared" si="54"/>
        <v>0</v>
      </c>
      <c r="I239" s="439">
        <f t="shared" si="54"/>
        <v>0</v>
      </c>
      <c r="J239" s="439">
        <f t="shared" si="54"/>
        <v>0</v>
      </c>
      <c r="K239" s="439">
        <f t="shared" si="54"/>
        <v>0</v>
      </c>
      <c r="L239" s="439">
        <f t="shared" si="54"/>
        <v>0</v>
      </c>
      <c r="M239" s="439">
        <f t="shared" si="54"/>
        <v>0</v>
      </c>
      <c r="N239" s="439">
        <f t="shared" si="54"/>
        <v>0</v>
      </c>
      <c r="O239" s="439">
        <f t="shared" si="54"/>
        <v>0</v>
      </c>
      <c r="P239" s="439">
        <f t="shared" si="54"/>
        <v>0</v>
      </c>
      <c r="Q239" s="439">
        <f t="shared" si="54"/>
        <v>0</v>
      </c>
      <c r="R239" s="439">
        <f t="shared" si="54"/>
        <v>0</v>
      </c>
      <c r="S239" s="439">
        <f t="shared" si="54"/>
        <v>0</v>
      </c>
      <c r="T239" s="439">
        <f t="shared" si="54"/>
        <v>0</v>
      </c>
      <c r="U239" s="439">
        <f t="shared" si="54"/>
        <v>0</v>
      </c>
      <c r="V239" s="439">
        <f t="shared" si="54"/>
        <v>0</v>
      </c>
      <c r="W239" s="439">
        <f t="shared" si="54"/>
        <v>0</v>
      </c>
      <c r="X239" s="439">
        <f t="shared" si="54"/>
        <v>0</v>
      </c>
      <c r="Y239" s="439">
        <f t="shared" si="53"/>
        <v>0</v>
      </c>
      <c r="Z239" s="81"/>
    </row>
    <row r="240" spans="1:26">
      <c r="A240" s="19"/>
      <c r="B240" s="19"/>
      <c r="C240" s="19" t="s">
        <v>158</v>
      </c>
      <c r="D240" s="19"/>
      <c r="E240" s="439">
        <f t="shared" si="54"/>
        <v>0</v>
      </c>
      <c r="F240" s="439">
        <f t="shared" si="54"/>
        <v>0</v>
      </c>
      <c r="G240" s="439">
        <f t="shared" si="54"/>
        <v>0</v>
      </c>
      <c r="H240" s="439">
        <f t="shared" si="54"/>
        <v>0</v>
      </c>
      <c r="I240" s="439">
        <f t="shared" si="54"/>
        <v>0</v>
      </c>
      <c r="J240" s="439">
        <f t="shared" si="54"/>
        <v>0</v>
      </c>
      <c r="K240" s="439">
        <f t="shared" si="54"/>
        <v>0</v>
      </c>
      <c r="L240" s="439">
        <f t="shared" si="54"/>
        <v>0</v>
      </c>
      <c r="M240" s="439">
        <f t="shared" si="54"/>
        <v>0</v>
      </c>
      <c r="N240" s="439">
        <f t="shared" si="54"/>
        <v>0</v>
      </c>
      <c r="O240" s="439">
        <f t="shared" si="54"/>
        <v>0</v>
      </c>
      <c r="P240" s="439">
        <f t="shared" si="54"/>
        <v>0</v>
      </c>
      <c r="Q240" s="439">
        <f t="shared" si="54"/>
        <v>0</v>
      </c>
      <c r="R240" s="439">
        <f t="shared" si="54"/>
        <v>0</v>
      </c>
      <c r="S240" s="439">
        <f t="shared" si="54"/>
        <v>0</v>
      </c>
      <c r="T240" s="439">
        <f t="shared" ref="T240:X240" si="55">T203-T202</f>
        <v>0</v>
      </c>
      <c r="U240" s="439">
        <f t="shared" si="55"/>
        <v>0</v>
      </c>
      <c r="V240" s="439">
        <f t="shared" si="55"/>
        <v>0</v>
      </c>
      <c r="W240" s="439">
        <f t="shared" si="55"/>
        <v>0</v>
      </c>
      <c r="X240" s="439">
        <f t="shared" si="55"/>
        <v>0</v>
      </c>
      <c r="Y240" s="439">
        <f t="shared" si="53"/>
        <v>0</v>
      </c>
      <c r="Z240" s="81"/>
    </row>
    <row r="241" spans="1:26">
      <c r="A241" s="19"/>
      <c r="B241" s="19"/>
      <c r="C241" s="19" t="s">
        <v>161</v>
      </c>
      <c r="D241" s="19"/>
      <c r="E241" s="439">
        <f t="shared" ref="E241:X245" si="56">E204-E203</f>
        <v>7.3436747803093949E-3</v>
      </c>
      <c r="F241" s="439">
        <f t="shared" si="56"/>
        <v>1.4616366790194429E-2</v>
      </c>
      <c r="G241" s="439">
        <f t="shared" si="56"/>
        <v>2.5840456539470119E-2</v>
      </c>
      <c r="H241" s="439">
        <f t="shared" si="56"/>
        <v>4.1852497530986466E-2</v>
      </c>
      <c r="I241" s="439">
        <f t="shared" si="56"/>
        <v>6.3253601279152916E-2</v>
      </c>
      <c r="J241" s="439">
        <f t="shared" si="56"/>
        <v>9.0204181317855459E-2</v>
      </c>
      <c r="K241" s="439">
        <f t="shared" si="56"/>
        <v>0.12217669821210575</v>
      </c>
      <c r="L241" s="439">
        <f t="shared" si="56"/>
        <v>0.15770702466001563</v>
      </c>
      <c r="M241" s="439">
        <f t="shared" si="56"/>
        <v>0.19422198005111535</v>
      </c>
      <c r="N241" s="439">
        <f t="shared" si="56"/>
        <v>0.22805486437646394</v>
      </c>
      <c r="O241" s="439">
        <f t="shared" si="56"/>
        <v>0.25476995409333103</v>
      </c>
      <c r="P241" s="439">
        <f t="shared" si="56"/>
        <v>0.26987064560607799</v>
      </c>
      <c r="Q241" s="439">
        <f t="shared" si="56"/>
        <v>0.26984175906838548</v>
      </c>
      <c r="R241" s="439">
        <f t="shared" si="56"/>
        <v>0.25328756940245745</v>
      </c>
      <c r="S241" s="439">
        <f t="shared" si="56"/>
        <v>0.22174834245625563</v>
      </c>
      <c r="T241" s="439">
        <f t="shared" si="56"/>
        <v>0.17973959676876827</v>
      </c>
      <c r="U241" s="439">
        <f t="shared" si="56"/>
        <v>0.13377551378066643</v>
      </c>
      <c r="V241" s="439">
        <f t="shared" si="56"/>
        <v>9.0593676752857455E-2</v>
      </c>
      <c r="W241" s="439">
        <f t="shared" si="56"/>
        <v>5.5268602449654647E-2</v>
      </c>
      <c r="X241" s="439">
        <f t="shared" si="56"/>
        <v>2.6400309457783544E-2</v>
      </c>
      <c r="Y241" s="439">
        <f t="shared" si="53"/>
        <v>2.6400309457783564</v>
      </c>
      <c r="Z241" s="81"/>
    </row>
    <row r="242" spans="1:26">
      <c r="A242" s="19"/>
      <c r="B242" s="19"/>
      <c r="C242" s="19" t="s">
        <v>164</v>
      </c>
      <c r="D242" s="19"/>
      <c r="E242" s="439">
        <f t="shared" si="56"/>
        <v>0</v>
      </c>
      <c r="F242" s="439">
        <f t="shared" si="56"/>
        <v>0</v>
      </c>
      <c r="G242" s="439">
        <f t="shared" si="56"/>
        <v>0</v>
      </c>
      <c r="H242" s="439">
        <f t="shared" si="56"/>
        <v>0</v>
      </c>
      <c r="I242" s="439">
        <f t="shared" si="56"/>
        <v>0</v>
      </c>
      <c r="J242" s="439">
        <f t="shared" si="56"/>
        <v>0</v>
      </c>
      <c r="K242" s="439">
        <f t="shared" si="56"/>
        <v>0</v>
      </c>
      <c r="L242" s="439">
        <f t="shared" si="56"/>
        <v>0</v>
      </c>
      <c r="M242" s="439">
        <f t="shared" si="56"/>
        <v>0</v>
      </c>
      <c r="N242" s="439">
        <f t="shared" si="56"/>
        <v>0</v>
      </c>
      <c r="O242" s="439">
        <f t="shared" si="56"/>
        <v>0</v>
      </c>
      <c r="P242" s="439">
        <f t="shared" si="56"/>
        <v>0</v>
      </c>
      <c r="Q242" s="439">
        <f t="shared" si="56"/>
        <v>0</v>
      </c>
      <c r="R242" s="439">
        <f t="shared" si="56"/>
        <v>0</v>
      </c>
      <c r="S242" s="439">
        <f t="shared" si="56"/>
        <v>0</v>
      </c>
      <c r="T242" s="439">
        <f t="shared" si="56"/>
        <v>0</v>
      </c>
      <c r="U242" s="439">
        <f t="shared" si="56"/>
        <v>0</v>
      </c>
      <c r="V242" s="439">
        <f t="shared" si="56"/>
        <v>0</v>
      </c>
      <c r="W242" s="439">
        <f t="shared" si="56"/>
        <v>0</v>
      </c>
      <c r="X242" s="439">
        <f t="shared" si="56"/>
        <v>0</v>
      </c>
      <c r="Y242" s="439">
        <f t="shared" si="53"/>
        <v>0</v>
      </c>
      <c r="Z242" s="81"/>
    </row>
    <row r="243" spans="1:26">
      <c r="A243" s="19"/>
      <c r="B243" s="19"/>
      <c r="C243" s="19" t="s">
        <v>167</v>
      </c>
      <c r="D243" s="19"/>
      <c r="E243" s="439">
        <f t="shared" si="56"/>
        <v>0</v>
      </c>
      <c r="F243" s="439">
        <f t="shared" si="56"/>
        <v>0</v>
      </c>
      <c r="G243" s="439">
        <f t="shared" si="56"/>
        <v>0</v>
      </c>
      <c r="H243" s="439">
        <f t="shared" si="56"/>
        <v>0</v>
      </c>
      <c r="I243" s="439">
        <f t="shared" si="56"/>
        <v>0</v>
      </c>
      <c r="J243" s="439">
        <f t="shared" si="56"/>
        <v>0</v>
      </c>
      <c r="K243" s="439">
        <f t="shared" si="56"/>
        <v>0</v>
      </c>
      <c r="L243" s="439">
        <f t="shared" si="56"/>
        <v>0</v>
      </c>
      <c r="M243" s="439">
        <f t="shared" si="56"/>
        <v>0</v>
      </c>
      <c r="N243" s="439">
        <f t="shared" si="56"/>
        <v>0</v>
      </c>
      <c r="O243" s="439">
        <f t="shared" si="56"/>
        <v>0</v>
      </c>
      <c r="P243" s="439">
        <f t="shared" si="56"/>
        <v>0</v>
      </c>
      <c r="Q243" s="439">
        <f t="shared" si="56"/>
        <v>0</v>
      </c>
      <c r="R243" s="439">
        <f t="shared" si="56"/>
        <v>0</v>
      </c>
      <c r="S243" s="439">
        <f t="shared" si="56"/>
        <v>0</v>
      </c>
      <c r="T243" s="439">
        <f t="shared" si="56"/>
        <v>0</v>
      </c>
      <c r="U243" s="439">
        <f t="shared" si="56"/>
        <v>0</v>
      </c>
      <c r="V243" s="439">
        <f t="shared" si="56"/>
        <v>0</v>
      </c>
      <c r="W243" s="439">
        <f t="shared" si="56"/>
        <v>0</v>
      </c>
      <c r="X243" s="439">
        <f t="shared" si="56"/>
        <v>0</v>
      </c>
      <c r="Y243" s="439">
        <f t="shared" ref="Y243:Y245" si="57">Y206-Y205</f>
        <v>0</v>
      </c>
      <c r="Z243" s="81"/>
    </row>
    <row r="244" spans="1:26">
      <c r="A244" s="19"/>
      <c r="B244" s="19"/>
      <c r="C244" s="19" t="s">
        <v>170</v>
      </c>
      <c r="D244" s="19"/>
      <c r="E244" s="439">
        <f t="shared" si="56"/>
        <v>0</v>
      </c>
      <c r="F244" s="439">
        <f t="shared" si="56"/>
        <v>0</v>
      </c>
      <c r="G244" s="439">
        <f t="shared" si="56"/>
        <v>0</v>
      </c>
      <c r="H244" s="439">
        <f t="shared" si="56"/>
        <v>0</v>
      </c>
      <c r="I244" s="439">
        <f t="shared" si="56"/>
        <v>0</v>
      </c>
      <c r="J244" s="439">
        <f t="shared" si="56"/>
        <v>0</v>
      </c>
      <c r="K244" s="439">
        <f t="shared" si="56"/>
        <v>0</v>
      </c>
      <c r="L244" s="439">
        <f t="shared" si="56"/>
        <v>0</v>
      </c>
      <c r="M244" s="439">
        <f t="shared" si="56"/>
        <v>0</v>
      </c>
      <c r="N244" s="439">
        <f t="shared" si="56"/>
        <v>0</v>
      </c>
      <c r="O244" s="439">
        <f t="shared" si="56"/>
        <v>0</v>
      </c>
      <c r="P244" s="439">
        <f t="shared" si="56"/>
        <v>0</v>
      </c>
      <c r="Q244" s="439">
        <f t="shared" si="56"/>
        <v>0</v>
      </c>
      <c r="R244" s="439">
        <f t="shared" si="56"/>
        <v>0</v>
      </c>
      <c r="S244" s="439">
        <f t="shared" si="56"/>
        <v>0</v>
      </c>
      <c r="T244" s="439">
        <f t="shared" si="56"/>
        <v>0</v>
      </c>
      <c r="U244" s="439">
        <f t="shared" si="56"/>
        <v>0</v>
      </c>
      <c r="V244" s="439">
        <f t="shared" si="56"/>
        <v>0</v>
      </c>
      <c r="W244" s="439">
        <f t="shared" si="56"/>
        <v>0</v>
      </c>
      <c r="X244" s="439">
        <f t="shared" si="56"/>
        <v>0</v>
      </c>
      <c r="Y244" s="439">
        <f t="shared" si="57"/>
        <v>0</v>
      </c>
      <c r="Z244" s="81"/>
    </row>
    <row r="245" spans="1:26">
      <c r="A245" s="19"/>
      <c r="B245" s="19"/>
      <c r="C245" s="19" t="s">
        <v>173</v>
      </c>
      <c r="D245" s="19"/>
      <c r="E245" s="439">
        <f t="shared" si="56"/>
        <v>3.9086337026632445E-2</v>
      </c>
      <c r="F245" s="439">
        <f t="shared" si="56"/>
        <v>7.7794871853291397E-2</v>
      </c>
      <c r="G245" s="439">
        <f t="shared" si="56"/>
        <v>0.13753452099103236</v>
      </c>
      <c r="H245" s="439">
        <f t="shared" si="56"/>
        <v>0.22275779808341722</v>
      </c>
      <c r="I245" s="439">
        <f t="shared" si="56"/>
        <v>0.33666408871677167</v>
      </c>
      <c r="J245" s="439">
        <f t="shared" si="56"/>
        <v>0.48010718579950862</v>
      </c>
      <c r="K245" s="439">
        <f t="shared" si="56"/>
        <v>0.65027928741124552</v>
      </c>
      <c r="L245" s="439">
        <f t="shared" si="56"/>
        <v>0.83938765015259786</v>
      </c>
      <c r="M245" s="439">
        <f t="shared" si="56"/>
        <v>1.0337366505680059</v>
      </c>
      <c r="N245" s="439">
        <f t="shared" si="56"/>
        <v>1.2138104635954319</v>
      </c>
      <c r="O245" s="439">
        <f t="shared" si="56"/>
        <v>1.3560001753688873</v>
      </c>
      <c r="P245" s="439">
        <f t="shared" si="56"/>
        <v>1.436372841024645</v>
      </c>
      <c r="Q245" s="439">
        <f t="shared" si="56"/>
        <v>1.4362190938910158</v>
      </c>
      <c r="R245" s="439">
        <f t="shared" si="56"/>
        <v>1.3481102579414492</v>
      </c>
      <c r="S245" s="439">
        <f t="shared" si="56"/>
        <v>1.1802443201300337</v>
      </c>
      <c r="T245" s="439">
        <f t="shared" si="56"/>
        <v>0.95665489914834145</v>
      </c>
      <c r="U245" s="439">
        <f t="shared" si="56"/>
        <v>0.7120133957405117</v>
      </c>
      <c r="V245" s="439">
        <f t="shared" si="56"/>
        <v>0.48218025552253596</v>
      </c>
      <c r="W245" s="439">
        <f t="shared" si="56"/>
        <v>0.29416433692440214</v>
      </c>
      <c r="X245" s="439">
        <f t="shared" si="56"/>
        <v>0.14051430978957991</v>
      </c>
      <c r="Y245" s="439">
        <f t="shared" si="57"/>
        <v>14.051430978957992</v>
      </c>
      <c r="Z245" s="81"/>
    </row>
    <row r="246" spans="1:26">
      <c r="A246" s="19"/>
      <c r="B246" s="19"/>
      <c r="C246" s="19"/>
      <c r="D246" s="19"/>
      <c r="E246" s="77"/>
      <c r="F246" s="19"/>
      <c r="G246" s="19"/>
      <c r="H246" s="19"/>
      <c r="I246" s="19"/>
      <c r="J246" s="19"/>
      <c r="K246" s="19"/>
      <c r="L246" s="19"/>
      <c r="M246" s="19"/>
      <c r="N246" s="19"/>
      <c r="O246" s="19"/>
      <c r="P246" s="19"/>
      <c r="Q246" s="19"/>
      <c r="R246" s="19"/>
      <c r="S246" s="19"/>
      <c r="T246" s="19"/>
      <c r="U246" s="19"/>
      <c r="V246" s="19"/>
      <c r="W246" s="19"/>
      <c r="X246" s="19"/>
      <c r="Y246" s="19"/>
      <c r="Z246" s="19"/>
    </row>
    <row r="247" spans="1:26" ht="15">
      <c r="A247" s="19"/>
      <c r="B247" s="19"/>
      <c r="C247" s="82" t="s">
        <v>177</v>
      </c>
      <c r="D247" s="83"/>
      <c r="E247" s="83">
        <f t="shared" ref="E247:X247" si="58">SUM(E214:E245)</f>
        <v>0.11235356325453785</v>
      </c>
      <c r="F247" s="83">
        <f t="shared" si="58"/>
        <v>0.22362113517293433</v>
      </c>
      <c r="G247" s="83">
        <f t="shared" si="58"/>
        <v>0.3953425846305213</v>
      </c>
      <c r="H247" s="83">
        <f t="shared" si="58"/>
        <v>0.64031664927704945</v>
      </c>
      <c r="I247" s="83">
        <f t="shared" si="58"/>
        <v>0.96773995376946897</v>
      </c>
      <c r="J247" s="83">
        <f t="shared" si="58"/>
        <v>1.3800667233649622</v>
      </c>
      <c r="K247" s="83">
        <f t="shared" si="58"/>
        <v>1.8692259395269779</v>
      </c>
      <c r="L247" s="83">
        <f t="shared" si="58"/>
        <v>2.4128173837890872</v>
      </c>
      <c r="M247" s="83">
        <f t="shared" si="58"/>
        <v>2.9714730259576121</v>
      </c>
      <c r="N247" s="83">
        <f t="shared" si="58"/>
        <v>3.4890946830772651</v>
      </c>
      <c r="O247" s="83">
        <f t="shared" si="58"/>
        <v>3.8978186002096908</v>
      </c>
      <c r="P247" s="83">
        <f t="shared" si="58"/>
        <v>4.1288495962464147</v>
      </c>
      <c r="Q247" s="83">
        <f t="shared" si="58"/>
        <v>4.1284076505534335</v>
      </c>
      <c r="R247" s="83">
        <f t="shared" si="58"/>
        <v>3.8751390552793814</v>
      </c>
      <c r="S247" s="83">
        <f t="shared" si="58"/>
        <v>3.3926089003220041</v>
      </c>
      <c r="T247" s="83">
        <f t="shared" si="58"/>
        <v>2.749901753418083</v>
      </c>
      <c r="U247" s="83">
        <f t="shared" si="58"/>
        <v>2.0466804561886107</v>
      </c>
      <c r="V247" s="83">
        <f t="shared" si="58"/>
        <v>1.3860257563154919</v>
      </c>
      <c r="W247" s="83">
        <f t="shared" si="58"/>
        <v>0.84557453959794893</v>
      </c>
      <c r="X247" s="83">
        <f t="shared" si="58"/>
        <v>0.40390797895321434</v>
      </c>
      <c r="Y247" s="83"/>
      <c r="Z247" s="83"/>
    </row>
    <row r="248" spans="1:26" ht="15">
      <c r="A248" s="19"/>
      <c r="B248" s="19"/>
      <c r="C248" s="82" t="s">
        <v>192</v>
      </c>
      <c r="D248" s="83"/>
      <c r="E248" s="83">
        <f>IF((D248+E247)&lt;$Y$248,(D248+E247),$Y$248)</f>
        <v>0.11235356325453785</v>
      </c>
      <c r="F248" s="83">
        <f t="shared" ref="F248:X248" si="59">IF((E248+F247)&lt;$Y$248,(E248+F247),$Y$248)</f>
        <v>0.33597469842747218</v>
      </c>
      <c r="G248" s="83">
        <f t="shared" si="59"/>
        <v>0.73131728305799348</v>
      </c>
      <c r="H248" s="83">
        <f t="shared" si="59"/>
        <v>1.371633932335043</v>
      </c>
      <c r="I248" s="83">
        <f t="shared" si="59"/>
        <v>2.3393738861045121</v>
      </c>
      <c r="J248" s="83">
        <f t="shared" si="59"/>
        <v>3.7194406094694745</v>
      </c>
      <c r="K248" s="83">
        <f t="shared" si="59"/>
        <v>5.5886665489964527</v>
      </c>
      <c r="L248" s="83">
        <f t="shared" si="59"/>
        <v>8.0014839327855398</v>
      </c>
      <c r="M248" s="83">
        <f t="shared" si="59"/>
        <v>10.972956958743152</v>
      </c>
      <c r="N248" s="83">
        <f t="shared" si="59"/>
        <v>14.462051641820418</v>
      </c>
      <c r="O248" s="83">
        <f t="shared" si="59"/>
        <v>18.359870242030109</v>
      </c>
      <c r="P248" s="83">
        <f t="shared" si="59"/>
        <v>22.488719838276523</v>
      </c>
      <c r="Q248" s="83">
        <f t="shared" si="59"/>
        <v>26.617127488829958</v>
      </c>
      <c r="R248" s="83">
        <f t="shared" si="59"/>
        <v>30.492266544109338</v>
      </c>
      <c r="S248" s="83">
        <f t="shared" si="59"/>
        <v>33.884875444431344</v>
      </c>
      <c r="T248" s="83">
        <f t="shared" si="59"/>
        <v>36.634777197849431</v>
      </c>
      <c r="U248" s="83">
        <f t="shared" si="59"/>
        <v>38.681457654038041</v>
      </c>
      <c r="V248" s="83">
        <f t="shared" si="59"/>
        <v>40.067483410353532</v>
      </c>
      <c r="W248" s="83">
        <f t="shared" si="59"/>
        <v>40.390797895321441</v>
      </c>
      <c r="X248" s="83">
        <f t="shared" si="59"/>
        <v>40.390797895321441</v>
      </c>
      <c r="Y248" s="83">
        <f>SUM(Y214:Y245)</f>
        <v>40.390797895321441</v>
      </c>
      <c r="Z248" s="83"/>
    </row>
  </sheetData>
  <mergeCells count="1">
    <mergeCell ref="B1:S5"/>
  </mergeCells>
  <dataValidations count="1">
    <dataValidation type="list" allowBlank="1" showInputMessage="1" showErrorMessage="1" sqref="D8">
      <formula1>"ID, MT, OR, WA, Region"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EA25"/>
  <sheetViews>
    <sheetView topLeftCell="Y41" workbookViewId="0">
      <selection sqref="A1:AO45"/>
    </sheetView>
  </sheetViews>
  <sheetFormatPr defaultRowHeight="12.75"/>
  <sheetData>
    <row r="1" spans="1:131" ht="13.5" thickBot="1">
      <c r="A1" s="361" t="s">
        <v>496</v>
      </c>
      <c r="B1" s="362"/>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row>
    <row r="2" spans="1:131" ht="13.5" thickBot="1">
      <c r="A2" s="363"/>
      <c r="B2" s="364"/>
      <c r="C2" s="96"/>
      <c r="D2" s="96"/>
      <c r="E2" s="96"/>
      <c r="F2" s="96"/>
      <c r="G2" s="96"/>
      <c r="H2" s="96"/>
      <c r="I2" s="96"/>
      <c r="J2" s="96"/>
      <c r="K2" s="96"/>
      <c r="L2" s="96"/>
      <c r="M2" s="96"/>
      <c r="N2" s="96"/>
      <c r="O2" s="93" t="s">
        <v>203</v>
      </c>
      <c r="P2" s="94"/>
      <c r="Q2" s="94"/>
      <c r="R2" s="94"/>
      <c r="S2" s="94"/>
      <c r="T2" s="94"/>
      <c r="U2" s="94"/>
      <c r="V2" s="94"/>
      <c r="W2" s="94"/>
      <c r="X2" s="94"/>
      <c r="Y2" s="94"/>
      <c r="Z2" s="95"/>
      <c r="AA2" s="96"/>
      <c r="AB2" s="93" t="s">
        <v>204</v>
      </c>
      <c r="AC2" s="94"/>
      <c r="AD2" s="94"/>
      <c r="AE2" s="94"/>
      <c r="AF2" s="94"/>
      <c r="AG2" s="94"/>
      <c r="AH2" s="94"/>
      <c r="AI2" s="94"/>
      <c r="AJ2" s="94"/>
      <c r="AK2" s="94"/>
      <c r="AL2" s="94"/>
      <c r="AM2" s="95"/>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row>
    <row r="3" spans="1:131" ht="204">
      <c r="A3" s="365" t="s">
        <v>486</v>
      </c>
      <c r="B3" s="366" t="s">
        <v>497</v>
      </c>
      <c r="C3" s="98" t="s">
        <v>75</v>
      </c>
      <c r="D3" s="98" t="s">
        <v>498</v>
      </c>
      <c r="E3" s="98" t="s">
        <v>499</v>
      </c>
      <c r="F3" s="98" t="s">
        <v>500</v>
      </c>
      <c r="G3" s="98" t="s">
        <v>501</v>
      </c>
      <c r="H3" s="98" t="s">
        <v>502</v>
      </c>
      <c r="I3" s="98" t="s">
        <v>503</v>
      </c>
      <c r="J3" s="98" t="s">
        <v>504</v>
      </c>
      <c r="K3" s="98" t="s">
        <v>74</v>
      </c>
      <c r="L3" s="98" t="s">
        <v>505</v>
      </c>
      <c r="M3" s="98" t="s">
        <v>506</v>
      </c>
      <c r="N3" s="98" t="s">
        <v>205</v>
      </c>
      <c r="O3" s="98" t="s">
        <v>206</v>
      </c>
      <c r="P3" s="98" t="s">
        <v>207</v>
      </c>
      <c r="Q3" s="98" t="s">
        <v>208</v>
      </c>
      <c r="R3" s="98" t="s">
        <v>209</v>
      </c>
      <c r="S3" s="98" t="s">
        <v>210</v>
      </c>
      <c r="T3" s="98" t="s">
        <v>211</v>
      </c>
      <c r="U3" s="98" t="s">
        <v>212</v>
      </c>
      <c r="V3" s="98" t="s">
        <v>213</v>
      </c>
      <c r="W3" s="98" t="s">
        <v>214</v>
      </c>
      <c r="X3" s="98" t="s">
        <v>215</v>
      </c>
      <c r="Y3" s="98" t="s">
        <v>216</v>
      </c>
      <c r="Z3" s="98" t="s">
        <v>217</v>
      </c>
      <c r="AA3" s="98"/>
      <c r="AB3" s="98" t="s">
        <v>206</v>
      </c>
      <c r="AC3" s="98" t="s">
        <v>207</v>
      </c>
      <c r="AD3" s="98" t="s">
        <v>208</v>
      </c>
      <c r="AE3" s="98" t="s">
        <v>209</v>
      </c>
      <c r="AF3" s="98" t="s">
        <v>210</v>
      </c>
      <c r="AG3" s="98" t="s">
        <v>211</v>
      </c>
      <c r="AH3" s="98" t="s">
        <v>212</v>
      </c>
      <c r="AI3" s="98" t="s">
        <v>213</v>
      </c>
      <c r="AJ3" s="98" t="s">
        <v>214</v>
      </c>
      <c r="AK3" s="98" t="s">
        <v>215</v>
      </c>
      <c r="AL3" s="98" t="s">
        <v>216</v>
      </c>
      <c r="AM3" s="98" t="s">
        <v>217</v>
      </c>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row>
    <row r="4" spans="1:131">
      <c r="A4" s="19" t="s">
        <v>507</v>
      </c>
      <c r="B4" s="19"/>
      <c r="C4" s="71">
        <v>50.574823356190421</v>
      </c>
      <c r="D4" s="71">
        <v>35</v>
      </c>
      <c r="E4" s="71">
        <v>7</v>
      </c>
      <c r="F4" s="71">
        <v>42</v>
      </c>
      <c r="G4" s="71">
        <v>36.417075484407398</v>
      </c>
      <c r="H4" s="71">
        <v>57.305581927520322</v>
      </c>
      <c r="I4" s="71">
        <v>7274.7658930768393</v>
      </c>
      <c r="J4" s="71">
        <v>-6.7137188735474123</v>
      </c>
      <c r="K4" s="71">
        <v>9.6625033770391422</v>
      </c>
      <c r="L4" s="367">
        <v>1.5735909917328947</v>
      </c>
      <c r="M4" s="71">
        <v>0.48046676697334345</v>
      </c>
      <c r="N4" s="71">
        <v>3.8589243332838072E-2</v>
      </c>
      <c r="O4" s="71">
        <v>7.3742644629023077</v>
      </c>
      <c r="P4" s="71">
        <v>5.283427427764714</v>
      </c>
      <c r="Q4" s="71">
        <v>3.8272119663533721</v>
      </c>
      <c r="R4" s="71">
        <v>3.7379149255415443</v>
      </c>
      <c r="S4" s="71">
        <v>1.310866015445836</v>
      </c>
      <c r="T4" s="71">
        <v>0.66995893503246762</v>
      </c>
      <c r="U4" s="71">
        <v>0.29155025216969721</v>
      </c>
      <c r="V4" s="71">
        <v>0.30266840157689845</v>
      </c>
      <c r="W4" s="71">
        <v>0.64562836006441127</v>
      </c>
      <c r="X4" s="71">
        <v>2.6238912121583287</v>
      </c>
      <c r="Y4" s="71">
        <v>4.21985383511793</v>
      </c>
      <c r="Z4" s="71">
        <v>9.7206161684410262</v>
      </c>
      <c r="AA4" s="71"/>
      <c r="AB4" s="71">
        <v>2.1417950689598504</v>
      </c>
      <c r="AC4" s="71">
        <v>1.4311370614252386</v>
      </c>
      <c r="AD4" s="71">
        <v>0.82708955664726491</v>
      </c>
      <c r="AE4" s="71">
        <v>0.7888987170316536</v>
      </c>
      <c r="AF4" s="71">
        <v>0.3021287266763325</v>
      </c>
      <c r="AG4" s="71">
        <v>0.13697357849775502</v>
      </c>
      <c r="AH4" s="71">
        <v>6.8759732619538508E-2</v>
      </c>
      <c r="AI4" s="71">
        <v>5.3647809516919935E-2</v>
      </c>
      <c r="AJ4" s="71">
        <v>0.17425790530596894</v>
      </c>
      <c r="AK4" s="71">
        <v>0.49530004772061148</v>
      </c>
      <c r="AL4" s="71">
        <v>1.2964821411435745</v>
      </c>
      <c r="AM4" s="40">
        <v>2.8505010480771831</v>
      </c>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19"/>
      <c r="CY4" s="19"/>
      <c r="CZ4" s="19"/>
      <c r="DA4" s="19"/>
      <c r="DB4" s="19"/>
      <c r="DC4" s="19"/>
      <c r="DD4" s="19"/>
      <c r="DE4" s="19"/>
      <c r="DF4" s="19"/>
      <c r="DG4" s="19"/>
      <c r="DH4" s="19"/>
      <c r="DI4" s="19"/>
      <c r="DJ4" s="19"/>
      <c r="DK4" s="19"/>
      <c r="DL4" s="19"/>
      <c r="DM4" s="19"/>
      <c r="DN4" s="19"/>
      <c r="DO4" s="19"/>
      <c r="DP4" s="19"/>
      <c r="DQ4" s="19"/>
      <c r="DR4" s="19"/>
      <c r="DS4" s="19"/>
      <c r="DT4" s="19"/>
      <c r="DU4" s="19"/>
      <c r="DV4" s="19"/>
      <c r="DW4" s="19"/>
      <c r="DX4" s="19"/>
      <c r="DY4" s="19"/>
      <c r="DZ4" s="19"/>
      <c r="EA4" s="19"/>
    </row>
    <row r="5" spans="1:131">
      <c r="A5" s="19" t="s">
        <v>508</v>
      </c>
      <c r="B5" s="19"/>
      <c r="C5" s="71">
        <v>43.820146200538971</v>
      </c>
      <c r="D5" s="71">
        <v>35</v>
      </c>
      <c r="E5" s="71">
        <v>7</v>
      </c>
      <c r="F5" s="71">
        <v>42</v>
      </c>
      <c r="G5" s="71">
        <v>36.417075484407398</v>
      </c>
      <c r="H5" s="71">
        <v>49.402274355494612</v>
      </c>
      <c r="I5" s="71">
        <v>8396.1381214076082</v>
      </c>
      <c r="J5" s="71">
        <v>-1.0708696796717572</v>
      </c>
      <c r="K5" s="71">
        <v>18.248935052284185</v>
      </c>
      <c r="L5" s="367">
        <v>1.3541408995071786</v>
      </c>
      <c r="M5" s="71">
        <v>0.41187158513170125</v>
      </c>
      <c r="N5" s="71">
        <v>3.3435337434671621E-2</v>
      </c>
      <c r="O5" s="71">
        <v>6.389371735616062</v>
      </c>
      <c r="P5" s="71">
        <v>4.5777829157014525</v>
      </c>
      <c r="Q5" s="71">
        <v>3.3160568199103597</v>
      </c>
      <c r="R5" s="71">
        <v>3.2386861219231204</v>
      </c>
      <c r="S5" s="71">
        <v>1.1357892452060043</v>
      </c>
      <c r="T5" s="71">
        <v>0.58048049470620056</v>
      </c>
      <c r="U5" s="71">
        <v>0.25261135535565571</v>
      </c>
      <c r="V5" s="71">
        <v>0.26224458588760896</v>
      </c>
      <c r="W5" s="71">
        <v>0.55939946502598703</v>
      </c>
      <c r="X5" s="71">
        <v>2.2734492955379499</v>
      </c>
      <c r="Y5" s="71">
        <v>3.6562581879416292</v>
      </c>
      <c r="Z5" s="71">
        <v>8.4223491728374142</v>
      </c>
      <c r="AA5" s="71"/>
      <c r="AB5" s="71">
        <v>1.8557409957206756</v>
      </c>
      <c r="AC5" s="71">
        <v>1.2399971191790149</v>
      </c>
      <c r="AD5" s="71">
        <v>0.71662504954228179</v>
      </c>
      <c r="AE5" s="71">
        <v>0.68353490578258869</v>
      </c>
      <c r="AF5" s="71">
        <v>0.26177698893967682</v>
      </c>
      <c r="AG5" s="71">
        <v>0.11867964803574442</v>
      </c>
      <c r="AH5" s="71">
        <v>5.9576313591401663E-2</v>
      </c>
      <c r="AI5" s="71">
        <v>4.6482710178014884E-2</v>
      </c>
      <c r="AJ5" s="71">
        <v>0.15098435111336039</v>
      </c>
      <c r="AK5" s="71">
        <v>0.42914871598052773</v>
      </c>
      <c r="AL5" s="71">
        <v>1.1233264537807897</v>
      </c>
      <c r="AM5" s="40">
        <v>2.4697935530454536</v>
      </c>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row>
    <row r="6" spans="1:131">
      <c r="A6" s="19" t="s">
        <v>509</v>
      </c>
      <c r="B6" s="19"/>
      <c r="C6" s="71">
        <v>39.952333456237696</v>
      </c>
      <c r="D6" s="71">
        <v>35</v>
      </c>
      <c r="E6" s="71">
        <v>7</v>
      </c>
      <c r="F6" s="71">
        <v>42</v>
      </c>
      <c r="G6" s="71">
        <v>36.417075484407398</v>
      </c>
      <c r="H6" s="71">
        <v>45.26939623590016</v>
      </c>
      <c r="I6" s="71">
        <v>9208.9739990532944</v>
      </c>
      <c r="J6" s="71">
        <v>3.0193959440398093</v>
      </c>
      <c r="K6" s="71">
        <v>23.749713197532319</v>
      </c>
      <c r="L6" s="367">
        <v>1.2430815938331741</v>
      </c>
      <c r="M6" s="71">
        <v>0.37955186424610377</v>
      </c>
      <c r="N6" s="71">
        <v>3.0484146362692817E-2</v>
      </c>
      <c r="O6" s="71">
        <v>5.825409823805046</v>
      </c>
      <c r="P6" s="71">
        <v>4.1737220296203157</v>
      </c>
      <c r="Q6" s="71">
        <v>3.023362980638808</v>
      </c>
      <c r="R6" s="71">
        <v>2.9528214559350401</v>
      </c>
      <c r="S6" s="71">
        <v>1.0355380936616017</v>
      </c>
      <c r="T6" s="71">
        <v>0.52924401902289175</v>
      </c>
      <c r="U6" s="71">
        <v>0.23031445531501171</v>
      </c>
      <c r="V6" s="71">
        <v>0.23909740269980781</v>
      </c>
      <c r="W6" s="71">
        <v>0.51002371967632376</v>
      </c>
      <c r="X6" s="71">
        <v>2.0727818646589475</v>
      </c>
      <c r="Y6" s="71">
        <v>3.3335362611123984</v>
      </c>
      <c r="Z6" s="71">
        <v>7.6789452298525056</v>
      </c>
      <c r="AA6" s="71"/>
      <c r="AB6" s="71">
        <v>1.6919428504446909</v>
      </c>
      <c r="AC6" s="71">
        <v>1.1305479941462355</v>
      </c>
      <c r="AD6" s="71">
        <v>0.65337168916277943</v>
      </c>
      <c r="AE6" s="71">
        <v>0.62320226773839726</v>
      </c>
      <c r="AF6" s="71">
        <v>0.23867107849035837</v>
      </c>
      <c r="AG6" s="71">
        <v>0.10820431431455761</v>
      </c>
      <c r="AH6" s="71">
        <v>5.4317772829972653E-2</v>
      </c>
      <c r="AI6" s="71">
        <v>4.2379884550884109E-2</v>
      </c>
      <c r="AJ6" s="71">
        <v>0.13765762247229688</v>
      </c>
      <c r="AK6" s="71">
        <v>0.39126963485483313</v>
      </c>
      <c r="AL6" s="71">
        <v>1.024175338354099</v>
      </c>
      <c r="AM6" s="40">
        <v>2.2517956728798953</v>
      </c>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row>
    <row r="7" spans="1:131">
      <c r="A7" s="19" t="s">
        <v>510</v>
      </c>
      <c r="B7" s="19"/>
      <c r="C7" s="71">
        <v>38.067032671821558</v>
      </c>
      <c r="D7" s="71">
        <v>35</v>
      </c>
      <c r="E7" s="71">
        <v>7</v>
      </c>
      <c r="F7" s="71">
        <v>42</v>
      </c>
      <c r="G7" s="71">
        <v>36.417075484407398</v>
      </c>
      <c r="H7" s="71">
        <v>43.133189890729525</v>
      </c>
      <c r="I7" s="71">
        <v>9665.0559336174956</v>
      </c>
      <c r="J7" s="71">
        <v>5.3144425947204867</v>
      </c>
      <c r="K7" s="71">
        <v>27.071445687273279</v>
      </c>
      <c r="L7" s="367">
        <v>1.1844221238797099</v>
      </c>
      <c r="M7" s="71">
        <v>0.36164128517633365</v>
      </c>
      <c r="N7" s="71">
        <v>2.9045637517826631E-2</v>
      </c>
      <c r="O7" s="71">
        <v>5.5505160000839577</v>
      </c>
      <c r="P7" s="71">
        <v>3.9767692928046499</v>
      </c>
      <c r="Q7" s="71">
        <v>2.8806942525351897</v>
      </c>
      <c r="R7" s="71">
        <v>2.8134814943977999</v>
      </c>
      <c r="S7" s="71">
        <v>0.98667234261826176</v>
      </c>
      <c r="T7" s="71">
        <v>0.50426965387587619</v>
      </c>
      <c r="U7" s="71">
        <v>0.21944620343321894</v>
      </c>
      <c r="V7" s="71">
        <v>0.22781469448564137</v>
      </c>
      <c r="W7" s="71">
        <v>0.48595633648255221</v>
      </c>
      <c r="X7" s="71">
        <v>1.9749698737862356</v>
      </c>
      <c r="Y7" s="71">
        <v>3.1762308427733448</v>
      </c>
      <c r="Z7" s="71">
        <v>7.3165853821808486</v>
      </c>
      <c r="AA7" s="71"/>
      <c r="AB7" s="71">
        <v>1.612102177643322</v>
      </c>
      <c r="AC7" s="71">
        <v>1.0771988444021117</v>
      </c>
      <c r="AD7" s="71">
        <v>0.62253989408269594</v>
      </c>
      <c r="AE7" s="71">
        <v>0.59379413002588821</v>
      </c>
      <c r="AF7" s="71">
        <v>0.22740848798389407</v>
      </c>
      <c r="AG7" s="71">
        <v>0.10309828768214832</v>
      </c>
      <c r="AH7" s="71">
        <v>5.1754584879104747E-2</v>
      </c>
      <c r="AI7" s="71">
        <v>4.0380030658125489E-2</v>
      </c>
      <c r="AJ7" s="71">
        <v>0.13116173096417863</v>
      </c>
      <c r="AK7" s="71">
        <v>0.3728061088052711</v>
      </c>
      <c r="AL7" s="71">
        <v>0.97584578156128576</v>
      </c>
      <c r="AM7" s="40">
        <v>2.1455362436759544</v>
      </c>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row>
    <row r="8" spans="1:131">
      <c r="A8" s="19" t="s">
        <v>511</v>
      </c>
      <c r="B8" s="19"/>
      <c r="C8" s="71">
        <v>30.010592043458619</v>
      </c>
      <c r="D8" s="71">
        <v>35</v>
      </c>
      <c r="E8" s="71">
        <v>7</v>
      </c>
      <c r="F8" s="71">
        <v>42</v>
      </c>
      <c r="G8" s="71">
        <v>36.417075484407398</v>
      </c>
      <c r="H8" s="71">
        <v>34.004556554309872</v>
      </c>
      <c r="I8" s="71">
        <v>12259.671500889141</v>
      </c>
      <c r="J8" s="71">
        <v>18.370789089042091</v>
      </c>
      <c r="K8" s="71">
        <v>45.968530125465826</v>
      </c>
      <c r="L8" s="368">
        <v>0.93375308428787784</v>
      </c>
      <c r="M8" s="71">
        <v>0.28510415216925461</v>
      </c>
      <c r="N8" s="71">
        <v>2.2898469279296212E-2</v>
      </c>
      <c r="O8" s="71">
        <v>4.3758144414684841</v>
      </c>
      <c r="P8" s="71">
        <v>3.1351327519062697</v>
      </c>
      <c r="Q8" s="71">
        <v>2.2710291280140575</v>
      </c>
      <c r="R8" s="71">
        <v>2.2180411611828532</v>
      </c>
      <c r="S8" s="71">
        <v>0.77785472301336001</v>
      </c>
      <c r="T8" s="71">
        <v>0.39754690082705746</v>
      </c>
      <c r="U8" s="71">
        <v>0.17300299036954139</v>
      </c>
      <c r="V8" s="71">
        <v>0.17960038852134133</v>
      </c>
      <c r="W8" s="71">
        <v>0.38310938209552142</v>
      </c>
      <c r="X8" s="71">
        <v>1.5569906824965962</v>
      </c>
      <c r="Y8" s="71">
        <v>2.5040188679818209</v>
      </c>
      <c r="Z8" s="71">
        <v>5.7681159692359936</v>
      </c>
      <c r="AA8" s="71"/>
      <c r="AB8" s="71">
        <v>1.270919674846039</v>
      </c>
      <c r="AC8" s="71">
        <v>0.84922235330852558</v>
      </c>
      <c r="AD8" s="71">
        <v>0.49078663296819897</v>
      </c>
      <c r="AE8" s="71">
        <v>0.46812457245185746</v>
      </c>
      <c r="AF8" s="71">
        <v>0.17928015085757504</v>
      </c>
      <c r="AG8" s="71">
        <v>8.1278745277626976E-2</v>
      </c>
      <c r="AH8" s="71">
        <v>4.0801334492643102E-2</v>
      </c>
      <c r="AI8" s="71">
        <v>3.1834071156284019E-2</v>
      </c>
      <c r="AJ8" s="71">
        <v>0.10340289020198762</v>
      </c>
      <c r="AK8" s="71">
        <v>0.29390607193152862</v>
      </c>
      <c r="AL8" s="71">
        <v>0.76931947652027022</v>
      </c>
      <c r="AM8" s="40">
        <v>1.6914586823331874</v>
      </c>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row>
    <row r="9" spans="1:131">
      <c r="A9" s="19" t="s">
        <v>512</v>
      </c>
      <c r="B9" s="19"/>
      <c r="C9" s="71">
        <v>28.446676698406591</v>
      </c>
      <c r="D9" s="71">
        <v>35</v>
      </c>
      <c r="E9" s="71">
        <v>7</v>
      </c>
      <c r="F9" s="71">
        <v>42</v>
      </c>
      <c r="G9" s="71">
        <v>36.417075484407398</v>
      </c>
      <c r="H9" s="71">
        <v>32.232507281840867</v>
      </c>
      <c r="I9" s="71">
        <v>12933.672495409934</v>
      </c>
      <c r="J9" s="71">
        <v>21.762424687387959</v>
      </c>
      <c r="K9" s="71">
        <v>50.877409061345496</v>
      </c>
      <c r="L9" s="368">
        <v>0.88509323862762601</v>
      </c>
      <c r="M9" s="71">
        <v>0.2702467725524228</v>
      </c>
      <c r="N9" s="71">
        <v>2.1705181674965209E-2</v>
      </c>
      <c r="O9" s="71">
        <v>4.1477815075562567</v>
      </c>
      <c r="P9" s="71">
        <v>2.9717543616238919</v>
      </c>
      <c r="Q9" s="71">
        <v>2.1526810028848344</v>
      </c>
      <c r="R9" s="71">
        <v>2.1024543509357363</v>
      </c>
      <c r="S9" s="71">
        <v>0.73731907027514798</v>
      </c>
      <c r="T9" s="71">
        <v>0.37682989205625483</v>
      </c>
      <c r="U9" s="71">
        <v>0.16398743909394475</v>
      </c>
      <c r="V9" s="71">
        <v>0.17024103289186601</v>
      </c>
      <c r="W9" s="71">
        <v>0.36314474292329346</v>
      </c>
      <c r="X9" s="71">
        <v>1.4758526090812731</v>
      </c>
      <c r="Y9" s="71">
        <v>2.3735291553408415</v>
      </c>
      <c r="Z9" s="71">
        <v>5.4675272616468646</v>
      </c>
      <c r="AA9" s="71"/>
      <c r="AB9" s="71">
        <v>1.2046893659290414</v>
      </c>
      <c r="AC9" s="71">
        <v>0.80496758260033208</v>
      </c>
      <c r="AD9" s="71">
        <v>0.46521070479810861</v>
      </c>
      <c r="AE9" s="71">
        <v>0.4437296121260762</v>
      </c>
      <c r="AF9" s="71">
        <v>0.16993748348922108</v>
      </c>
      <c r="AG9" s="71">
        <v>7.7043138169903741E-2</v>
      </c>
      <c r="AH9" s="71">
        <v>3.8675090764454016E-2</v>
      </c>
      <c r="AI9" s="71">
        <v>3.0175130462788354E-2</v>
      </c>
      <c r="AJ9" s="71">
        <v>9.8014347167733579E-2</v>
      </c>
      <c r="AK9" s="71">
        <v>0.27859000568291653</v>
      </c>
      <c r="AL9" s="71">
        <v>0.72922861350646662</v>
      </c>
      <c r="AM9" s="40">
        <v>1.6033131973993457</v>
      </c>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row>
    <row r="10" spans="1:131">
      <c r="A10" s="19" t="s">
        <v>513</v>
      </c>
      <c r="B10" s="19"/>
      <c r="C10" s="71">
        <v>19.370875350619656</v>
      </c>
      <c r="D10" s="71">
        <v>35</v>
      </c>
      <c r="E10" s="71">
        <v>7</v>
      </c>
      <c r="F10" s="71">
        <v>42</v>
      </c>
      <c r="G10" s="71">
        <v>36.417075484407398</v>
      </c>
      <c r="H10" s="71">
        <v>21.948851439277373</v>
      </c>
      <c r="I10" s="71">
        <v>18993.462780618771</v>
      </c>
      <c r="J10" s="71">
        <v>52.255852170291512</v>
      </c>
      <c r="K10" s="71">
        <v>95.012027746974269</v>
      </c>
      <c r="L10" s="368">
        <v>0.60270768993175072</v>
      </c>
      <c r="M10" s="71">
        <v>0.18402559288458042</v>
      </c>
      <c r="N10" s="71">
        <v>1.4780228043715768E-2</v>
      </c>
      <c r="O10" s="71">
        <v>2.8244479809122316</v>
      </c>
      <c r="P10" s="71">
        <v>2.0236277130713538</v>
      </c>
      <c r="Q10" s="71">
        <v>1.4658765176202384</v>
      </c>
      <c r="R10" s="71">
        <v>1.4316744832490518</v>
      </c>
      <c r="S10" s="71">
        <v>0.50208029413624555</v>
      </c>
      <c r="T10" s="71">
        <v>0.25660378345067097</v>
      </c>
      <c r="U10" s="71">
        <v>0.11166788568782338</v>
      </c>
      <c r="V10" s="71">
        <v>0.11592629475392446</v>
      </c>
      <c r="W10" s="71">
        <v>0.24728482781941141</v>
      </c>
      <c r="X10" s="71">
        <v>1.0049875853512793</v>
      </c>
      <c r="Y10" s="71">
        <v>1.6162639276504438</v>
      </c>
      <c r="Z10" s="71">
        <v>3.7231339950303828</v>
      </c>
      <c r="AA10" s="71"/>
      <c r="AB10" s="71">
        <v>0.82033791824039759</v>
      </c>
      <c r="AC10" s="71">
        <v>0.54814581222115422</v>
      </c>
      <c r="AD10" s="71">
        <v>0.31678704229527277</v>
      </c>
      <c r="AE10" s="71">
        <v>0.30215940853134854</v>
      </c>
      <c r="AF10" s="71">
        <v>0.11571959160530255</v>
      </c>
      <c r="AG10" s="71">
        <v>5.2462825163452832E-2</v>
      </c>
      <c r="AH10" s="71">
        <v>2.6335953767636561E-2</v>
      </c>
      <c r="AI10" s="71">
        <v>2.0547872677025236E-2</v>
      </c>
      <c r="AJ10" s="71">
        <v>6.6743251652481336E-2</v>
      </c>
      <c r="AK10" s="71">
        <v>0.18970694999723742</v>
      </c>
      <c r="AL10" s="71">
        <v>0.49657106607219964</v>
      </c>
      <c r="AM10" s="40">
        <v>1.0917823696630906</v>
      </c>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row>
    <row r="11" spans="1:131">
      <c r="A11" s="19" t="s">
        <v>514</v>
      </c>
      <c r="B11" s="19"/>
      <c r="C11" s="71">
        <v>17.416876261275753</v>
      </c>
      <c r="D11" s="71">
        <v>35</v>
      </c>
      <c r="E11" s="71">
        <v>7</v>
      </c>
      <c r="F11" s="71">
        <v>42</v>
      </c>
      <c r="G11" s="71">
        <v>36.417075484407398</v>
      </c>
      <c r="H11" s="71">
        <v>19.734804064122464</v>
      </c>
      <c r="I11" s="71">
        <v>21124.339088176457</v>
      </c>
      <c r="J11" s="71">
        <v>62.978619642649392</v>
      </c>
      <c r="K11" s="71">
        <v>110.53160992292048</v>
      </c>
      <c r="L11" s="368">
        <v>0.54191073285311619</v>
      </c>
      <c r="M11" s="71">
        <v>0.16546237184248425</v>
      </c>
      <c r="N11" s="71">
        <v>1.3289301505035007E-2</v>
      </c>
      <c r="O11" s="71">
        <v>2.539537325987947</v>
      </c>
      <c r="P11" s="71">
        <v>1.8194982332754899</v>
      </c>
      <c r="Q11" s="71">
        <v>1.3180090966247835</v>
      </c>
      <c r="R11" s="71">
        <v>1.2872571254441005</v>
      </c>
      <c r="S11" s="71">
        <v>0.45143392840614138</v>
      </c>
      <c r="T11" s="71">
        <v>0.2307193796687442</v>
      </c>
      <c r="U11" s="71">
        <v>0.10040360655776404</v>
      </c>
      <c r="V11" s="71">
        <v>0.10423245695464632</v>
      </c>
      <c r="W11" s="71">
        <v>0.22234045542416822</v>
      </c>
      <c r="X11" s="71">
        <v>0.90361143218143758</v>
      </c>
      <c r="Y11" s="71">
        <v>1.4532264713866339</v>
      </c>
      <c r="Z11" s="71">
        <v>3.3475701496122161</v>
      </c>
      <c r="AA11" s="71"/>
      <c r="AB11" s="71">
        <v>0.73758793837721426</v>
      </c>
      <c r="AC11" s="71">
        <v>0.4928526776301278</v>
      </c>
      <c r="AD11" s="71">
        <v>0.28483177022022371</v>
      </c>
      <c r="AE11" s="71">
        <v>0.27167967034604962</v>
      </c>
      <c r="AF11" s="71">
        <v>0.10404660458105966</v>
      </c>
      <c r="AG11" s="71">
        <v>4.7170740487965206E-2</v>
      </c>
      <c r="AH11" s="71">
        <v>2.3679366042636367E-2</v>
      </c>
      <c r="AI11" s="71">
        <v>1.847514628897497E-2</v>
      </c>
      <c r="AJ11" s="71">
        <v>6.0010656940666846E-2</v>
      </c>
      <c r="AK11" s="71">
        <v>0.17057063319031762</v>
      </c>
      <c r="AL11" s="71">
        <v>0.44648043292646672</v>
      </c>
      <c r="AM11" s="40">
        <v>0.98165096271997776</v>
      </c>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row>
    <row r="12" spans="1:131">
      <c r="A12" s="19" t="s">
        <v>515</v>
      </c>
      <c r="B12" s="19"/>
      <c r="C12" s="71">
        <v>9.0552278256801593</v>
      </c>
      <c r="D12" s="71">
        <v>35</v>
      </c>
      <c r="E12" s="71">
        <v>7</v>
      </c>
      <c r="F12" s="71">
        <v>42</v>
      </c>
      <c r="G12" s="71">
        <v>36.417075484407398</v>
      </c>
      <c r="H12" s="71">
        <v>16.689411927335438</v>
      </c>
      <c r="I12" s="71">
        <v>40630.67291985717</v>
      </c>
      <c r="J12" s="71">
        <v>196.15636531747714</v>
      </c>
      <c r="K12" s="71">
        <v>198.18557111957824</v>
      </c>
      <c r="L12" s="368">
        <v>0.45828534294252427</v>
      </c>
      <c r="M12" s="71">
        <v>0.28107907882194089</v>
      </c>
      <c r="N12" s="71">
        <v>1.3239166589346391E-3</v>
      </c>
      <c r="O12" s="71">
        <v>0.49538462663193211</v>
      </c>
      <c r="P12" s="71">
        <v>0.45699586032363376</v>
      </c>
      <c r="Q12" s="71">
        <v>0.52682877399562544</v>
      </c>
      <c r="R12" s="71">
        <v>0.4938721000600203</v>
      </c>
      <c r="S12" s="71">
        <v>0.52119162739648106</v>
      </c>
      <c r="T12" s="71">
        <v>0.5400320447145851</v>
      </c>
      <c r="U12" s="71">
        <v>0.53281212134619937</v>
      </c>
      <c r="V12" s="71">
        <v>0.58452542365942728</v>
      </c>
      <c r="W12" s="71">
        <v>0.51089497187555366</v>
      </c>
      <c r="X12" s="71">
        <v>0.5463066610858901</v>
      </c>
      <c r="Y12" s="71">
        <v>0.46414631780593663</v>
      </c>
      <c r="Z12" s="71">
        <v>0.483073771593172</v>
      </c>
      <c r="AA12" s="71"/>
      <c r="AB12" s="71">
        <v>0.26200502619171528</v>
      </c>
      <c r="AC12" s="71">
        <v>0.22575182496692053</v>
      </c>
      <c r="AD12" s="71">
        <v>0.2210131014703321</v>
      </c>
      <c r="AE12" s="71">
        <v>0.23100620477156622</v>
      </c>
      <c r="AF12" s="71">
        <v>0.23659511156479057</v>
      </c>
      <c r="AG12" s="71">
        <v>0.22682778347031149</v>
      </c>
      <c r="AH12" s="71">
        <v>0.26765209763613862</v>
      </c>
      <c r="AI12" s="71">
        <v>0.24169479984758416</v>
      </c>
      <c r="AJ12" s="71">
        <v>0.26363977856662879</v>
      </c>
      <c r="AK12" s="71">
        <v>0.22388669478966466</v>
      </c>
      <c r="AL12" s="71">
        <v>0.24065451271437602</v>
      </c>
      <c r="AM12" s="40">
        <v>0.25843658920167351</v>
      </c>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row>
    <row r="13" spans="1:131">
      <c r="A13" s="19" t="s">
        <v>516</v>
      </c>
      <c r="B13" s="19"/>
      <c r="C13" s="71">
        <v>13.391118984663345</v>
      </c>
      <c r="D13" s="71">
        <v>35</v>
      </c>
      <c r="E13" s="71">
        <v>7</v>
      </c>
      <c r="F13" s="71">
        <v>42</v>
      </c>
      <c r="G13" s="71">
        <v>36.417075484407398</v>
      </c>
      <c r="H13" s="71">
        <v>15.173278227236157</v>
      </c>
      <c r="I13" s="71">
        <v>27474.925763961433</v>
      </c>
      <c r="J13" s="71">
        <v>94.935361568953368</v>
      </c>
      <c r="K13" s="71">
        <v>156.78415467680966</v>
      </c>
      <c r="L13" s="368">
        <v>0.41665284829730104</v>
      </c>
      <c r="M13" s="71">
        <v>0.12721720448538201</v>
      </c>
      <c r="N13" s="71">
        <v>1.0217596715242113E-2</v>
      </c>
      <c r="O13" s="71">
        <v>1.9525456797272682</v>
      </c>
      <c r="P13" s="71">
        <v>1.3989372703042979</v>
      </c>
      <c r="Q13" s="71">
        <v>1.0133629228917955</v>
      </c>
      <c r="R13" s="71">
        <v>0.98971899852120915</v>
      </c>
      <c r="S13" s="71">
        <v>0.34708895891058217</v>
      </c>
      <c r="T13" s="71">
        <v>0.17739063072298386</v>
      </c>
      <c r="U13" s="71">
        <v>7.7196198774961033E-2</v>
      </c>
      <c r="V13" s="71">
        <v>8.014004418500878E-2</v>
      </c>
      <c r="W13" s="71">
        <v>0.1709484208892913</v>
      </c>
      <c r="X13" s="71">
        <v>0.69474962230439341</v>
      </c>
      <c r="Y13" s="71">
        <v>1.1173259945165073</v>
      </c>
      <c r="Z13" s="71">
        <v>2.5738088455409924</v>
      </c>
      <c r="AA13" s="71"/>
      <c r="AB13" s="71">
        <v>0.56710099424788196</v>
      </c>
      <c r="AC13" s="71">
        <v>0.37893412969402024</v>
      </c>
      <c r="AD13" s="71">
        <v>0.21899541963858002</v>
      </c>
      <c r="AE13" s="71">
        <v>0.20888331160777168</v>
      </c>
      <c r="AF13" s="71">
        <v>7.999714994777897E-2</v>
      </c>
      <c r="AG13" s="71">
        <v>3.626764001725475E-2</v>
      </c>
      <c r="AH13" s="71">
        <v>1.820608950775849E-2</v>
      </c>
      <c r="AI13" s="71">
        <v>1.4204779232702863E-2</v>
      </c>
      <c r="AJ13" s="71">
        <v>4.6139723070032314E-2</v>
      </c>
      <c r="AK13" s="71">
        <v>0.13114473629346449</v>
      </c>
      <c r="AL13" s="71">
        <v>0.3432804202057515</v>
      </c>
      <c r="AM13" s="40">
        <v>0.75475100391105776</v>
      </c>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row>
    <row r="14" spans="1:131">
      <c r="A14" s="19" t="s">
        <v>517</v>
      </c>
      <c r="B14" s="19"/>
      <c r="C14" s="71">
        <v>11.882473132003328</v>
      </c>
      <c r="D14" s="71">
        <v>35</v>
      </c>
      <c r="E14" s="71">
        <v>7</v>
      </c>
      <c r="F14" s="71">
        <v>42</v>
      </c>
      <c r="G14" s="71">
        <v>36.417075484407398</v>
      </c>
      <c r="H14" s="71">
        <v>14.827087076235294</v>
      </c>
      <c r="I14" s="71">
        <v>30963.251160995511</v>
      </c>
      <c r="J14" s="71">
        <v>147.50900122138898</v>
      </c>
      <c r="K14" s="71">
        <v>171.57598231194331</v>
      </c>
      <c r="L14" s="368">
        <v>0.40714656185348458</v>
      </c>
      <c r="M14" s="71">
        <v>0.2434861938497524</v>
      </c>
      <c r="N14" s="71">
        <v>1.7372731455954111E-3</v>
      </c>
      <c r="O14" s="71">
        <v>0.65005482239418899</v>
      </c>
      <c r="P14" s="71">
        <v>0.59968022188601833</v>
      </c>
      <c r="Q14" s="71">
        <v>0.69131653810146609</v>
      </c>
      <c r="R14" s="71">
        <v>0.64807005108879856</v>
      </c>
      <c r="S14" s="71">
        <v>0.68391934784905339</v>
      </c>
      <c r="T14" s="71">
        <v>0.70864216619087539</v>
      </c>
      <c r="U14" s="71">
        <v>0.69916802074787843</v>
      </c>
      <c r="V14" s="71">
        <v>0.76702737637463103</v>
      </c>
      <c r="W14" s="71">
        <v>0.67040784544047394</v>
      </c>
      <c r="X14" s="71">
        <v>0.71687585858171921</v>
      </c>
      <c r="Y14" s="71">
        <v>0.60906321263463736</v>
      </c>
      <c r="Z14" s="71">
        <v>0.63390024218415797</v>
      </c>
      <c r="AA14" s="71"/>
      <c r="AB14" s="71">
        <v>0.34380887417805422</v>
      </c>
      <c r="AC14" s="71">
        <v>0.2962366100897813</v>
      </c>
      <c r="AD14" s="71">
        <v>0.29001835079115612</v>
      </c>
      <c r="AE14" s="71">
        <v>0.30313152516601838</v>
      </c>
      <c r="AF14" s="71">
        <v>0.31046541406270894</v>
      </c>
      <c r="AG14" s="71">
        <v>0.29764850698004353</v>
      </c>
      <c r="AH14" s="71">
        <v>0.35121908803513335</v>
      </c>
      <c r="AI14" s="71">
        <v>0.31715733945303842</v>
      </c>
      <c r="AJ14" s="71">
        <v>0.34595403292461835</v>
      </c>
      <c r="AK14" s="71">
        <v>0.29378914442181875</v>
      </c>
      <c r="AL14" s="71">
        <v>0.31579225133511618</v>
      </c>
      <c r="AM14" s="40">
        <v>0.33912629109194248</v>
      </c>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row>
    <row r="15" spans="1:131">
      <c r="A15" s="19" t="s">
        <v>518</v>
      </c>
      <c r="B15" s="19"/>
      <c r="C15" s="71">
        <v>12.393859395459479</v>
      </c>
      <c r="D15" s="71">
        <v>35</v>
      </c>
      <c r="E15" s="71">
        <v>7</v>
      </c>
      <c r="F15" s="71">
        <v>42</v>
      </c>
      <c r="G15" s="71">
        <v>36.417075484407398</v>
      </c>
      <c r="H15" s="71">
        <v>14.043298183813373</v>
      </c>
      <c r="I15" s="71">
        <v>29685.668383069475</v>
      </c>
      <c r="J15" s="71">
        <v>106.06002373815117</v>
      </c>
      <c r="K15" s="71">
        <v>172.88541856783209</v>
      </c>
      <c r="L15" s="368">
        <v>0.38562399635375044</v>
      </c>
      <c r="M15" s="71">
        <v>0.11774312115970495</v>
      </c>
      <c r="N15" s="71">
        <v>9.4566747702901563E-3</v>
      </c>
      <c r="O15" s="71">
        <v>1.807136255414282</v>
      </c>
      <c r="P15" s="71">
        <v>1.2947560133754759</v>
      </c>
      <c r="Q15" s="71">
        <v>0.93789604866306897</v>
      </c>
      <c r="R15" s="71">
        <v>0.91601292787670763</v>
      </c>
      <c r="S15" s="71">
        <v>0.32124064907353339</v>
      </c>
      <c r="T15" s="71">
        <v>0.16418004632551689</v>
      </c>
      <c r="U15" s="71">
        <v>7.1447265503097268E-2</v>
      </c>
      <c r="V15" s="71">
        <v>7.4171877698380351E-2</v>
      </c>
      <c r="W15" s="71">
        <v>0.15821759890299184</v>
      </c>
      <c r="X15" s="71">
        <v>0.6430104268172705</v>
      </c>
      <c r="Y15" s="71">
        <v>1.0341168121043067</v>
      </c>
      <c r="Z15" s="71">
        <v>2.3821328881446648</v>
      </c>
      <c r="AA15" s="71"/>
      <c r="AB15" s="71">
        <v>0.52486801093943258</v>
      </c>
      <c r="AC15" s="71">
        <v>0.35071425539174711</v>
      </c>
      <c r="AD15" s="71">
        <v>0.2026864552812008</v>
      </c>
      <c r="AE15" s="71">
        <v>0.19332741327215947</v>
      </c>
      <c r="AF15" s="71">
        <v>7.4039625039982196E-2</v>
      </c>
      <c r="AG15" s="71">
        <v>3.3566726686081745E-2</v>
      </c>
      <c r="AH15" s="71">
        <v>1.6850250808669188E-2</v>
      </c>
      <c r="AI15" s="71">
        <v>1.314692496984695E-2</v>
      </c>
      <c r="AJ15" s="71">
        <v>4.2703618788717292E-2</v>
      </c>
      <c r="AK15" s="71">
        <v>0.1213781629404791</v>
      </c>
      <c r="AL15" s="71">
        <v>0.31771573877560405</v>
      </c>
      <c r="AM15" s="40">
        <v>0.6985434026662638</v>
      </c>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row>
    <row r="16" spans="1:131">
      <c r="A16" s="19" t="s">
        <v>519</v>
      </c>
      <c r="B16" s="19"/>
      <c r="C16" s="71">
        <v>11.039026820345102</v>
      </c>
      <c r="D16" s="71">
        <v>35</v>
      </c>
      <c r="E16" s="71">
        <v>7</v>
      </c>
      <c r="F16" s="71">
        <v>42</v>
      </c>
      <c r="G16" s="71">
        <v>36.417075484407398</v>
      </c>
      <c r="H16" s="71">
        <v>14.024822947515737</v>
      </c>
      <c r="I16" s="71">
        <v>33329.024921102427</v>
      </c>
      <c r="J16" s="71">
        <v>159.41379448970756</v>
      </c>
      <c r="K16" s="71">
        <v>187.13864834189428</v>
      </c>
      <c r="L16" s="368">
        <v>0.38511667290583806</v>
      </c>
      <c r="M16" s="71">
        <v>0.23063704077169445</v>
      </c>
      <c r="N16" s="71">
        <v>1.6139573500773198E-3</v>
      </c>
      <c r="O16" s="71">
        <v>0.60391237913064733</v>
      </c>
      <c r="P16" s="71">
        <v>0.55711348803312433</v>
      </c>
      <c r="Q16" s="71">
        <v>0.64224523974695347</v>
      </c>
      <c r="R16" s="71">
        <v>0.60206849163104537</v>
      </c>
      <c r="S16" s="71">
        <v>0.63537311971904042</v>
      </c>
      <c r="T16" s="71">
        <v>0.65834105339059579</v>
      </c>
      <c r="U16" s="71">
        <v>0.6495394054101421</v>
      </c>
      <c r="V16" s="71">
        <v>0.71258194196404234</v>
      </c>
      <c r="W16" s="71">
        <v>0.62282069600938794</v>
      </c>
      <c r="X16" s="71">
        <v>0.66599029863805148</v>
      </c>
      <c r="Y16" s="71">
        <v>0.56583045169703405</v>
      </c>
      <c r="Z16" s="71">
        <v>0.58890448959209274</v>
      </c>
      <c r="AA16" s="71"/>
      <c r="AB16" s="71">
        <v>0.31940449946418881</v>
      </c>
      <c r="AC16" s="71">
        <v>0.27520902825705579</v>
      </c>
      <c r="AD16" s="71">
        <v>0.26943215584919783</v>
      </c>
      <c r="AE16" s="71">
        <v>0.28161452579995244</v>
      </c>
      <c r="AF16" s="71">
        <v>0.28842783775350106</v>
      </c>
      <c r="AG16" s="71">
        <v>0.27652070533522133</v>
      </c>
      <c r="AH16" s="71">
        <v>0.32628871865021597</v>
      </c>
      <c r="AI16" s="71">
        <v>0.29464475430302245</v>
      </c>
      <c r="AJ16" s="71">
        <v>0.32139738972147369</v>
      </c>
      <c r="AK16" s="71">
        <v>0.27293528954539442</v>
      </c>
      <c r="AL16" s="71">
        <v>0.29337656339878287</v>
      </c>
      <c r="AM16" s="40">
        <v>0.31505429730493789</v>
      </c>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row>
    <row r="17" spans="1:131">
      <c r="A17" s="19" t="s">
        <v>520</v>
      </c>
      <c r="B17" s="19"/>
      <c r="C17" s="71">
        <v>12.271486974988012</v>
      </c>
      <c r="D17" s="71">
        <v>35</v>
      </c>
      <c r="E17" s="71">
        <v>7</v>
      </c>
      <c r="F17" s="71">
        <v>42</v>
      </c>
      <c r="G17" s="71">
        <v>36.417075484407398</v>
      </c>
      <c r="H17" s="71">
        <v>13.904639809910456</v>
      </c>
      <c r="I17" s="71">
        <v>29981.696655825155</v>
      </c>
      <c r="J17" s="71">
        <v>107.54966549855966</v>
      </c>
      <c r="K17" s="71">
        <v>175.04144944073664</v>
      </c>
      <c r="L17" s="368">
        <v>0.38181648649584637</v>
      </c>
      <c r="M17" s="71">
        <v>0.11658056878030187</v>
      </c>
      <c r="N17" s="71">
        <v>9.3633030331800975E-3</v>
      </c>
      <c r="O17" s="71">
        <v>1.789293255050908</v>
      </c>
      <c r="P17" s="71">
        <v>1.2819720675341351</v>
      </c>
      <c r="Q17" s="71">
        <v>0.92863560718447902</v>
      </c>
      <c r="R17" s="71">
        <v>0.90696855230403539</v>
      </c>
      <c r="S17" s="71">
        <v>0.3180688367649836</v>
      </c>
      <c r="T17" s="71">
        <v>0.16255899278433086</v>
      </c>
      <c r="U17" s="71">
        <v>7.0741821416900469E-2</v>
      </c>
      <c r="V17" s="71">
        <v>7.3439531791003848E-2</v>
      </c>
      <c r="W17" s="71">
        <v>0.15665541638008568</v>
      </c>
      <c r="X17" s="71">
        <v>0.63666157777781407</v>
      </c>
      <c r="Y17" s="71">
        <v>1.0239063221100599</v>
      </c>
      <c r="Z17" s="71">
        <v>2.3586125819909785</v>
      </c>
      <c r="AA17" s="71"/>
      <c r="AB17" s="71">
        <v>0.51968565676892831</v>
      </c>
      <c r="AC17" s="71">
        <v>0.34725143150802129</v>
      </c>
      <c r="AD17" s="71">
        <v>0.20068520358565317</v>
      </c>
      <c r="AE17" s="71">
        <v>0.19141856932365792</v>
      </c>
      <c r="AF17" s="71">
        <v>7.3308584946832372E-2</v>
      </c>
      <c r="AG17" s="71">
        <v>3.3235301142123676E-2</v>
      </c>
      <c r="AH17" s="71">
        <v>1.6683877614394965E-2</v>
      </c>
      <c r="AI17" s="71">
        <v>1.3017117056187195E-2</v>
      </c>
      <c r="AJ17" s="71">
        <v>4.2281978924384102E-2</v>
      </c>
      <c r="AK17" s="71">
        <v>0.12017971949219791</v>
      </c>
      <c r="AL17" s="71">
        <v>0.31457873013807708</v>
      </c>
      <c r="AM17" s="40">
        <v>0.6916462413978407</v>
      </c>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row>
    <row r="18" spans="1:131">
      <c r="A18" s="19" t="s">
        <v>521</v>
      </c>
      <c r="B18" s="19"/>
      <c r="C18" s="71">
        <v>7.4032727196667265</v>
      </c>
      <c r="D18" s="71">
        <v>35</v>
      </c>
      <c r="E18" s="71">
        <v>7</v>
      </c>
      <c r="F18" s="71">
        <v>42</v>
      </c>
      <c r="G18" s="71">
        <v>36.417075484407398</v>
      </c>
      <c r="H18" s="71">
        <v>13.784438194772317</v>
      </c>
      <c r="I18" s="71">
        <v>49696.939979345065</v>
      </c>
      <c r="J18" s="71">
        <v>241.77866313757465</v>
      </c>
      <c r="K18" s="71">
        <v>262.82850904076571</v>
      </c>
      <c r="L18" s="368">
        <v>0.3785157926993441</v>
      </c>
      <c r="M18" s="71">
        <v>0.23227721060276635</v>
      </c>
      <c r="N18" s="71">
        <v>1.0823930963290735E-3</v>
      </c>
      <c r="O18" s="71">
        <v>0.40501106793643793</v>
      </c>
      <c r="P18" s="71">
        <v>0.37362560620946705</v>
      </c>
      <c r="Q18" s="71">
        <v>0.43071882514058379</v>
      </c>
      <c r="R18" s="71">
        <v>0.403774473239632</v>
      </c>
      <c r="S18" s="71">
        <v>0.42611006935468804</v>
      </c>
      <c r="T18" s="71">
        <v>0.44151340875634243</v>
      </c>
      <c r="U18" s="71">
        <v>0.43561062389656563</v>
      </c>
      <c r="V18" s="71">
        <v>0.47788981196665059</v>
      </c>
      <c r="W18" s="71">
        <v>0.41769184395060638</v>
      </c>
      <c r="X18" s="71">
        <v>0.44664334000736178</v>
      </c>
      <c r="Y18" s="71">
        <v>0.37947159792065771</v>
      </c>
      <c r="Z18" s="71">
        <v>0.39494609563328342</v>
      </c>
      <c r="AA18" s="71"/>
      <c r="AB18" s="71">
        <v>0.21420716299592352</v>
      </c>
      <c r="AC18" s="71">
        <v>0.18456767288094655</v>
      </c>
      <c r="AD18" s="71">
        <v>0.18069343988938713</v>
      </c>
      <c r="AE18" s="71">
        <v>0.18886349043687639</v>
      </c>
      <c r="AF18" s="71">
        <v>0.19343280685735312</v>
      </c>
      <c r="AG18" s="71">
        <v>0.18544734309896777</v>
      </c>
      <c r="AH18" s="71">
        <v>0.21882403302673006</v>
      </c>
      <c r="AI18" s="71">
        <v>0.19760215343477883</v>
      </c>
      <c r="AJ18" s="71">
        <v>0.21554368570894522</v>
      </c>
      <c r="AK18" s="71">
        <v>0.18304280043977544</v>
      </c>
      <c r="AL18" s="71">
        <v>0.19675164701990333</v>
      </c>
      <c r="AM18" s="40">
        <v>0.2112897198648622</v>
      </c>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row>
    <row r="19" spans="1:131">
      <c r="A19" s="19" t="s">
        <v>522</v>
      </c>
      <c r="B19" s="19"/>
      <c r="C19" s="71">
        <v>10.446745366038499</v>
      </c>
      <c r="D19" s="71">
        <v>35</v>
      </c>
      <c r="E19" s="71">
        <v>7</v>
      </c>
      <c r="F19" s="71">
        <v>42</v>
      </c>
      <c r="G19" s="71">
        <v>36.417075484407398</v>
      </c>
      <c r="H19" s="71">
        <v>11.277855855764376</v>
      </c>
      <c r="I19" s="71">
        <v>35218.624280445976</v>
      </c>
      <c r="J19" s="71">
        <v>168.9224339514605</v>
      </c>
      <c r="K19" s="71">
        <v>214.94915566251467</v>
      </c>
      <c r="L19" s="368">
        <v>0.30968592907997744</v>
      </c>
      <c r="M19" s="71">
        <v>0.18291570418294439</v>
      </c>
      <c r="N19" s="71">
        <v>1.5273630313887504E-3</v>
      </c>
      <c r="O19" s="71">
        <v>0.57151041942836267</v>
      </c>
      <c r="P19" s="71">
        <v>0.52722244851703692</v>
      </c>
      <c r="Q19" s="71">
        <v>0.60778659128006551</v>
      </c>
      <c r="R19" s="71">
        <v>0.56976546278449791</v>
      </c>
      <c r="S19" s="71">
        <v>0.60128318393947022</v>
      </c>
      <c r="T19" s="71">
        <v>0.62301880960246692</v>
      </c>
      <c r="U19" s="71">
        <v>0.61468940006757522</v>
      </c>
      <c r="V19" s="71">
        <v>0.67434948943287865</v>
      </c>
      <c r="W19" s="71">
        <v>0.58940424059097829</v>
      </c>
      <c r="X19" s="71">
        <v>0.63025764674300855</v>
      </c>
      <c r="Y19" s="71">
        <v>0.53547171733791188</v>
      </c>
      <c r="Z19" s="71">
        <v>0.55730775437079094</v>
      </c>
      <c r="AA19" s="71"/>
      <c r="AB19" s="71">
        <v>0.30226735825296669</v>
      </c>
      <c r="AC19" s="71">
        <v>0.26044312487198723</v>
      </c>
      <c r="AD19" s="71">
        <v>0.25497620137962279</v>
      </c>
      <c r="AE19" s="71">
        <v>0.26650494561601318</v>
      </c>
      <c r="AF19" s="71">
        <v>0.27295270013608813</v>
      </c>
      <c r="AG19" s="71">
        <v>0.26168442599943897</v>
      </c>
      <c r="AH19" s="71">
        <v>0.30878221559056068</v>
      </c>
      <c r="AI19" s="71">
        <v>0.27883605790047578</v>
      </c>
      <c r="AJ19" s="71">
        <v>0.30415332314816412</v>
      </c>
      <c r="AK19" s="71">
        <v>0.25829138000025148</v>
      </c>
      <c r="AL19" s="71">
        <v>0.27763590976534308</v>
      </c>
      <c r="AM19" s="40">
        <v>0.29815055928254219</v>
      </c>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row>
    <row r="20" spans="1:131">
      <c r="A20" s="19" t="s">
        <v>523</v>
      </c>
      <c r="B20" s="19"/>
      <c r="C20" s="71">
        <v>9.8765949955951093</v>
      </c>
      <c r="D20" s="71">
        <v>35</v>
      </c>
      <c r="E20" s="71">
        <v>7</v>
      </c>
      <c r="F20" s="71">
        <v>42</v>
      </c>
      <c r="G20" s="71">
        <v>36.417075484407398</v>
      </c>
      <c r="H20" s="71">
        <v>11.191023242906409</v>
      </c>
      <c r="I20" s="71">
        <v>37251.704677987676</v>
      </c>
      <c r="J20" s="71">
        <v>144.13302102573857</v>
      </c>
      <c r="K20" s="71">
        <v>227.99031677741331</v>
      </c>
      <c r="L20" s="368">
        <v>0.30730153627240164</v>
      </c>
      <c r="M20" s="71">
        <v>9.3828813455615237E-2</v>
      </c>
      <c r="N20" s="71">
        <v>7.5359695257988402E-3</v>
      </c>
      <c r="O20" s="71">
        <v>1.4400964483365017</v>
      </c>
      <c r="P20" s="71">
        <v>1.0317835917120159</v>
      </c>
      <c r="Q20" s="71">
        <v>0.74740394618384132</v>
      </c>
      <c r="R20" s="71">
        <v>0.72996541357262268</v>
      </c>
      <c r="S20" s="71">
        <v>0.25599481854568512</v>
      </c>
      <c r="T20" s="71">
        <v>0.13083413101404298</v>
      </c>
      <c r="U20" s="71">
        <v>5.6935913374599377E-2</v>
      </c>
      <c r="V20" s="71">
        <v>5.9107141102318211E-2</v>
      </c>
      <c r="W20" s="71">
        <v>0.1260826910875594</v>
      </c>
      <c r="X20" s="71">
        <v>0.51241129667370133</v>
      </c>
      <c r="Y20" s="71">
        <v>0.82408171703415667</v>
      </c>
      <c r="Z20" s="71">
        <v>1.8983079451838405</v>
      </c>
      <c r="AA20" s="71"/>
      <c r="AB20" s="71">
        <v>0.41826428756255668</v>
      </c>
      <c r="AC20" s="71">
        <v>0.27948216525314051</v>
      </c>
      <c r="AD20" s="71">
        <v>0.16151966599190265</v>
      </c>
      <c r="AE20" s="71">
        <v>0.15406149944985476</v>
      </c>
      <c r="AF20" s="71">
        <v>5.9001749722408917E-2</v>
      </c>
      <c r="AG20" s="71">
        <v>2.6749130696747999E-2</v>
      </c>
      <c r="AH20" s="71">
        <v>1.3427867583554645E-2</v>
      </c>
      <c r="AI20" s="71">
        <v>1.0476708603957897E-2</v>
      </c>
      <c r="AJ20" s="71">
        <v>3.4030267260976153E-2</v>
      </c>
      <c r="AK20" s="71">
        <v>9.6725557263595219E-2</v>
      </c>
      <c r="AL20" s="71">
        <v>0.25318583788053373</v>
      </c>
      <c r="AM20" s="40">
        <v>0.55666520450499457</v>
      </c>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row>
    <row r="21" spans="1:131">
      <c r="A21" s="19" t="s">
        <v>524</v>
      </c>
      <c r="B21" s="19"/>
      <c r="C21" s="71">
        <v>6.9396479279573011</v>
      </c>
      <c r="D21" s="71">
        <v>35</v>
      </c>
      <c r="E21" s="71">
        <v>7</v>
      </c>
      <c r="F21" s="71">
        <v>42</v>
      </c>
      <c r="G21" s="71">
        <v>36.417075484407398</v>
      </c>
      <c r="H21" s="71">
        <v>10.321142386698043</v>
      </c>
      <c r="I21" s="71">
        <v>53017.098823959786</v>
      </c>
      <c r="J21" s="71">
        <v>258.48601078409325</v>
      </c>
      <c r="K21" s="71">
        <v>314.57849624614124</v>
      </c>
      <c r="L21" s="368">
        <v>0.28341491592638235</v>
      </c>
      <c r="M21" s="71">
        <v>0.17165210118460617</v>
      </c>
      <c r="N21" s="71">
        <v>1.0146089834325981E-3</v>
      </c>
      <c r="O21" s="71">
        <v>0.37964753222428926</v>
      </c>
      <c r="P21" s="71">
        <v>0.3502275631526432</v>
      </c>
      <c r="Q21" s="71">
        <v>0.40374535905974479</v>
      </c>
      <c r="R21" s="71">
        <v>0.37848837840808375</v>
      </c>
      <c r="S21" s="71">
        <v>0.39942522339121944</v>
      </c>
      <c r="T21" s="71">
        <v>0.41386393940371369</v>
      </c>
      <c r="U21" s="71">
        <v>0.40833081232972257</v>
      </c>
      <c r="V21" s="71">
        <v>0.44796229572852547</v>
      </c>
      <c r="W21" s="71">
        <v>0.39153418348297431</v>
      </c>
      <c r="X21" s="71">
        <v>0.41867261228727898</v>
      </c>
      <c r="Y21" s="71">
        <v>0.35570745370937606</v>
      </c>
      <c r="Z21" s="71">
        <v>0.37021287179323631</v>
      </c>
      <c r="AA21" s="71"/>
      <c r="AB21" s="71">
        <v>0.20079258878162623</v>
      </c>
      <c r="AC21" s="71">
        <v>0.17300925106725248</v>
      </c>
      <c r="AD21" s="71">
        <v>0.16937763921525664</v>
      </c>
      <c r="AE21" s="71">
        <v>0.17703604604424925</v>
      </c>
      <c r="AF21" s="71">
        <v>0.18131921221011352</v>
      </c>
      <c r="AG21" s="71">
        <v>0.17383383255127102</v>
      </c>
      <c r="AH21" s="71">
        <v>0.20512033054613293</v>
      </c>
      <c r="AI21" s="71">
        <v>0.18522745636544577</v>
      </c>
      <c r="AJ21" s="71">
        <v>0.20204541269171264</v>
      </c>
      <c r="AK21" s="71">
        <v>0.17157987269940431</v>
      </c>
      <c r="AL21" s="71">
        <v>0.18443021232173712</v>
      </c>
      <c r="AM21" s="40">
        <v>0.1980578484922918</v>
      </c>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row>
    <row r="22" spans="1:131">
      <c r="A22" s="19" t="s">
        <v>525</v>
      </c>
      <c r="B22" s="19"/>
      <c r="C22" s="71">
        <v>8.984482750943469</v>
      </c>
      <c r="D22" s="71">
        <v>35</v>
      </c>
      <c r="E22" s="71">
        <v>7</v>
      </c>
      <c r="F22" s="71">
        <v>42</v>
      </c>
      <c r="G22" s="71">
        <v>36.417075484407398</v>
      </c>
      <c r="H22" s="71">
        <v>8.2840820327088007</v>
      </c>
      <c r="I22" s="71">
        <v>40950.604525493065</v>
      </c>
      <c r="J22" s="71">
        <v>198.85330813140334</v>
      </c>
      <c r="K22" s="71">
        <v>268.78906565608219</v>
      </c>
      <c r="L22" s="368">
        <v>0.22747795978992805</v>
      </c>
      <c r="M22" s="71">
        <v>0.13349753853597157</v>
      </c>
      <c r="N22" s="71">
        <v>1.1415598038884904E-3</v>
      </c>
      <c r="O22" s="71">
        <v>0.22702294172543974</v>
      </c>
      <c r="P22" s="71">
        <v>0.25427860389882756</v>
      </c>
      <c r="Q22" s="71">
        <v>0.37548989628464996</v>
      </c>
      <c r="R22" s="71">
        <v>0.42596557141085051</v>
      </c>
      <c r="S22" s="71">
        <v>0.63119128010456604</v>
      </c>
      <c r="T22" s="71">
        <v>0.87213480140956967</v>
      </c>
      <c r="U22" s="71">
        <v>1.0131742808164927</v>
      </c>
      <c r="V22" s="71">
        <v>1.163015385549798</v>
      </c>
      <c r="W22" s="71">
        <v>0.9080908466208395</v>
      </c>
      <c r="X22" s="71">
        <v>0.66509360893827341</v>
      </c>
      <c r="Y22" s="71">
        <v>0.34758886773602027</v>
      </c>
      <c r="Z22" s="71">
        <v>0.22893951533012113</v>
      </c>
      <c r="AA22" s="71"/>
      <c r="AB22" s="71">
        <v>6.8205346747959264E-2</v>
      </c>
      <c r="AC22" s="71">
        <v>6.9358994377875322E-2</v>
      </c>
      <c r="AD22" s="71">
        <v>7.9780569345450081E-2</v>
      </c>
      <c r="AE22" s="71">
        <v>0.11122241325409701</v>
      </c>
      <c r="AF22" s="71">
        <v>0.16106688530817809</v>
      </c>
      <c r="AG22" s="71">
        <v>0.19675158440956769</v>
      </c>
      <c r="AH22" s="71">
        <v>0.30652606606893823</v>
      </c>
      <c r="AI22" s="71">
        <v>0.27520016558165361</v>
      </c>
      <c r="AJ22" s="71">
        <v>0.28677055390262957</v>
      </c>
      <c r="AK22" s="71">
        <v>0.14895760556329321</v>
      </c>
      <c r="AL22" s="71">
        <v>0.1007797371960774</v>
      </c>
      <c r="AM22" s="40">
        <v>6.7877229362297245E-2</v>
      </c>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row>
    <row r="23" spans="1:131">
      <c r="A23" s="19" t="s">
        <v>526</v>
      </c>
      <c r="B23" s="19"/>
      <c r="C23" s="71">
        <v>8.1209976752336903</v>
      </c>
      <c r="D23" s="71">
        <v>35</v>
      </c>
      <c r="E23" s="71">
        <v>7</v>
      </c>
      <c r="F23" s="71">
        <v>42</v>
      </c>
      <c r="G23" s="71">
        <v>36.417075484407398</v>
      </c>
      <c r="H23" s="71">
        <v>7.463620051844706</v>
      </c>
      <c r="I23" s="71">
        <v>45304.778392195847</v>
      </c>
      <c r="J23" s="71">
        <v>220.76391539719245</v>
      </c>
      <c r="K23" s="71">
        <v>300.72144798318516</v>
      </c>
      <c r="L23" s="368">
        <v>0.20494836426501037</v>
      </c>
      <c r="M23" s="71">
        <v>0.12023679323060449</v>
      </c>
      <c r="N23" s="71">
        <v>1.0318462142459056E-3</v>
      </c>
      <c r="O23" s="71">
        <v>0.20520410947234621</v>
      </c>
      <c r="P23" s="71">
        <v>0.22984027109487185</v>
      </c>
      <c r="Q23" s="71">
        <v>0.33940212912993423</v>
      </c>
      <c r="R23" s="71">
        <v>0.38502666330945395</v>
      </c>
      <c r="S23" s="71">
        <v>0.57052843891527116</v>
      </c>
      <c r="T23" s="71">
        <v>0.78831524207598491</v>
      </c>
      <c r="U23" s="71">
        <v>0.91579963000688891</v>
      </c>
      <c r="V23" s="71">
        <v>1.0512397323395286</v>
      </c>
      <c r="W23" s="71">
        <v>0.82081560605527537</v>
      </c>
      <c r="X23" s="71">
        <v>0.60117246609809749</v>
      </c>
      <c r="Y23" s="71">
        <v>0.31418262632035321</v>
      </c>
      <c r="Z23" s="71">
        <v>0.20693648408082296</v>
      </c>
      <c r="AA23" s="71"/>
      <c r="AB23" s="71">
        <v>6.16502338234797E-2</v>
      </c>
      <c r="AC23" s="71">
        <v>6.2693006121039438E-2</v>
      </c>
      <c r="AD23" s="71">
        <v>7.2112979249159784E-2</v>
      </c>
      <c r="AE23" s="71">
        <v>0.10053299499913369</v>
      </c>
      <c r="AF23" s="71">
        <v>0.14558699008103598</v>
      </c>
      <c r="AG23" s="71">
        <v>0.17784208661548781</v>
      </c>
      <c r="AH23" s="71">
        <v>0.27706630853990705</v>
      </c>
      <c r="AI23" s="71">
        <v>0.24875109306407722</v>
      </c>
      <c r="AJ23" s="71">
        <v>0.25920946882826135</v>
      </c>
      <c r="AK23" s="71">
        <v>0.1346415149342739</v>
      </c>
      <c r="AL23" s="71">
        <v>9.1093948774520442E-2</v>
      </c>
      <c r="AM23" s="40">
        <v>6.1353651304482129E-2</v>
      </c>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row>
    <row r="24" spans="1:131">
      <c r="A24" s="19" t="s">
        <v>527</v>
      </c>
      <c r="B24" s="19"/>
      <c r="C24" s="71">
        <v>7.6883722283034297</v>
      </c>
      <c r="D24" s="71">
        <v>35</v>
      </c>
      <c r="E24" s="71">
        <v>7</v>
      </c>
      <c r="F24" s="71">
        <v>42</v>
      </c>
      <c r="G24" s="71">
        <v>36.417075484407398</v>
      </c>
      <c r="H24" s="71">
        <v>5.9881768571093517</v>
      </c>
      <c r="I24" s="71">
        <v>47854.082642560585</v>
      </c>
      <c r="J24" s="71">
        <v>233.59225113681387</v>
      </c>
      <c r="K24" s="71">
        <v>329.60399444935678</v>
      </c>
      <c r="L24" s="368">
        <v>0.16443321649134876</v>
      </c>
      <c r="M24" s="71">
        <v>9.4729736556574226E-2</v>
      </c>
      <c r="N24" s="71">
        <v>9.7687723784011123E-4</v>
      </c>
      <c r="O24" s="71">
        <v>0.19427238370136879</v>
      </c>
      <c r="P24" s="71">
        <v>0.21759611662254222</v>
      </c>
      <c r="Q24" s="71">
        <v>0.32132134599515833</v>
      </c>
      <c r="R24" s="71">
        <v>0.36451534943452096</v>
      </c>
      <c r="S24" s="71">
        <v>0.54013499087564465</v>
      </c>
      <c r="T24" s="71">
        <v>0.74631975733829903</v>
      </c>
      <c r="U24" s="71">
        <v>0.86701273951945923</v>
      </c>
      <c r="V24" s="71">
        <v>0.99523761570043612</v>
      </c>
      <c r="W24" s="71">
        <v>0.77708874728520716</v>
      </c>
      <c r="X24" s="71">
        <v>0.56914653563625039</v>
      </c>
      <c r="Y24" s="71">
        <v>0.29744534790146065</v>
      </c>
      <c r="Z24" s="71">
        <v>0.19591247046921131</v>
      </c>
      <c r="AA24" s="71"/>
      <c r="AB24" s="71">
        <v>5.8365974791787463E-2</v>
      </c>
      <c r="AC24" s="71">
        <v>5.9353196053708548E-2</v>
      </c>
      <c r="AD24" s="71">
        <v>6.8271344129341507E-2</v>
      </c>
      <c r="AE24" s="71">
        <v>9.5177355996135665E-2</v>
      </c>
      <c r="AF24" s="71">
        <v>0.13783121435373571</v>
      </c>
      <c r="AG24" s="71">
        <v>0.16836800285362766</v>
      </c>
      <c r="AH24" s="71">
        <v>0.26230630732393018</v>
      </c>
      <c r="AI24" s="71">
        <v>0.23549951276385994</v>
      </c>
      <c r="AJ24" s="71">
        <v>0.24540074522249389</v>
      </c>
      <c r="AK24" s="71">
        <v>0.12746883149028665</v>
      </c>
      <c r="AL24" s="71">
        <v>8.6241150894599231E-2</v>
      </c>
      <c r="AM24" s="40">
        <v>5.8085191950362054E-2</v>
      </c>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19"/>
      <c r="CY24" s="19"/>
      <c r="CZ24" s="19"/>
      <c r="DA24" s="19"/>
      <c r="DB24" s="19"/>
      <c r="DC24" s="19"/>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row>
    <row r="25" spans="1:131">
      <c r="A25" s="19"/>
      <c r="B25" s="19"/>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Sheet4"/>
  <dimension ref="A1:EA160"/>
  <sheetViews>
    <sheetView topLeftCell="A8" workbookViewId="0">
      <selection activeCell="A31" sqref="A31:EA160"/>
    </sheetView>
  </sheetViews>
  <sheetFormatPr defaultRowHeight="12.75"/>
  <cols>
    <col min="1" max="1" width="40.7109375" customWidth="1"/>
    <col min="2" max="2" width="53.28515625" customWidth="1"/>
    <col min="3" max="3" width="17.42578125" bestFit="1" customWidth="1"/>
    <col min="4" max="4" width="12.140625" bestFit="1" customWidth="1"/>
    <col min="5" max="5" width="12.5703125" customWidth="1"/>
    <col min="6" max="6" width="13.7109375" customWidth="1"/>
    <col min="7" max="7" width="25.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05">
      <c r="A1" s="10" t="s">
        <v>14</v>
      </c>
      <c r="B1" s="11"/>
      <c r="C1" s="11"/>
      <c r="D1" s="11"/>
      <c r="E1" s="11"/>
      <c r="F1" s="11"/>
      <c r="G1" s="11"/>
      <c r="H1" s="12"/>
      <c r="I1" s="13"/>
      <c r="J1" s="13"/>
      <c r="K1" s="13"/>
      <c r="L1" s="13"/>
      <c r="M1" s="13"/>
      <c r="N1" s="14"/>
      <c r="O1" s="15" t="e">
        <v>#REF!</v>
      </c>
      <c r="P1" s="14"/>
      <c r="Q1" s="14"/>
      <c r="R1" s="14"/>
      <c r="S1" s="12"/>
      <c r="T1" s="12"/>
      <c r="U1" s="12"/>
      <c r="V1" s="14"/>
      <c r="W1" s="12"/>
      <c r="X1" s="12"/>
      <c r="Y1" s="12"/>
      <c r="Z1" s="12"/>
      <c r="AA1" s="12"/>
      <c r="AB1" s="12"/>
      <c r="AC1" s="12"/>
      <c r="AD1" s="12"/>
      <c r="AE1" s="12"/>
      <c r="AF1" s="12"/>
      <c r="AG1" s="12"/>
      <c r="AH1" s="12"/>
      <c r="AI1" s="12"/>
      <c r="AJ1" s="12"/>
      <c r="AK1" s="12"/>
      <c r="AL1" s="12"/>
      <c r="AM1" s="12"/>
      <c r="AN1" s="12"/>
      <c r="AO1" s="12"/>
      <c r="AP1" s="16"/>
      <c r="AQ1" s="12"/>
      <c r="AR1" s="12"/>
      <c r="AS1" s="12"/>
      <c r="AT1" s="12"/>
      <c r="AU1" s="12"/>
      <c r="AV1" s="16"/>
      <c r="AW1" s="12"/>
      <c r="AX1" s="12"/>
      <c r="AY1" s="12"/>
      <c r="AZ1" s="12"/>
      <c r="BA1" s="12"/>
      <c r="BB1" s="12"/>
      <c r="BC1" s="12"/>
      <c r="BD1" s="12"/>
      <c r="BE1" s="12"/>
      <c r="BF1" s="12"/>
      <c r="BG1" s="12"/>
      <c r="BH1" s="12"/>
      <c r="BI1" s="12"/>
      <c r="BJ1" s="12"/>
      <c r="BK1" s="12"/>
      <c r="BL1" s="12"/>
      <c r="BM1" s="17"/>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6"/>
      <c r="CQ1" s="12"/>
      <c r="CR1" s="12"/>
      <c r="CS1" s="12"/>
      <c r="CT1" s="12"/>
      <c r="CU1" s="12"/>
      <c r="CV1" s="12"/>
      <c r="CW1" s="12"/>
      <c r="CX1" s="12"/>
      <c r="CY1" s="12"/>
      <c r="CZ1" s="12"/>
      <c r="DA1" s="12"/>
    </row>
    <row r="2" spans="1:105">
      <c r="A2" s="18" t="s">
        <v>15</v>
      </c>
      <c r="B2" s="12" t="str">
        <f>'7PSourceSummary'!D2</f>
        <v>Secondary Glazing Systems</v>
      </c>
      <c r="C2" s="12"/>
      <c r="D2" s="12"/>
      <c r="E2" s="12"/>
      <c r="F2" s="12"/>
      <c r="G2" s="12"/>
      <c r="H2" s="12"/>
      <c r="I2" s="13"/>
      <c r="J2" s="13"/>
      <c r="K2" s="13"/>
      <c r="L2" s="13"/>
      <c r="M2" s="13"/>
      <c r="N2" s="14"/>
      <c r="O2" s="14"/>
      <c r="P2" s="14"/>
      <c r="Q2" s="14"/>
      <c r="R2" s="14"/>
      <c r="S2" s="12"/>
      <c r="T2" s="12"/>
      <c r="U2" s="12"/>
      <c r="V2" s="14"/>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6"/>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row>
    <row r="3" spans="1:105">
      <c r="A3" s="18" t="s">
        <v>16</v>
      </c>
      <c r="B3" s="19"/>
      <c r="C3" s="18">
        <v>2012</v>
      </c>
      <c r="D3" s="19"/>
      <c r="E3" s="19"/>
      <c r="F3" s="19"/>
      <c r="G3" s="19"/>
      <c r="H3" s="19"/>
      <c r="I3" s="19"/>
      <c r="J3" s="20"/>
      <c r="K3" s="21"/>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21"/>
      <c r="CP3" s="21"/>
      <c r="CQ3" s="19"/>
      <c r="CR3" s="19"/>
      <c r="CS3" s="19"/>
      <c r="CT3" s="19"/>
      <c r="CU3" s="19"/>
      <c r="CV3" s="19"/>
      <c r="CW3" s="19"/>
      <c r="CX3" s="19"/>
      <c r="CY3" s="19"/>
      <c r="CZ3" s="19"/>
      <c r="DA3" s="19"/>
    </row>
    <row r="4" spans="1:105">
      <c r="A4" s="19"/>
      <c r="B4" s="22"/>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row>
    <row r="5" spans="1:105">
      <c r="A5" s="23">
        <v>1</v>
      </c>
      <c r="B5" s="23">
        <v>2</v>
      </c>
      <c r="C5" s="23">
        <v>3</v>
      </c>
      <c r="D5" s="23">
        <v>4</v>
      </c>
      <c r="E5" s="23">
        <v>5</v>
      </c>
      <c r="F5" s="23">
        <v>6</v>
      </c>
      <c r="G5" s="23">
        <v>7</v>
      </c>
      <c r="H5" s="23">
        <v>8</v>
      </c>
      <c r="I5" s="23">
        <v>9</v>
      </c>
      <c r="J5" s="23">
        <v>10</v>
      </c>
      <c r="K5" s="23">
        <v>11</v>
      </c>
      <c r="L5" s="23">
        <v>12</v>
      </c>
      <c r="M5" s="23">
        <v>13</v>
      </c>
      <c r="N5" s="23">
        <v>14</v>
      </c>
      <c r="O5" s="23">
        <v>15</v>
      </c>
      <c r="P5" s="23">
        <v>16</v>
      </c>
      <c r="Q5" s="23">
        <v>17</v>
      </c>
      <c r="R5" s="23">
        <v>18</v>
      </c>
      <c r="S5" s="23">
        <v>19</v>
      </c>
      <c r="T5" s="23">
        <v>20</v>
      </c>
      <c r="U5" s="23">
        <v>21</v>
      </c>
      <c r="V5" s="23">
        <v>22</v>
      </c>
      <c r="W5" s="23">
        <v>23</v>
      </c>
      <c r="X5" s="23">
        <v>24</v>
      </c>
      <c r="Y5" s="23">
        <v>25</v>
      </c>
      <c r="Z5" s="23">
        <v>26</v>
      </c>
      <c r="AA5" s="23">
        <v>27</v>
      </c>
      <c r="AB5" s="23">
        <v>28</v>
      </c>
      <c r="AC5" s="23">
        <v>29</v>
      </c>
      <c r="AD5" s="23">
        <v>30</v>
      </c>
      <c r="AE5" s="23">
        <v>31</v>
      </c>
      <c r="AF5" s="23">
        <v>32</v>
      </c>
      <c r="AG5" s="23">
        <v>33</v>
      </c>
      <c r="AH5" s="23">
        <v>34</v>
      </c>
      <c r="AI5" s="23">
        <v>35</v>
      </c>
      <c r="AJ5" s="23">
        <v>36</v>
      </c>
      <c r="AK5" s="23">
        <v>37</v>
      </c>
      <c r="AL5" s="23">
        <v>38</v>
      </c>
      <c r="AM5" s="23">
        <v>39</v>
      </c>
      <c r="AN5" s="23">
        <v>40</v>
      </c>
      <c r="AO5" s="23">
        <v>41</v>
      </c>
      <c r="AP5" s="23">
        <v>42</v>
      </c>
      <c r="AQ5" s="23">
        <v>43</v>
      </c>
      <c r="AR5" s="23">
        <v>44</v>
      </c>
      <c r="AS5" s="23">
        <v>45</v>
      </c>
      <c r="AT5" s="23">
        <v>46</v>
      </c>
      <c r="AU5" s="23">
        <v>47</v>
      </c>
      <c r="AV5" s="23">
        <v>48</v>
      </c>
      <c r="AW5" s="23">
        <v>49</v>
      </c>
      <c r="AX5" s="23">
        <v>50</v>
      </c>
      <c r="AY5" s="23">
        <v>51</v>
      </c>
      <c r="AZ5" s="23">
        <v>52</v>
      </c>
      <c r="BA5" s="23">
        <v>53</v>
      </c>
      <c r="BB5" s="23">
        <v>54</v>
      </c>
      <c r="BC5" s="23">
        <v>55</v>
      </c>
      <c r="BD5" s="23">
        <v>56</v>
      </c>
      <c r="BE5" s="23">
        <v>57</v>
      </c>
      <c r="BF5" s="23">
        <v>58</v>
      </c>
      <c r="BG5" s="23">
        <v>59</v>
      </c>
      <c r="BH5" s="23">
        <v>60</v>
      </c>
      <c r="BI5" s="23">
        <v>61</v>
      </c>
      <c r="BJ5" s="23">
        <v>62</v>
      </c>
      <c r="BK5" s="23">
        <v>63</v>
      </c>
      <c r="BL5" s="23">
        <v>64</v>
      </c>
      <c r="BM5" s="23">
        <v>65</v>
      </c>
      <c r="BN5" s="23">
        <v>66</v>
      </c>
      <c r="BO5" s="23">
        <v>67</v>
      </c>
      <c r="BP5" s="23">
        <v>68</v>
      </c>
      <c r="BQ5" s="23">
        <v>69</v>
      </c>
      <c r="BR5" s="23">
        <v>70</v>
      </c>
      <c r="BS5" s="23">
        <v>71</v>
      </c>
      <c r="BT5" s="23">
        <v>72</v>
      </c>
      <c r="BU5" s="23">
        <v>73</v>
      </c>
      <c r="BV5" s="23">
        <v>74</v>
      </c>
      <c r="BW5" s="23">
        <v>75</v>
      </c>
      <c r="BX5" s="23">
        <v>76</v>
      </c>
      <c r="BY5" s="23">
        <v>77</v>
      </c>
      <c r="BZ5" s="23">
        <v>78</v>
      </c>
      <c r="CA5" s="23">
        <v>79</v>
      </c>
      <c r="CB5" s="23">
        <v>80</v>
      </c>
      <c r="CC5" s="23">
        <v>81</v>
      </c>
      <c r="CD5" s="23">
        <v>82</v>
      </c>
      <c r="CE5" s="23">
        <v>83</v>
      </c>
      <c r="CF5" s="23">
        <v>84</v>
      </c>
      <c r="CG5" s="23">
        <v>85</v>
      </c>
      <c r="CH5" s="23">
        <v>86</v>
      </c>
      <c r="CI5" s="23">
        <v>87</v>
      </c>
      <c r="CJ5" s="23">
        <v>88</v>
      </c>
      <c r="CK5" s="23">
        <v>89</v>
      </c>
      <c r="CL5" s="23">
        <v>90</v>
      </c>
      <c r="CM5" s="23">
        <v>91</v>
      </c>
      <c r="CN5" s="23">
        <v>92</v>
      </c>
      <c r="CO5" s="23">
        <v>93</v>
      </c>
      <c r="CP5" s="23">
        <v>94</v>
      </c>
      <c r="CQ5" s="23">
        <v>95</v>
      </c>
      <c r="CR5" s="23">
        <v>96</v>
      </c>
      <c r="CS5" s="23">
        <v>97</v>
      </c>
      <c r="CT5" s="23">
        <v>98</v>
      </c>
      <c r="CU5" s="23">
        <v>99</v>
      </c>
      <c r="CV5" s="23">
        <v>100</v>
      </c>
      <c r="CW5" s="23">
        <v>101</v>
      </c>
      <c r="CX5" s="23">
        <v>102</v>
      </c>
      <c r="CY5" s="23">
        <v>103</v>
      </c>
      <c r="CZ5" s="23">
        <v>104</v>
      </c>
      <c r="DA5" s="23">
        <v>105</v>
      </c>
    </row>
    <row r="6" spans="1:105">
      <c r="A6" s="24" t="s">
        <v>17</v>
      </c>
      <c r="B6" s="25"/>
      <c r="C6" s="25"/>
      <c r="D6" s="25"/>
      <c r="E6" s="25"/>
      <c r="F6" s="25"/>
      <c r="G6" s="26"/>
      <c r="H6" s="27"/>
      <c r="I6" s="450" t="s">
        <v>18</v>
      </c>
      <c r="J6" s="451"/>
      <c r="K6" s="451"/>
      <c r="L6" s="451"/>
      <c r="M6" s="451"/>
      <c r="N6" s="452"/>
      <c r="O6" s="453" t="s">
        <v>19</v>
      </c>
      <c r="P6" s="454"/>
      <c r="Q6" s="28" t="s">
        <v>20</v>
      </c>
      <c r="R6" s="455" t="s">
        <v>21</v>
      </c>
      <c r="S6" s="455"/>
      <c r="T6" s="455"/>
      <c r="U6" s="29"/>
      <c r="V6" s="29"/>
      <c r="W6" s="29"/>
      <c r="X6" s="30"/>
      <c r="Y6" s="31"/>
      <c r="Z6" s="29"/>
      <c r="AA6" s="29"/>
      <c r="AB6" s="29"/>
      <c r="AC6" s="29"/>
      <c r="AD6" s="29"/>
      <c r="AE6" s="32"/>
      <c r="AF6" s="32"/>
      <c r="AG6" s="32"/>
      <c r="AH6" s="32"/>
      <c r="AI6" s="32"/>
      <c r="AJ6" s="32"/>
      <c r="AK6" s="32"/>
      <c r="AL6" s="32"/>
      <c r="AM6" s="32"/>
      <c r="AN6" s="32"/>
      <c r="AO6" s="3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row>
    <row r="7" spans="1:105" ht="25.5">
      <c r="A7" s="33" t="s">
        <v>22</v>
      </c>
      <c r="B7" s="33" t="s">
        <v>23</v>
      </c>
      <c r="C7" s="33" t="s">
        <v>24</v>
      </c>
      <c r="D7" s="33" t="s">
        <v>25</v>
      </c>
      <c r="E7" s="33" t="s">
        <v>26</v>
      </c>
      <c r="F7" s="34" t="s">
        <v>27</v>
      </c>
      <c r="G7" s="33" t="s">
        <v>28</v>
      </c>
      <c r="H7" s="35" t="s">
        <v>29</v>
      </c>
      <c r="I7" s="35" t="s">
        <v>30</v>
      </c>
      <c r="J7" s="35" t="s">
        <v>31</v>
      </c>
      <c r="K7" s="35" t="s">
        <v>32</v>
      </c>
      <c r="L7" s="35" t="s">
        <v>33</v>
      </c>
      <c r="M7" s="35" t="s">
        <v>34</v>
      </c>
      <c r="N7" s="35" t="s">
        <v>35</v>
      </c>
      <c r="O7" s="36" t="s">
        <v>36</v>
      </c>
      <c r="P7" s="35" t="s">
        <v>28</v>
      </c>
      <c r="Q7" s="37" t="s">
        <v>37</v>
      </c>
      <c r="R7" s="38" t="s">
        <v>38</v>
      </c>
      <c r="S7" s="38" t="s">
        <v>39</v>
      </c>
      <c r="T7" s="38" t="s">
        <v>40</v>
      </c>
      <c r="U7" s="39"/>
      <c r="V7" s="39"/>
      <c r="W7" s="39"/>
      <c r="X7" s="39"/>
      <c r="Y7" s="39"/>
      <c r="Z7" s="39"/>
      <c r="AA7" s="39"/>
      <c r="AB7" s="39"/>
      <c r="AC7" s="39"/>
      <c r="AD7" s="39"/>
      <c r="AE7" s="32"/>
      <c r="AF7" s="32"/>
      <c r="AG7" s="32"/>
      <c r="AH7" s="32"/>
      <c r="AI7" s="32"/>
      <c r="AJ7" s="32"/>
      <c r="AK7" s="32"/>
      <c r="AL7" s="32"/>
      <c r="AM7" s="32"/>
      <c r="AN7" s="32"/>
      <c r="AO7" s="3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row>
    <row r="8" spans="1:105">
      <c r="A8" s="40" t="str">
        <f>MMap!B6</f>
        <v>SGSWindow-Small Office (AC with Gas Furnace)-Portland</v>
      </c>
      <c r="B8" s="40" t="str">
        <f>MMap!C6</f>
        <v>SGSWindow-Small Office (AC with Gas Furnace)-Portland</v>
      </c>
      <c r="C8" s="41">
        <f>MMap!G6</f>
        <v>7.1670781893004101</v>
      </c>
      <c r="D8" s="42">
        <f>MMap!O6</f>
        <v>30</v>
      </c>
      <c r="E8" s="43">
        <f>MMap!P6</f>
        <v>35</v>
      </c>
      <c r="F8" s="43"/>
      <c r="G8" s="44" t="str">
        <f>MMap!Q6</f>
        <v>Commercial-All Com-Cool</v>
      </c>
      <c r="H8" s="42"/>
      <c r="I8" s="42"/>
      <c r="J8" s="42"/>
      <c r="K8" s="42"/>
      <c r="L8" s="42"/>
      <c r="M8" s="42"/>
      <c r="N8" s="42"/>
      <c r="O8" s="77">
        <f>MMap!F6</f>
        <v>0.18353909465020579</v>
      </c>
      <c r="P8" s="45" t="str">
        <f>MMap!R6</f>
        <v>Commercial-All Com-Heat</v>
      </c>
      <c r="Q8" s="46" t="s">
        <v>41</v>
      </c>
      <c r="R8" s="42"/>
      <c r="S8" s="42"/>
      <c r="T8" s="42"/>
      <c r="U8" s="39"/>
      <c r="V8" s="39"/>
      <c r="W8" s="39"/>
      <c r="X8" s="39"/>
      <c r="Y8" s="39"/>
      <c r="Z8" s="39"/>
      <c r="AA8" s="39"/>
      <c r="AB8" s="39"/>
      <c r="AC8" s="39"/>
      <c r="AD8" s="39"/>
      <c r="AE8" s="32"/>
      <c r="AF8" s="32"/>
      <c r="AG8" s="32"/>
      <c r="AH8" s="32"/>
      <c r="AI8" s="32"/>
      <c r="AJ8" s="32"/>
      <c r="AK8" s="32"/>
      <c r="AL8" s="32"/>
      <c r="AM8" s="32"/>
      <c r="AN8" s="32"/>
      <c r="AO8" s="32"/>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row>
    <row r="9" spans="1:105">
      <c r="A9" s="40" t="str">
        <f>MMap!B7</f>
        <v>SGSWindow-Small Office (AC with Gas Furnace)-Spokane</v>
      </c>
      <c r="B9" s="40" t="str">
        <f>MMap!C7</f>
        <v>SGSWindow-Small Office (AC with Gas Furnace)-Spokane</v>
      </c>
      <c r="C9" s="41">
        <f>MMap!G7</f>
        <v>8.3753086419753089</v>
      </c>
      <c r="D9" s="42">
        <f>MMap!O7</f>
        <v>30</v>
      </c>
      <c r="E9" s="43">
        <f>MMap!P7</f>
        <v>35</v>
      </c>
      <c r="F9" s="43"/>
      <c r="G9" s="44" t="str">
        <f>MMap!Q7</f>
        <v>Commercial-All Com-Cool</v>
      </c>
      <c r="H9" s="42"/>
      <c r="I9" s="42"/>
      <c r="J9" s="42"/>
      <c r="K9" s="42"/>
      <c r="L9" s="42"/>
      <c r="M9" s="42"/>
      <c r="N9" s="42"/>
      <c r="O9" s="77">
        <f>MMap!F7</f>
        <v>0.40740740740740744</v>
      </c>
      <c r="P9" s="45" t="str">
        <f>MMap!R7</f>
        <v>Commercial-All Com-Heat</v>
      </c>
      <c r="Q9" s="46" t="s">
        <v>41</v>
      </c>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row>
    <row r="10" spans="1:105">
      <c r="A10" s="40" t="str">
        <f>MMap!B8</f>
        <v>SGSWindow-Small Office (AC with Gas Furnace)-Missoula</v>
      </c>
      <c r="B10" s="40" t="str">
        <f>MMap!C8</f>
        <v>SGSWindow-Small Office (AC with Gas Furnace)-Missoula</v>
      </c>
      <c r="C10" s="41">
        <f>MMap!G8</f>
        <v>7.5703703703703713</v>
      </c>
      <c r="D10" s="42">
        <f>MMap!O8</f>
        <v>30</v>
      </c>
      <c r="E10" s="43">
        <f>MMap!P8</f>
        <v>35</v>
      </c>
      <c r="F10" s="43"/>
      <c r="G10" s="44" t="str">
        <f>MMap!Q8</f>
        <v>Commercial-All Com-Cool</v>
      </c>
      <c r="H10" s="42"/>
      <c r="I10" s="42"/>
      <c r="J10" s="42"/>
      <c r="K10" s="42"/>
      <c r="L10" s="42"/>
      <c r="M10" s="42"/>
      <c r="N10" s="42"/>
      <c r="O10" s="77">
        <f>MMap!F8</f>
        <v>0.3646090534979427</v>
      </c>
      <c r="P10" s="45" t="str">
        <f>MMap!R8</f>
        <v>Commercial-All Com-Heat</v>
      </c>
      <c r="Q10" s="46" t="s">
        <v>41</v>
      </c>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row>
    <row r="11" spans="1:105">
      <c r="A11" s="40" t="str">
        <f>MMap!B9</f>
        <v>SGSWindow-Small Office (Air-source Heat Pump)-Portland</v>
      </c>
      <c r="B11" s="40" t="str">
        <f>MMap!C9</f>
        <v>SGSWindow-Small Office (Air-source Heat Pump)-Portland</v>
      </c>
      <c r="C11" s="41">
        <f>MMap!G9</f>
        <v>9.1407407407407426</v>
      </c>
      <c r="D11" s="42">
        <f>MMap!O9</f>
        <v>30</v>
      </c>
      <c r="E11" s="43">
        <f>MMap!P9</f>
        <v>35</v>
      </c>
      <c r="F11" s="43"/>
      <c r="G11" s="44" t="str">
        <f>MMap!Q9</f>
        <v>C-All-HVAC-ER-All-All-E</v>
      </c>
      <c r="H11" s="42"/>
      <c r="I11" s="42"/>
      <c r="J11" s="42"/>
      <c r="K11" s="42"/>
      <c r="L11" s="42"/>
      <c r="M11" s="42"/>
      <c r="N11" s="42"/>
      <c r="O11" s="77">
        <f>MMap!F9</f>
        <v>0</v>
      </c>
      <c r="P11" s="45" t="str">
        <f>MMap!R9</f>
        <v>Commercial-All Com-Heat</v>
      </c>
      <c r="Q11" s="46" t="s">
        <v>41</v>
      </c>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row>
    <row r="12" spans="1:105">
      <c r="A12" s="40" t="str">
        <f>MMap!B10</f>
        <v>SGSWindow-Small Office (Air-source Heat Pump)-Spokane</v>
      </c>
      <c r="B12" s="40" t="str">
        <f>MMap!C10</f>
        <v>SGSWindow-Small Office (Air-source Heat Pump)-Spokane</v>
      </c>
      <c r="C12" s="41">
        <f>MMap!G10</f>
        <v>12.393415637860082</v>
      </c>
      <c r="D12" s="42">
        <f>MMap!O10</f>
        <v>30</v>
      </c>
      <c r="E12" s="43">
        <f>MMap!P10</f>
        <v>35</v>
      </c>
      <c r="F12" s="43"/>
      <c r="G12" s="44" t="str">
        <f>MMap!Q10</f>
        <v>C-All-HVAC-ER-All-All-E</v>
      </c>
      <c r="H12" s="42"/>
      <c r="I12" s="42"/>
      <c r="J12" s="42"/>
      <c r="K12" s="42"/>
      <c r="L12" s="42"/>
      <c r="M12" s="42"/>
      <c r="N12" s="42"/>
      <c r="O12" s="77">
        <f>MMap!F10</f>
        <v>0</v>
      </c>
      <c r="P12" s="45" t="str">
        <f>MMap!R10</f>
        <v>Commercial-All Com-Heat</v>
      </c>
      <c r="Q12" s="46" t="s">
        <v>41</v>
      </c>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row>
    <row r="13" spans="1:105">
      <c r="A13" s="40" t="str">
        <f>MMap!B11</f>
        <v>SGSWindow-Small Office (Air-source Heat Pump)-Missoula</v>
      </c>
      <c r="B13" s="40" t="str">
        <f>MMap!C11</f>
        <v>SGSWindow-Small Office (Air-source Heat Pump)-Missoula</v>
      </c>
      <c r="C13" s="41">
        <f>MMap!G11</f>
        <v>11.357201646090534</v>
      </c>
      <c r="D13" s="42">
        <f>MMap!O11</f>
        <v>30</v>
      </c>
      <c r="E13" s="43">
        <f>MMap!P11</f>
        <v>35</v>
      </c>
      <c r="F13" s="43"/>
      <c r="G13" s="44" t="str">
        <f>MMap!Q11</f>
        <v>C-All-HVAC-ER-All-All-E</v>
      </c>
      <c r="H13" s="42"/>
      <c r="I13" s="42"/>
      <c r="J13" s="42"/>
      <c r="K13" s="42"/>
      <c r="L13" s="42"/>
      <c r="M13" s="42"/>
      <c r="N13" s="42"/>
      <c r="O13" s="77">
        <f>MMap!F11</f>
        <v>0</v>
      </c>
      <c r="P13" s="45" t="str">
        <f>MMap!R11</f>
        <v>Commercial-All Com-Heat</v>
      </c>
      <c r="Q13" s="46" t="s">
        <v>41</v>
      </c>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row>
    <row r="14" spans="1:105">
      <c r="A14" s="40" t="str">
        <f>MMap!B12</f>
        <v>SGSWindow-Mid-rise Office (Apackaged VAV with Electric reheat)-Portland</v>
      </c>
      <c r="B14" s="40" t="str">
        <f>MMap!C12</f>
        <v>SGSWindow-Mid-rise Office (Apackaged VAV with Electric reheat)-Portland</v>
      </c>
      <c r="C14" s="41">
        <f>MMap!G12</f>
        <v>27.774657305249079</v>
      </c>
      <c r="D14" s="42">
        <f>MMap!O12</f>
        <v>30</v>
      </c>
      <c r="E14" s="43">
        <f>MMap!P12</f>
        <v>35</v>
      </c>
      <c r="F14" s="43"/>
      <c r="G14" s="44" t="str">
        <f>MMap!Q12</f>
        <v>C-All-HVAC-ER-All-All-E</v>
      </c>
      <c r="H14" s="42"/>
      <c r="I14" s="42"/>
      <c r="J14" s="42"/>
      <c r="K14" s="42"/>
      <c r="L14" s="42"/>
      <c r="M14" s="42"/>
      <c r="N14" s="42"/>
      <c r="O14" s="77">
        <f>MMap!F12</f>
        <v>0</v>
      </c>
      <c r="P14" s="45" t="str">
        <f>MMap!R12</f>
        <v>Commercial-All Com-Heat</v>
      </c>
      <c r="Q14" s="46" t="s">
        <v>41</v>
      </c>
    </row>
    <row r="15" spans="1:105">
      <c r="A15" s="40" t="str">
        <f>MMap!B13</f>
        <v>SGSWindow-Mid-rise Office (Apackaged VAV with Electric reheat)-Spokane</v>
      </c>
      <c r="B15" s="40" t="str">
        <f>MMap!C13</f>
        <v>SGSWindow-Mid-rise Office (Apackaged VAV with Electric reheat)-Spokane</v>
      </c>
      <c r="C15" s="41">
        <f>MMap!G13</f>
        <v>46.806753594115676</v>
      </c>
      <c r="D15" s="42">
        <f>MMap!O13</f>
        <v>30</v>
      </c>
      <c r="E15" s="43">
        <f>MMap!P13</f>
        <v>35</v>
      </c>
      <c r="F15" s="43"/>
      <c r="G15" s="44" t="str">
        <f>MMap!Q13</f>
        <v>C-All-HVAC-ER-All-All-E</v>
      </c>
      <c r="H15" s="42"/>
      <c r="I15" s="42"/>
      <c r="J15" s="42"/>
      <c r="K15" s="42"/>
      <c r="L15" s="42"/>
      <c r="M15" s="42"/>
      <c r="N15" s="42"/>
      <c r="O15" s="77">
        <f>MMap!F13</f>
        <v>0</v>
      </c>
      <c r="P15" s="45" t="str">
        <f>MMap!R13</f>
        <v>Commercial-All Com-Heat</v>
      </c>
      <c r="Q15" s="46" t="s">
        <v>41</v>
      </c>
    </row>
    <row r="16" spans="1:105">
      <c r="A16" s="40" t="str">
        <f>MMap!B14</f>
        <v>SGSWindow-Mid-rise Office (Apackaged VAV with Electric reheat)-Missoula</v>
      </c>
      <c r="B16" s="40" t="str">
        <f>MMap!C14</f>
        <v>SGSWindow-Mid-rise Office (Apackaged VAV with Electric reheat)-Missoula</v>
      </c>
      <c r="C16" s="41">
        <f>MMap!G14</f>
        <v>40.555332664660654</v>
      </c>
      <c r="D16" s="42">
        <f>MMap!O14</f>
        <v>30</v>
      </c>
      <c r="E16" s="43">
        <f>MMap!P14</f>
        <v>35</v>
      </c>
      <c r="F16" s="43"/>
      <c r="G16" s="44" t="str">
        <f>MMap!Q14</f>
        <v>C-All-HVAC-ER-All-All-E</v>
      </c>
      <c r="H16" s="42"/>
      <c r="I16" s="42"/>
      <c r="J16" s="42"/>
      <c r="K16" s="42"/>
      <c r="L16" s="42"/>
      <c r="M16" s="42"/>
      <c r="N16" s="42"/>
      <c r="O16" s="77">
        <f>MMap!F14</f>
        <v>-3.7445670344366432E-2</v>
      </c>
      <c r="P16" s="45" t="str">
        <f>MMap!R14</f>
        <v>Commercial-All Com-Heat</v>
      </c>
      <c r="Q16" s="46" t="s">
        <v>41</v>
      </c>
    </row>
    <row r="17" spans="1:131">
      <c r="A17" s="40" t="str">
        <f>MMap!B15</f>
        <v>SGSWindow-Mid-rise Office (Apackaged VAV with Gas)-Portland</v>
      </c>
      <c r="B17" s="40" t="str">
        <f>MMap!C15</f>
        <v>SGSWindow-Mid-rise Office (Apackaged VAV with Gas)-Portland</v>
      </c>
      <c r="C17" s="41">
        <f>MMap!G15</f>
        <v>6.4607154797726496</v>
      </c>
      <c r="D17" s="42">
        <f>MMap!O15</f>
        <v>30</v>
      </c>
      <c r="E17" s="43">
        <f>MMap!P15</f>
        <v>35</v>
      </c>
      <c r="F17" s="43"/>
      <c r="G17" s="44" t="str">
        <f>MMap!Q15</f>
        <v>Commercial-All Com-Vent</v>
      </c>
      <c r="H17" s="42"/>
      <c r="I17" s="42"/>
      <c r="J17" s="42"/>
      <c r="K17" s="42"/>
      <c r="L17" s="42"/>
      <c r="M17" s="42"/>
      <c r="N17" s="42"/>
      <c r="O17" s="77">
        <f>MMap!F15</f>
        <v>0.8946840521564694</v>
      </c>
      <c r="P17" s="45" t="str">
        <f>MMap!R15</f>
        <v>Commercial-All Com-Heat</v>
      </c>
      <c r="Q17" s="46" t="s">
        <v>41</v>
      </c>
    </row>
    <row r="18" spans="1:131">
      <c r="A18" s="40" t="str">
        <f>MMap!B16</f>
        <v>SGSWindow-Mid-rise Office (Apackaged VAV with Gas)-Spokane</v>
      </c>
      <c r="B18" s="40" t="str">
        <f>MMap!C16</f>
        <v>SGSWindow-Mid-rise Office (Apackaged VAV with Gas)-Spokane</v>
      </c>
      <c r="C18" s="41">
        <f>MMap!G16</f>
        <v>8.4302908726178529</v>
      </c>
      <c r="D18" s="42">
        <f>MMap!O16</f>
        <v>30</v>
      </c>
      <c r="E18" s="43">
        <f>MMap!P16</f>
        <v>35</v>
      </c>
      <c r="F18" s="43"/>
      <c r="G18" s="44" t="str">
        <f>MMap!Q16</f>
        <v>Commercial-All Com-Vent</v>
      </c>
      <c r="H18" s="42"/>
      <c r="I18" s="42"/>
      <c r="J18" s="42"/>
      <c r="K18" s="42"/>
      <c r="L18" s="42"/>
      <c r="M18" s="42"/>
      <c r="N18" s="42"/>
      <c r="O18" s="77">
        <f>MMap!F16</f>
        <v>1.6506185222333669</v>
      </c>
      <c r="P18" s="45" t="str">
        <f>MMap!R16</f>
        <v>Commercial-All Com-Heat</v>
      </c>
      <c r="Q18" s="46" t="s">
        <v>41</v>
      </c>
    </row>
    <row r="19" spans="1:131">
      <c r="A19" s="40" t="str">
        <f>MMap!B17</f>
        <v>SGSWindow-Mid-rise Office (Apackaged VAV with Gas)-Missoula</v>
      </c>
      <c r="B19" s="40" t="str">
        <f>MMap!C17</f>
        <v>SGSWindow-Mid-rise Office (Apackaged VAV with Gas)-Missoula</v>
      </c>
      <c r="C19" s="41">
        <f>MMap!G17</f>
        <v>6.892343697759947</v>
      </c>
      <c r="D19" s="42">
        <f>MMap!O17</f>
        <v>30</v>
      </c>
      <c r="E19" s="43">
        <f>MMap!P17</f>
        <v>35</v>
      </c>
      <c r="F19" s="43"/>
      <c r="G19" s="44" t="str">
        <f>MMap!Q17</f>
        <v>Commercial-All Com-Vent</v>
      </c>
      <c r="H19" s="42"/>
      <c r="I19" s="42"/>
      <c r="J19" s="42"/>
      <c r="K19" s="42"/>
      <c r="L19" s="42"/>
      <c r="M19" s="42"/>
      <c r="N19" s="42"/>
      <c r="O19" s="77">
        <f>MMap!F17</f>
        <v>1.3704446673353394</v>
      </c>
      <c r="P19" s="45" t="str">
        <f>MMap!R17</f>
        <v>Commercial-All Com-Heat</v>
      </c>
      <c r="Q19" s="46" t="s">
        <v>41</v>
      </c>
    </row>
    <row r="20" spans="1:131">
      <c r="A20" s="40" t="str">
        <f>MMap!B18</f>
        <v>SGSWindow-High-rise Office (VAV with Central Chillers / Gas Boilers)-Portland</v>
      </c>
      <c r="B20" s="40" t="str">
        <f>MMap!C18</f>
        <v>SGSWindow-High-rise Office (VAV with Central Chillers / Gas Boilers)-Portland</v>
      </c>
      <c r="C20" s="41">
        <f>MMap!G18</f>
        <v>9.7257743044429841</v>
      </c>
      <c r="D20" s="42">
        <f>MMap!O18</f>
        <v>30</v>
      </c>
      <c r="E20" s="43">
        <f>MMap!P18</f>
        <v>35</v>
      </c>
      <c r="F20" s="43"/>
      <c r="G20" s="44" t="str">
        <f>MMap!Q18</f>
        <v>Commercial-All Com-Vent</v>
      </c>
      <c r="H20" s="42"/>
      <c r="I20" s="42"/>
      <c r="J20" s="42"/>
      <c r="K20" s="42"/>
      <c r="L20" s="42"/>
      <c r="M20" s="42"/>
      <c r="N20" s="42"/>
      <c r="O20" s="77">
        <f>MMap!F18</f>
        <v>0.70805341790988041</v>
      </c>
      <c r="P20" s="45" t="str">
        <f>MMap!R18</f>
        <v>Commercial-All Com-Heat</v>
      </c>
      <c r="Q20" s="46" t="s">
        <v>41</v>
      </c>
    </row>
    <row r="21" spans="1:131">
      <c r="A21" s="40" t="str">
        <f>MMap!B19</f>
        <v>SGSWindow-High-rise Office (VAV with Central Chillers / Gas Boilers)-Spokane</v>
      </c>
      <c r="B21" s="40" t="str">
        <f>MMap!C19</f>
        <v>SGSWindow-High-rise Office (VAV with Central Chillers / Gas Boilers)-Spokane</v>
      </c>
      <c r="C21" s="41">
        <f>MMap!G19</f>
        <v>11.06241684000152</v>
      </c>
      <c r="D21" s="42">
        <f>MMap!O19</f>
        <v>30</v>
      </c>
      <c r="E21" s="43">
        <f>MMap!P19</f>
        <v>35</v>
      </c>
      <c r="F21" s="43"/>
      <c r="G21" s="44" t="str">
        <f>MMap!Q19</f>
        <v>Commercial-All Com-Vent</v>
      </c>
      <c r="H21" s="42"/>
      <c r="I21" s="42"/>
      <c r="J21" s="42"/>
      <c r="K21" s="42"/>
      <c r="L21" s="42"/>
      <c r="M21" s="42"/>
      <c r="N21" s="42"/>
      <c r="O21" s="77">
        <f>MMap!F19</f>
        <v>1.1052011317906076</v>
      </c>
      <c r="P21" s="45" t="str">
        <f>MMap!R19</f>
        <v>Commercial-All Com-Heat</v>
      </c>
      <c r="Q21" s="46" t="s">
        <v>41</v>
      </c>
    </row>
    <row r="22" spans="1:131">
      <c r="A22" s="40" t="str">
        <f>MMap!B20</f>
        <v>SGSWindow-High-rise Office (VAV with Central Chillers / Gas Boilers)-Missoula</v>
      </c>
      <c r="B22" s="40" t="str">
        <f>MMap!C20</f>
        <v>SGSWindow-High-rise Office (VAV with Central Chillers / Gas Boilers)-Missoula</v>
      </c>
      <c r="C22" s="41">
        <f>MMap!G20</f>
        <v>10.277180081788707</v>
      </c>
      <c r="D22" s="42">
        <f>MMap!O20</f>
        <v>30</v>
      </c>
      <c r="E22" s="43">
        <f>MMap!P20</f>
        <v>35</v>
      </c>
      <c r="F22" s="43"/>
      <c r="G22" s="44" t="str">
        <f>MMap!Q20</f>
        <v>Commercial-All Com-Vent</v>
      </c>
      <c r="H22" s="42"/>
      <c r="I22" s="42"/>
      <c r="J22" s="42"/>
      <c r="K22" s="42"/>
      <c r="L22" s="42"/>
      <c r="M22" s="42"/>
      <c r="N22" s="42"/>
      <c r="O22" s="77">
        <f>MMap!F20</f>
        <v>1.0642741931104147</v>
      </c>
      <c r="P22" s="45" t="str">
        <f>MMap!R20</f>
        <v>Commercial-All Com-Heat</v>
      </c>
      <c r="Q22" s="46" t="s">
        <v>41</v>
      </c>
    </row>
    <row r="23" spans="1:131">
      <c r="A23" s="40" t="str">
        <f>MMap!B21</f>
        <v>SGSWindow-Small Office (AC with Ele Furnace)-Portland</v>
      </c>
      <c r="B23" s="40" t="str">
        <f>MMap!C21</f>
        <v>SGSWindow-Small Office (AC with Ele Furnace)-Portland</v>
      </c>
      <c r="C23" s="41">
        <f>MMap!G21</f>
        <v>11.470456727406056</v>
      </c>
      <c r="D23" s="42">
        <f>MMap!O21</f>
        <v>30</v>
      </c>
      <c r="E23" s="43">
        <f>MMap!P21</f>
        <v>35</v>
      </c>
      <c r="F23" s="43"/>
      <c r="G23" s="44" t="str">
        <f>MMap!Q21</f>
        <v>C-All-HVAC-ER-All-All-E</v>
      </c>
      <c r="H23" s="42"/>
      <c r="I23" s="42"/>
      <c r="J23" s="42"/>
      <c r="K23" s="42"/>
      <c r="L23" s="42"/>
      <c r="M23" s="42"/>
      <c r="N23" s="42"/>
      <c r="O23" s="77">
        <f>MMap!F21</f>
        <v>0</v>
      </c>
      <c r="P23" s="45" t="str">
        <f>MMap!R21</f>
        <v>Commercial-All Com-Heat</v>
      </c>
      <c r="Q23" s="46" t="s">
        <v>41</v>
      </c>
    </row>
    <row r="24" spans="1:131">
      <c r="A24" s="40" t="str">
        <f>MMap!B22</f>
        <v>SGSWindow-Small Office (AC with Ele Furnace)-Spokane</v>
      </c>
      <c r="B24" s="40" t="str">
        <f>MMap!C22</f>
        <v>SGSWindow-Small Office (AC with Ele Furnace)-Spokane</v>
      </c>
      <c r="C24" s="41">
        <f>MMap!G22</f>
        <v>17.927651136873493</v>
      </c>
      <c r="D24" s="42">
        <f>MMap!O22</f>
        <v>30</v>
      </c>
      <c r="E24" s="43">
        <f>MMap!P22</f>
        <v>35</v>
      </c>
      <c r="F24" s="43"/>
      <c r="G24" s="44" t="str">
        <f>MMap!Q22</f>
        <v>C-All-HVAC-ER-All-All-E</v>
      </c>
      <c r="H24" s="42"/>
      <c r="I24" s="42"/>
      <c r="J24" s="42"/>
      <c r="K24" s="42"/>
      <c r="L24" s="42"/>
      <c r="M24" s="42"/>
      <c r="N24" s="42"/>
      <c r="O24" s="77">
        <f>MMap!F22</f>
        <v>0</v>
      </c>
      <c r="P24" s="45" t="str">
        <f>MMap!R22</f>
        <v>Commercial-All Com-Heat</v>
      </c>
      <c r="Q24" s="46" t="s">
        <v>41</v>
      </c>
    </row>
    <row r="25" spans="1:131">
      <c r="A25" s="40" t="str">
        <f>MMap!B23</f>
        <v>SGSWindow-Small Office (AC with Ele Furnace)-Missoula</v>
      </c>
      <c r="B25" s="40" t="str">
        <f>MMap!C23</f>
        <v>SGSWindow-Small Office (AC with Ele Furnace)-Missoula</v>
      </c>
      <c r="C25" s="41">
        <f>MMap!G23</f>
        <v>16.119234461764105</v>
      </c>
      <c r="D25" s="42">
        <f>MMap!O23</f>
        <v>30</v>
      </c>
      <c r="E25" s="43">
        <f>MMap!P23</f>
        <v>35</v>
      </c>
      <c r="F25" s="43"/>
      <c r="G25" s="44" t="str">
        <f>MMap!Q23</f>
        <v>C-All-HVAC-ER-All-All-E</v>
      </c>
      <c r="H25" s="42"/>
      <c r="I25" s="42"/>
      <c r="J25" s="42"/>
      <c r="K25" s="42"/>
      <c r="L25" s="42"/>
      <c r="M25" s="42"/>
      <c r="N25" s="42"/>
      <c r="O25" s="77">
        <f>MMap!F23</f>
        <v>0</v>
      </c>
      <c r="P25" s="45" t="str">
        <f>MMap!R23</f>
        <v>Commercial-All Com-Heat</v>
      </c>
      <c r="Q25" s="46" t="s">
        <v>41</v>
      </c>
    </row>
    <row r="26" spans="1:131">
      <c r="A26" s="40" t="str">
        <f>MMap!B24</f>
        <v>SGSWindow-High-rise Office (VAV with Central Chillers / Ele Boilers)-Portland</v>
      </c>
      <c r="B26" s="40" t="str">
        <f>MMap!C24</f>
        <v>SGSWindow-High-rise Office (VAV with Central Chillers / Ele Boilers)-Portland</v>
      </c>
      <c r="C26" s="41">
        <f>MMap!G24</f>
        <v>26.327261242540999</v>
      </c>
      <c r="D26" s="42">
        <f>MMap!O24</f>
        <v>30</v>
      </c>
      <c r="E26" s="43">
        <f>MMap!P24</f>
        <v>35</v>
      </c>
      <c r="F26" s="43"/>
      <c r="G26" s="44" t="str">
        <f>MMap!Q24</f>
        <v>C-All-HVAC-ER-All-All-E</v>
      </c>
      <c r="H26" s="42"/>
      <c r="I26" s="42"/>
      <c r="J26" s="42"/>
      <c r="K26" s="42"/>
      <c r="L26" s="42"/>
      <c r="M26" s="42"/>
      <c r="N26" s="42"/>
      <c r="O26" s="77">
        <f>MMap!F24</f>
        <v>0</v>
      </c>
      <c r="P26" s="45" t="str">
        <f>MMap!R24</f>
        <v>Commercial-All Com-Heat</v>
      </c>
      <c r="Q26" s="46" t="s">
        <v>41</v>
      </c>
    </row>
    <row r="27" spans="1:131">
      <c r="A27" s="40" t="str">
        <f>MMap!B25</f>
        <v>SGSWindow-High-rise Office (VAV with Central Chillers / Ele Boilers)-Spokane</v>
      </c>
      <c r="B27" s="40" t="str">
        <f>MMap!C25</f>
        <v>SGSWindow-High-rise Office (VAV with Central Chillers / Ele Boilers)-Spokane</v>
      </c>
      <c r="C27" s="41">
        <f>MMap!G25</f>
        <v>36.975690738960665</v>
      </c>
      <c r="D27" s="42">
        <f>MMap!O25</f>
        <v>30</v>
      </c>
      <c r="E27" s="43">
        <f>MMap!P25</f>
        <v>35</v>
      </c>
      <c r="F27" s="43"/>
      <c r="G27" s="44" t="str">
        <f>MMap!Q25</f>
        <v>C-All-HVAC-ER-All-All-E</v>
      </c>
      <c r="H27" s="42"/>
      <c r="I27" s="42"/>
      <c r="J27" s="42"/>
      <c r="K27" s="42"/>
      <c r="L27" s="42"/>
      <c r="M27" s="42"/>
      <c r="N27" s="42"/>
      <c r="O27" s="77">
        <f>MMap!F25</f>
        <v>0</v>
      </c>
      <c r="P27" s="45" t="str">
        <f>MMap!R25</f>
        <v>Commercial-All Com-Heat</v>
      </c>
      <c r="Q27" s="46" t="s">
        <v>41</v>
      </c>
    </row>
    <row r="28" spans="1:131">
      <c r="A28" s="40" t="str">
        <f>MMap!B26</f>
        <v>SGSWindow-High-rise Office (VAV with Central Chillers / Ele Boilers)-Missoula</v>
      </c>
      <c r="B28" s="40" t="str">
        <f>MMap!C26</f>
        <v>SGSWindow-High-rise Office (VAV with Central Chillers / Ele Boilers)-Missoula</v>
      </c>
      <c r="C28" s="41">
        <f>MMap!G26</f>
        <v>35.230854011692927</v>
      </c>
      <c r="D28" s="42">
        <f>MMap!O26</f>
        <v>30</v>
      </c>
      <c r="E28" s="43">
        <f>MMap!P26</f>
        <v>35</v>
      </c>
      <c r="F28" s="43"/>
      <c r="G28" s="44" t="str">
        <f>MMap!Q26</f>
        <v>C-All-HVAC-ER-All-All-E</v>
      </c>
      <c r="H28" s="42"/>
      <c r="I28" s="42"/>
      <c r="J28" s="42"/>
      <c r="K28" s="42"/>
      <c r="L28" s="42"/>
      <c r="M28" s="42"/>
      <c r="N28" s="42"/>
      <c r="O28" s="77">
        <f>MMap!F26</f>
        <v>0</v>
      </c>
      <c r="P28" s="45" t="str">
        <f>MMap!R26</f>
        <v>Commercial-All Com-Heat</v>
      </c>
      <c r="Q28" s="46" t="s">
        <v>41</v>
      </c>
    </row>
    <row r="31" spans="1:131">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row>
    <row r="32" spans="1:131">
      <c r="A32" s="369" t="s">
        <v>528</v>
      </c>
      <c r="B32" s="370"/>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row>
    <row r="33" spans="1:131">
      <c r="A33" s="19" t="s">
        <v>529</v>
      </c>
      <c r="B33" s="19" t="s">
        <v>530</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row>
    <row r="34" spans="1:131">
      <c r="A34" s="19" t="s">
        <v>531</v>
      </c>
      <c r="B34" s="19" t="s">
        <v>747</v>
      </c>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row>
    <row r="35" spans="1:13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row>
    <row r="36" spans="1:131" ht="13.5" thickBot="1">
      <c r="A36" s="361" t="s">
        <v>532</v>
      </c>
      <c r="B36" s="371"/>
      <c r="C36" s="371"/>
      <c r="D36" s="371"/>
      <c r="E36" s="371"/>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1"/>
      <c r="AI36" s="362"/>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row>
    <row r="37" spans="1:131">
      <c r="A37" s="19"/>
      <c r="B37" s="372" t="s">
        <v>533</v>
      </c>
      <c r="C37" s="373"/>
      <c r="D37" s="373" t="s">
        <v>533</v>
      </c>
      <c r="E37" s="374"/>
      <c r="F37" s="19"/>
      <c r="G37" s="372" t="s">
        <v>534</v>
      </c>
      <c r="H37" s="373"/>
      <c r="I37" s="373"/>
      <c r="J37" s="373"/>
      <c r="K37" s="373"/>
      <c r="L37" s="373"/>
      <c r="M37" s="373"/>
      <c r="N37" s="373"/>
      <c r="O37" s="374"/>
      <c r="P37" s="19"/>
      <c r="Q37" s="372" t="s">
        <v>535</v>
      </c>
      <c r="R37" s="373"/>
      <c r="S37" s="373"/>
      <c r="T37" s="373"/>
      <c r="U37" s="374"/>
      <c r="V37" s="19"/>
      <c r="W37" s="372" t="s">
        <v>536</v>
      </c>
      <c r="X37" s="374"/>
      <c r="Y37" s="19"/>
      <c r="Z37" s="372" t="s">
        <v>537</v>
      </c>
      <c r="AA37" s="373"/>
      <c r="AB37" s="374"/>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row>
    <row r="38" spans="1:131">
      <c r="A38" s="19"/>
      <c r="B38" s="375" t="s">
        <v>538</v>
      </c>
      <c r="C38" s="376" t="s">
        <v>539</v>
      </c>
      <c r="D38" s="376" t="s">
        <v>538</v>
      </c>
      <c r="E38" s="377" t="s">
        <v>539</v>
      </c>
      <c r="F38" s="19"/>
      <c r="G38" s="375" t="s">
        <v>540</v>
      </c>
      <c r="H38" s="376" t="s">
        <v>541</v>
      </c>
      <c r="I38" s="376"/>
      <c r="J38" s="376"/>
      <c r="K38" s="376" t="s">
        <v>542</v>
      </c>
      <c r="L38" s="376"/>
      <c r="M38" s="376"/>
      <c r="N38" s="376"/>
      <c r="O38" s="377"/>
      <c r="P38" s="19"/>
      <c r="Q38" s="375"/>
      <c r="R38" s="376" t="s">
        <v>543</v>
      </c>
      <c r="S38" s="376" t="s">
        <v>544</v>
      </c>
      <c r="T38" s="376" t="s">
        <v>545</v>
      </c>
      <c r="U38" s="377" t="s">
        <v>546</v>
      </c>
      <c r="V38" s="19"/>
      <c r="W38" s="375" t="s">
        <v>547</v>
      </c>
      <c r="X38" s="377">
        <v>20</v>
      </c>
      <c r="Y38" s="19"/>
      <c r="Z38" s="375"/>
      <c r="AA38" s="376" t="s">
        <v>539</v>
      </c>
      <c r="AB38" s="377" t="s">
        <v>454</v>
      </c>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row>
    <row r="39" spans="1:131">
      <c r="A39" s="19"/>
      <c r="B39" s="375" t="s">
        <v>548</v>
      </c>
      <c r="C39" s="376" t="s">
        <v>549</v>
      </c>
      <c r="D39" s="376" t="s">
        <v>548</v>
      </c>
      <c r="E39" s="377" t="s">
        <v>549</v>
      </c>
      <c r="F39" s="19"/>
      <c r="G39" s="375" t="s">
        <v>550</v>
      </c>
      <c r="H39" s="376" t="s">
        <v>551</v>
      </c>
      <c r="I39" s="376"/>
      <c r="J39" s="376"/>
      <c r="K39" s="376" t="s">
        <v>552</v>
      </c>
      <c r="L39" s="376"/>
      <c r="M39" s="376"/>
      <c r="N39" s="376"/>
      <c r="O39" s="377"/>
      <c r="P39" s="19"/>
      <c r="Q39" s="375" t="s">
        <v>553</v>
      </c>
      <c r="R39" s="376">
        <v>6.8012888465852586E-2</v>
      </c>
      <c r="S39" s="376">
        <v>4.387844424080023E-2</v>
      </c>
      <c r="T39" s="376">
        <v>5.3289007766645871E-2</v>
      </c>
      <c r="U39" s="377">
        <v>5.447903102274565E-2</v>
      </c>
      <c r="V39" s="19"/>
      <c r="W39" s="375" t="s">
        <v>554</v>
      </c>
      <c r="X39" s="377">
        <v>2016</v>
      </c>
      <c r="Y39" s="19"/>
      <c r="Z39" s="375" t="s">
        <v>555</v>
      </c>
      <c r="AA39" s="376">
        <v>4.03890184699085E-3</v>
      </c>
      <c r="AB39" s="377">
        <v>0.01</v>
      </c>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row>
    <row r="40" spans="1:131">
      <c r="A40" s="19"/>
      <c r="B40" s="375" t="s">
        <v>556</v>
      </c>
      <c r="C40" s="376" t="s">
        <v>557</v>
      </c>
      <c r="D40" s="376" t="s">
        <v>556</v>
      </c>
      <c r="E40" s="377" t="s">
        <v>557</v>
      </c>
      <c r="F40" s="19"/>
      <c r="G40" s="375" t="s">
        <v>558</v>
      </c>
      <c r="H40" s="376" t="s">
        <v>559</v>
      </c>
      <c r="I40" s="376"/>
      <c r="J40" s="376"/>
      <c r="K40" s="376" t="s">
        <v>560</v>
      </c>
      <c r="L40" s="376"/>
      <c r="M40" s="376"/>
      <c r="N40" s="376"/>
      <c r="O40" s="377"/>
      <c r="P40" s="19"/>
      <c r="Q40" s="375" t="s">
        <v>561</v>
      </c>
      <c r="R40" s="376">
        <v>12</v>
      </c>
      <c r="S40" s="376">
        <v>12</v>
      </c>
      <c r="T40" s="376">
        <v>1</v>
      </c>
      <c r="U40" s="377">
        <v>1</v>
      </c>
      <c r="V40" s="19"/>
      <c r="W40" s="375" t="s">
        <v>562</v>
      </c>
      <c r="X40" s="377">
        <v>2016</v>
      </c>
      <c r="Y40" s="19"/>
      <c r="Z40" s="375" t="s">
        <v>563</v>
      </c>
      <c r="AA40" s="376">
        <v>26</v>
      </c>
      <c r="AB40" s="377">
        <v>0</v>
      </c>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9"/>
      <c r="DT40" s="19"/>
      <c r="DU40" s="19"/>
      <c r="DV40" s="19"/>
      <c r="DW40" s="19"/>
      <c r="DX40" s="19"/>
      <c r="DY40" s="19"/>
      <c r="DZ40" s="19"/>
      <c r="EA40" s="19"/>
    </row>
    <row r="41" spans="1:131" ht="13.5" thickBot="1">
      <c r="A41" s="19"/>
      <c r="B41" s="378" t="s">
        <v>564</v>
      </c>
      <c r="C41" s="379" t="s">
        <v>557</v>
      </c>
      <c r="D41" s="379" t="s">
        <v>564</v>
      </c>
      <c r="E41" s="380" t="s">
        <v>557</v>
      </c>
      <c r="F41" s="19"/>
      <c r="G41" s="375" t="s">
        <v>565</v>
      </c>
      <c r="H41" s="376" t="s">
        <v>566</v>
      </c>
      <c r="I41" s="376"/>
      <c r="J41" s="376"/>
      <c r="K41" s="376" t="s">
        <v>552</v>
      </c>
      <c r="L41" s="376"/>
      <c r="M41" s="376"/>
      <c r="N41" s="376"/>
      <c r="O41" s="377"/>
      <c r="P41" s="19"/>
      <c r="Q41" s="375"/>
      <c r="R41" s="376" t="s">
        <v>543</v>
      </c>
      <c r="S41" s="376" t="s">
        <v>544</v>
      </c>
      <c r="T41" s="376" t="s">
        <v>545</v>
      </c>
      <c r="U41" s="377" t="s">
        <v>546</v>
      </c>
      <c r="V41" s="19"/>
      <c r="W41" s="375" t="s">
        <v>567</v>
      </c>
      <c r="X41" s="377">
        <v>2012</v>
      </c>
      <c r="Y41" s="19"/>
      <c r="Z41" s="375" t="s">
        <v>568</v>
      </c>
      <c r="AA41" s="376">
        <v>0.9</v>
      </c>
      <c r="AB41" s="377" t="s">
        <v>569</v>
      </c>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9"/>
      <c r="DS41" s="19"/>
      <c r="DT41" s="19"/>
      <c r="DU41" s="19"/>
      <c r="DV41" s="19"/>
      <c r="DW41" s="19"/>
      <c r="DX41" s="19"/>
      <c r="DY41" s="19"/>
      <c r="DZ41" s="19"/>
      <c r="EA41" s="19"/>
    </row>
    <row r="42" spans="1:131">
      <c r="A42" s="19"/>
      <c r="B42" s="19"/>
      <c r="C42" s="19"/>
      <c r="D42" s="19"/>
      <c r="E42" s="19"/>
      <c r="F42" s="19"/>
      <c r="G42" s="375" t="s">
        <v>570</v>
      </c>
      <c r="H42" s="376" t="s">
        <v>559</v>
      </c>
      <c r="I42" s="376"/>
      <c r="J42" s="376"/>
      <c r="K42" s="376"/>
      <c r="L42" s="376"/>
      <c r="M42" s="376"/>
      <c r="N42" s="376"/>
      <c r="O42" s="377"/>
      <c r="P42" s="19"/>
      <c r="Q42" s="375" t="s">
        <v>571</v>
      </c>
      <c r="R42" s="376">
        <v>0.35</v>
      </c>
      <c r="S42" s="376">
        <v>0.19500000000000001</v>
      </c>
      <c r="T42" s="376">
        <v>0.45499999999999996</v>
      </c>
      <c r="U42" s="377">
        <v>0</v>
      </c>
      <c r="V42" s="19"/>
      <c r="W42" s="375" t="s">
        <v>572</v>
      </c>
      <c r="X42" s="377">
        <v>0.04</v>
      </c>
      <c r="Y42" s="19"/>
      <c r="Z42" s="375" t="s">
        <v>573</v>
      </c>
      <c r="AA42" s="376">
        <v>4.7399348199455904E-2</v>
      </c>
      <c r="AB42" s="377">
        <v>0</v>
      </c>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9"/>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9"/>
      <c r="DS42" s="19"/>
      <c r="DT42" s="19"/>
      <c r="DU42" s="19"/>
      <c r="DV42" s="19"/>
      <c r="DW42" s="19"/>
      <c r="DX42" s="19"/>
      <c r="DY42" s="19"/>
      <c r="DZ42" s="19"/>
      <c r="EA42" s="19"/>
    </row>
    <row r="43" spans="1:131">
      <c r="A43" s="19"/>
      <c r="B43" s="19" t="s">
        <v>574</v>
      </c>
      <c r="C43" s="19" t="s">
        <v>539</v>
      </c>
      <c r="D43" s="19"/>
      <c r="E43" s="19"/>
      <c r="F43" s="19"/>
      <c r="G43" s="375" t="s">
        <v>575</v>
      </c>
      <c r="H43" s="376" t="s">
        <v>576</v>
      </c>
      <c r="I43" s="376"/>
      <c r="J43" s="376"/>
      <c r="K43" s="376" t="s">
        <v>577</v>
      </c>
      <c r="L43" s="376"/>
      <c r="M43" s="376"/>
      <c r="N43" s="376"/>
      <c r="O43" s="377"/>
      <c r="P43" s="19"/>
      <c r="Q43" s="375" t="s">
        <v>578</v>
      </c>
      <c r="R43" s="376">
        <v>1</v>
      </c>
      <c r="S43" s="376">
        <v>0</v>
      </c>
      <c r="T43" s="376">
        <v>0</v>
      </c>
      <c r="U43" s="377">
        <v>0</v>
      </c>
      <c r="V43" s="19"/>
      <c r="W43" s="375" t="s">
        <v>579</v>
      </c>
      <c r="X43" s="377">
        <v>0</v>
      </c>
      <c r="Y43" s="19"/>
      <c r="Z43" s="375" t="s">
        <v>580</v>
      </c>
      <c r="AA43" s="376">
        <v>31</v>
      </c>
      <c r="AB43" s="377">
        <v>0</v>
      </c>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9"/>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9"/>
      <c r="DS43" s="19"/>
      <c r="DT43" s="19"/>
      <c r="DU43" s="19"/>
      <c r="DV43" s="19"/>
      <c r="DW43" s="19"/>
      <c r="DX43" s="19"/>
      <c r="DY43" s="19"/>
      <c r="DZ43" s="19"/>
      <c r="EA43" s="19"/>
    </row>
    <row r="44" spans="1:131">
      <c r="A44" s="19"/>
      <c r="B44" s="19" t="s">
        <v>581</v>
      </c>
      <c r="C44" s="19" t="s">
        <v>582</v>
      </c>
      <c r="D44" s="19"/>
      <c r="E44" s="19"/>
      <c r="F44" s="19"/>
      <c r="G44" s="375" t="s">
        <v>583</v>
      </c>
      <c r="H44" s="376" t="s">
        <v>577</v>
      </c>
      <c r="I44" s="376"/>
      <c r="J44" s="376"/>
      <c r="K44" s="376" t="s">
        <v>584</v>
      </c>
      <c r="L44" s="376"/>
      <c r="M44" s="376"/>
      <c r="N44" s="376"/>
      <c r="O44" s="377"/>
      <c r="P44" s="19"/>
      <c r="Q44" s="375" t="s">
        <v>585</v>
      </c>
      <c r="R44" s="376">
        <v>1</v>
      </c>
      <c r="S44" s="376">
        <v>0</v>
      </c>
      <c r="T44" s="376">
        <v>0</v>
      </c>
      <c r="U44" s="377">
        <v>0</v>
      </c>
      <c r="V44" s="19"/>
      <c r="W44" s="375" t="s">
        <v>586</v>
      </c>
      <c r="X44" s="377">
        <v>0.2</v>
      </c>
      <c r="Y44" s="19"/>
      <c r="Z44" s="375" t="s">
        <v>587</v>
      </c>
      <c r="AA44" s="376">
        <v>0.7</v>
      </c>
      <c r="AB44" s="377" t="s">
        <v>569</v>
      </c>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9"/>
      <c r="DS44" s="19"/>
      <c r="DT44" s="19"/>
      <c r="DU44" s="19"/>
      <c r="DV44" s="19"/>
      <c r="DW44" s="19"/>
      <c r="DX44" s="19"/>
      <c r="DY44" s="19"/>
      <c r="DZ44" s="19"/>
      <c r="EA44" s="19"/>
    </row>
    <row r="45" spans="1:131">
      <c r="A45" s="19"/>
      <c r="B45" s="19" t="s">
        <v>588</v>
      </c>
      <c r="C45" s="19" t="s">
        <v>589</v>
      </c>
      <c r="D45" s="19"/>
      <c r="E45" s="19"/>
      <c r="F45" s="19"/>
      <c r="G45" s="375" t="s">
        <v>590</v>
      </c>
      <c r="H45" s="376" t="s">
        <v>584</v>
      </c>
      <c r="I45" s="376"/>
      <c r="J45" s="376"/>
      <c r="K45" s="376" t="s">
        <v>591</v>
      </c>
      <c r="L45" s="376"/>
      <c r="M45" s="376"/>
      <c r="N45" s="376"/>
      <c r="O45" s="377"/>
      <c r="P45" s="19"/>
      <c r="Q45" s="375" t="s">
        <v>592</v>
      </c>
      <c r="R45" s="376"/>
      <c r="S45" s="376">
        <v>0.3</v>
      </c>
      <c r="T45" s="376">
        <v>0.7</v>
      </c>
      <c r="U45" s="377">
        <v>0</v>
      </c>
      <c r="V45" s="19"/>
      <c r="W45" s="375" t="s">
        <v>593</v>
      </c>
      <c r="X45" s="377">
        <v>0</v>
      </c>
      <c r="Y45" s="19"/>
      <c r="Z45" s="375" t="s">
        <v>594</v>
      </c>
      <c r="AA45" s="376">
        <v>0</v>
      </c>
      <c r="AB45" s="377">
        <v>0</v>
      </c>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9"/>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9"/>
      <c r="DS45" s="19"/>
      <c r="DT45" s="19"/>
      <c r="DU45" s="19"/>
      <c r="DV45" s="19"/>
      <c r="DW45" s="19"/>
      <c r="DX45" s="19"/>
      <c r="DY45" s="19"/>
      <c r="DZ45" s="19"/>
      <c r="EA45" s="19"/>
    </row>
    <row r="46" spans="1:131" ht="13.5" thickBot="1">
      <c r="A46" s="19"/>
      <c r="B46" s="19" t="s">
        <v>595</v>
      </c>
      <c r="C46" s="19" t="s">
        <v>596</v>
      </c>
      <c r="D46" s="19"/>
      <c r="E46" s="19"/>
      <c r="F46" s="19"/>
      <c r="G46" s="378" t="s">
        <v>597</v>
      </c>
      <c r="H46" s="379" t="s">
        <v>591</v>
      </c>
      <c r="I46" s="379"/>
      <c r="J46" s="379"/>
      <c r="K46" s="379"/>
      <c r="L46" s="379"/>
      <c r="M46" s="379"/>
      <c r="N46" s="379"/>
      <c r="O46" s="380"/>
      <c r="P46" s="19"/>
      <c r="Q46" s="378" t="s">
        <v>598</v>
      </c>
      <c r="R46" s="379"/>
      <c r="S46" s="379">
        <v>20</v>
      </c>
      <c r="T46" s="379"/>
      <c r="U46" s="380"/>
      <c r="V46" s="19"/>
      <c r="W46" s="378" t="s">
        <v>599</v>
      </c>
      <c r="X46" s="380">
        <v>2018</v>
      </c>
      <c r="Y46" s="19"/>
      <c r="Z46" s="378" t="s">
        <v>600</v>
      </c>
      <c r="AA46" s="379">
        <v>0</v>
      </c>
      <c r="AB46" s="380">
        <v>0</v>
      </c>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row>
    <row r="47" spans="1:13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9"/>
      <c r="DS47" s="19"/>
      <c r="DT47" s="19"/>
      <c r="DU47" s="19"/>
      <c r="DV47" s="19"/>
      <c r="DW47" s="19"/>
      <c r="DX47" s="19"/>
      <c r="DY47" s="19"/>
      <c r="DZ47" s="19"/>
      <c r="EA47" s="19"/>
    </row>
    <row r="48" spans="1:13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9"/>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9"/>
      <c r="DS48" s="19"/>
      <c r="DT48" s="19"/>
      <c r="DU48" s="19"/>
      <c r="DV48" s="19"/>
      <c r="DW48" s="19"/>
      <c r="DX48" s="19"/>
      <c r="DY48" s="19"/>
      <c r="DZ48" s="19"/>
      <c r="EA48" s="19"/>
    </row>
    <row r="49" spans="1:13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c r="CE49" s="19"/>
      <c r="CF49" s="19"/>
      <c r="CG49" s="19"/>
      <c r="CH49" s="19"/>
      <c r="CI49" s="19"/>
      <c r="CJ49" s="19"/>
      <c r="CK49" s="19"/>
      <c r="CL49" s="19"/>
      <c r="CM49" s="19"/>
      <c r="CN49" s="19"/>
      <c r="CO49" s="19"/>
      <c r="CP49" s="19"/>
      <c r="CQ49" s="19"/>
      <c r="CR49" s="19"/>
      <c r="CS49" s="19"/>
      <c r="CT49" s="19"/>
      <c r="CU49" s="19"/>
      <c r="CV49" s="19"/>
      <c r="CW49" s="19"/>
      <c r="CX49" s="19"/>
      <c r="CY49" s="19"/>
      <c r="CZ49" s="19"/>
      <c r="DA49" s="19"/>
      <c r="DB49" s="19"/>
      <c r="DC49" s="19"/>
      <c r="DD49" s="19"/>
      <c r="DE49" s="19"/>
      <c r="DF49" s="19"/>
      <c r="DG49" s="19"/>
      <c r="DH49" s="19"/>
      <c r="DI49" s="19"/>
      <c r="DJ49" s="19"/>
      <c r="DK49" s="19"/>
      <c r="DL49" s="19"/>
      <c r="DM49" s="19"/>
      <c r="DN49" s="19"/>
      <c r="DO49" s="19"/>
      <c r="DP49" s="19"/>
      <c r="DQ49" s="19"/>
      <c r="DR49" s="19"/>
      <c r="DS49" s="19"/>
      <c r="DT49" s="19"/>
      <c r="DU49" s="19"/>
      <c r="DV49" s="19"/>
      <c r="DW49" s="19"/>
      <c r="DX49" s="19"/>
      <c r="DY49" s="19"/>
      <c r="DZ49" s="19"/>
      <c r="EA49" s="19"/>
    </row>
    <row r="50" spans="1:13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9"/>
      <c r="DS50" s="19"/>
      <c r="DT50" s="19"/>
      <c r="DU50" s="19"/>
      <c r="DV50" s="19"/>
      <c r="DW50" s="19"/>
      <c r="DX50" s="19"/>
      <c r="DY50" s="19"/>
      <c r="DZ50" s="19"/>
      <c r="EA50" s="19"/>
    </row>
    <row r="51" spans="1:13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9"/>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9"/>
      <c r="DS51" s="19"/>
      <c r="DT51" s="19"/>
      <c r="DU51" s="19"/>
      <c r="DV51" s="19"/>
      <c r="DW51" s="19"/>
      <c r="DX51" s="19"/>
      <c r="DY51" s="19"/>
      <c r="DZ51" s="19"/>
      <c r="EA51" s="19"/>
    </row>
    <row r="52" spans="1:13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9"/>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9"/>
      <c r="DS52" s="19"/>
      <c r="DT52" s="19"/>
      <c r="DU52" s="19"/>
      <c r="DV52" s="19"/>
      <c r="DW52" s="19"/>
      <c r="DX52" s="19"/>
      <c r="DY52" s="19"/>
      <c r="DZ52" s="19"/>
      <c r="EA52" s="19"/>
    </row>
    <row r="53" spans="1:13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9"/>
      <c r="DS53" s="19"/>
      <c r="DT53" s="19"/>
      <c r="DU53" s="19"/>
      <c r="DV53" s="19"/>
      <c r="DW53" s="19"/>
      <c r="DX53" s="19"/>
      <c r="DY53" s="19"/>
      <c r="DZ53" s="19"/>
      <c r="EA53" s="19"/>
    </row>
    <row r="54" spans="1:131" ht="13.5" thickBot="1">
      <c r="A54" s="361" t="s">
        <v>601</v>
      </c>
      <c r="B54" s="362"/>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row>
    <row r="55" spans="1:131" ht="26.25" thickBot="1">
      <c r="A55" s="381" t="s">
        <v>602</v>
      </c>
      <c r="B55" s="382"/>
      <c r="C55" s="383" t="s">
        <v>603</v>
      </c>
      <c r="D55" s="384"/>
      <c r="E55" s="384"/>
      <c r="F55" s="384"/>
      <c r="G55" s="384"/>
      <c r="H55" s="384"/>
      <c r="I55" s="384"/>
      <c r="J55" s="384"/>
      <c r="K55" s="385"/>
      <c r="L55" s="383" t="s">
        <v>604</v>
      </c>
      <c r="M55" s="384"/>
      <c r="N55" s="384"/>
      <c r="O55" s="384"/>
      <c r="P55" s="384"/>
      <c r="Q55" s="385"/>
      <c r="R55" s="383" t="s">
        <v>605</v>
      </c>
      <c r="S55" s="384"/>
      <c r="T55" s="384"/>
      <c r="U55" s="385"/>
      <c r="V55" s="383" t="s">
        <v>606</v>
      </c>
      <c r="W55" s="384"/>
      <c r="X55" s="384"/>
      <c r="Y55" s="385"/>
      <c r="Z55" s="383" t="s">
        <v>607</v>
      </c>
      <c r="AA55" s="384"/>
      <c r="AB55" s="384"/>
      <c r="AC55" s="385"/>
      <c r="AD55" s="383" t="s">
        <v>608</v>
      </c>
      <c r="AE55" s="384"/>
      <c r="AF55" s="384"/>
      <c r="AG55" s="385"/>
      <c r="AH55" s="383" t="s">
        <v>609</v>
      </c>
      <c r="AI55" s="384"/>
      <c r="AJ55" s="384"/>
      <c r="AK55" s="384"/>
      <c r="AL55" s="385"/>
      <c r="AM55" s="383" t="s">
        <v>610</v>
      </c>
      <c r="AN55" s="384"/>
      <c r="AO55" s="384"/>
      <c r="AP55" s="384"/>
      <c r="AQ55" s="384"/>
      <c r="AR55" s="384"/>
      <c r="AS55" s="385"/>
      <c r="AT55" s="383" t="s">
        <v>611</v>
      </c>
      <c r="AU55" s="384"/>
      <c r="AV55" s="384"/>
      <c r="AW55" s="384"/>
      <c r="AX55" s="384"/>
      <c r="AY55" s="384"/>
      <c r="AZ55" s="385"/>
      <c r="BA55" s="383" t="s">
        <v>612</v>
      </c>
      <c r="BB55" s="384"/>
      <c r="BC55" s="384"/>
      <c r="BD55" s="384"/>
      <c r="BE55" s="384"/>
      <c r="BF55" s="385"/>
      <c r="BG55" s="383" t="s">
        <v>613</v>
      </c>
      <c r="BH55" s="385"/>
      <c r="BI55" s="383" t="s">
        <v>614</v>
      </c>
      <c r="BJ55" s="384"/>
      <c r="BK55" s="384"/>
      <c r="BL55" s="384"/>
      <c r="BM55" s="385"/>
      <c r="BN55" s="383" t="s">
        <v>615</v>
      </c>
      <c r="BO55" s="384"/>
      <c r="BP55" s="384"/>
      <c r="BQ55" s="384"/>
      <c r="BR55" s="384"/>
      <c r="BS55" s="384"/>
      <c r="BT55" s="384"/>
      <c r="BU55" s="384"/>
      <c r="BV55" s="384"/>
      <c r="BW55" s="384"/>
      <c r="BX55" s="384"/>
      <c r="BY55" s="384"/>
      <c r="BZ55" s="384"/>
      <c r="CA55" s="384"/>
      <c r="CB55" s="384"/>
      <c r="CC55" s="385"/>
      <c r="CD55" s="383" t="s">
        <v>616</v>
      </c>
      <c r="CE55" s="385"/>
      <c r="CF55" s="383" t="s">
        <v>617</v>
      </c>
      <c r="CG55" s="384"/>
      <c r="CH55" s="384"/>
      <c r="CI55" s="384"/>
      <c r="CJ55" s="384"/>
      <c r="CK55" s="385"/>
      <c r="CL55" s="386"/>
      <c r="CM55" s="383" t="s">
        <v>19</v>
      </c>
      <c r="CN55" s="384"/>
      <c r="CO55" s="384"/>
      <c r="CP55" s="385"/>
      <c r="CQ55" s="383" t="s">
        <v>618</v>
      </c>
      <c r="CR55" s="384"/>
      <c r="CS55" s="384"/>
      <c r="CT55" s="384"/>
      <c r="CU55" s="385"/>
      <c r="CV55" s="383" t="s">
        <v>619</v>
      </c>
      <c r="CW55" s="385"/>
      <c r="CX55" s="19"/>
      <c r="CY55" s="19"/>
      <c r="CZ55" s="19"/>
      <c r="DA55" s="19"/>
      <c r="DB55" s="19"/>
      <c r="DC55" s="19"/>
      <c r="DD55" s="19"/>
      <c r="DE55" s="19"/>
      <c r="DF55" s="19"/>
      <c r="DG55" s="19"/>
      <c r="DH55" s="19"/>
      <c r="DI55" s="19"/>
      <c r="DJ55" s="19"/>
      <c r="DK55" s="19"/>
      <c r="DL55" s="19"/>
      <c r="DM55" s="19"/>
      <c r="DN55" s="19"/>
      <c r="DO55" s="19"/>
      <c r="DP55" s="19"/>
      <c r="DQ55" s="19"/>
      <c r="DR55" s="19"/>
      <c r="DS55" s="19"/>
      <c r="DT55" s="19"/>
      <c r="DU55" s="19"/>
      <c r="DV55" s="19"/>
      <c r="DW55" s="19"/>
      <c r="DX55" s="19"/>
      <c r="DY55" s="19"/>
      <c r="DZ55" s="19"/>
      <c r="EA55" s="19"/>
    </row>
    <row r="56" spans="1:131" ht="127.5">
      <c r="A56" s="365" t="s">
        <v>486</v>
      </c>
      <c r="B56" s="366" t="s">
        <v>497</v>
      </c>
      <c r="C56" s="98" t="s">
        <v>11</v>
      </c>
      <c r="D56" s="98" t="s">
        <v>620</v>
      </c>
      <c r="E56" s="98" t="s">
        <v>621</v>
      </c>
      <c r="F56" s="98" t="s">
        <v>622</v>
      </c>
      <c r="G56" s="98" t="s">
        <v>623</v>
      </c>
      <c r="H56" s="98" t="s">
        <v>624</v>
      </c>
      <c r="I56" s="98" t="s">
        <v>625</v>
      </c>
      <c r="J56" s="98" t="s">
        <v>626</v>
      </c>
      <c r="K56" s="98" t="s">
        <v>627</v>
      </c>
      <c r="L56" s="98" t="s">
        <v>628</v>
      </c>
      <c r="M56" s="98" t="s">
        <v>629</v>
      </c>
      <c r="N56" s="98" t="s">
        <v>630</v>
      </c>
      <c r="O56" s="98" t="s">
        <v>631</v>
      </c>
      <c r="P56" s="98" t="s">
        <v>632</v>
      </c>
      <c r="Q56" s="98" t="s">
        <v>633</v>
      </c>
      <c r="R56" s="98" t="s">
        <v>634</v>
      </c>
      <c r="S56" s="98" t="s">
        <v>635</v>
      </c>
      <c r="T56" s="98" t="s">
        <v>480</v>
      </c>
      <c r="U56" s="98" t="s">
        <v>543</v>
      </c>
      <c r="V56" s="98" t="s">
        <v>634</v>
      </c>
      <c r="W56" s="98" t="s">
        <v>635</v>
      </c>
      <c r="X56" s="98" t="s">
        <v>480</v>
      </c>
      <c r="Y56" s="98" t="s">
        <v>543</v>
      </c>
      <c r="Z56" s="98" t="s">
        <v>634</v>
      </c>
      <c r="AA56" s="98" t="s">
        <v>635</v>
      </c>
      <c r="AB56" s="98" t="s">
        <v>480</v>
      </c>
      <c r="AC56" s="98" t="s">
        <v>543</v>
      </c>
      <c r="AD56" s="98" t="s">
        <v>634</v>
      </c>
      <c r="AE56" s="98" t="s">
        <v>635</v>
      </c>
      <c r="AF56" s="98" t="s">
        <v>480</v>
      </c>
      <c r="AG56" s="98" t="s">
        <v>543</v>
      </c>
      <c r="AH56" s="98" t="s">
        <v>634</v>
      </c>
      <c r="AI56" s="98" t="s">
        <v>635</v>
      </c>
      <c r="AJ56" s="98" t="s">
        <v>480</v>
      </c>
      <c r="AK56" s="98" t="s">
        <v>543</v>
      </c>
      <c r="AL56" s="98" t="s">
        <v>636</v>
      </c>
      <c r="AM56" s="98" t="s">
        <v>637</v>
      </c>
      <c r="AN56" s="98" t="s">
        <v>638</v>
      </c>
      <c r="AO56" s="98" t="s">
        <v>639</v>
      </c>
      <c r="AP56" s="98" t="s">
        <v>640</v>
      </c>
      <c r="AQ56" s="98" t="s">
        <v>641</v>
      </c>
      <c r="AR56" s="98" t="s">
        <v>642</v>
      </c>
      <c r="AS56" s="98" t="s">
        <v>643</v>
      </c>
      <c r="AT56" s="98" t="s">
        <v>644</v>
      </c>
      <c r="AU56" s="98" t="s">
        <v>645</v>
      </c>
      <c r="AV56" s="98" t="s">
        <v>646</v>
      </c>
      <c r="AW56" s="98" t="s">
        <v>647</v>
      </c>
      <c r="AX56" s="98" t="s">
        <v>648</v>
      </c>
      <c r="AY56" s="98" t="s">
        <v>649</v>
      </c>
      <c r="AZ56" s="98" t="s">
        <v>650</v>
      </c>
      <c r="BA56" s="98" t="s">
        <v>651</v>
      </c>
      <c r="BB56" s="98" t="s">
        <v>652</v>
      </c>
      <c r="BC56" s="98" t="s">
        <v>653</v>
      </c>
      <c r="BD56" s="98" t="s">
        <v>654</v>
      </c>
      <c r="BE56" s="98" t="s">
        <v>655</v>
      </c>
      <c r="BF56" s="98" t="s">
        <v>656</v>
      </c>
      <c r="BG56" s="98" t="s">
        <v>657</v>
      </c>
      <c r="BH56" s="98" t="s">
        <v>658</v>
      </c>
      <c r="BI56" s="98" t="s">
        <v>659</v>
      </c>
      <c r="BJ56" s="98" t="s">
        <v>660</v>
      </c>
      <c r="BK56" s="98" t="s">
        <v>661</v>
      </c>
      <c r="BL56" s="98" t="s">
        <v>662</v>
      </c>
      <c r="BM56" s="98" t="s">
        <v>663</v>
      </c>
      <c r="BN56" s="98" t="s">
        <v>664</v>
      </c>
      <c r="BO56" s="98" t="s">
        <v>665</v>
      </c>
      <c r="BP56" s="98" t="s">
        <v>666</v>
      </c>
      <c r="BQ56" s="98" t="s">
        <v>667</v>
      </c>
      <c r="BR56" s="98" t="s">
        <v>668</v>
      </c>
      <c r="BS56" s="98" t="s">
        <v>669</v>
      </c>
      <c r="BT56" s="98" t="s">
        <v>670</v>
      </c>
      <c r="BU56" s="98" t="s">
        <v>671</v>
      </c>
      <c r="BV56" s="98" t="s">
        <v>672</v>
      </c>
      <c r="BW56" s="98" t="s">
        <v>673</v>
      </c>
      <c r="BX56" s="98" t="s">
        <v>674</v>
      </c>
      <c r="BY56" s="98" t="s">
        <v>675</v>
      </c>
      <c r="BZ56" s="98" t="s">
        <v>676</v>
      </c>
      <c r="CA56" s="98" t="s">
        <v>677</v>
      </c>
      <c r="CB56" s="98" t="s">
        <v>678</v>
      </c>
      <c r="CC56" s="98" t="s">
        <v>679</v>
      </c>
      <c r="CD56" s="98" t="s">
        <v>505</v>
      </c>
      <c r="CE56" s="98" t="s">
        <v>74</v>
      </c>
      <c r="CF56" s="98" t="s">
        <v>680</v>
      </c>
      <c r="CG56" s="98" t="s">
        <v>681</v>
      </c>
      <c r="CH56" s="98" t="s">
        <v>682</v>
      </c>
      <c r="CI56" s="98" t="s">
        <v>683</v>
      </c>
      <c r="CJ56" s="98" t="s">
        <v>684</v>
      </c>
      <c r="CK56" s="98" t="s">
        <v>685</v>
      </c>
      <c r="CL56" s="98"/>
      <c r="CM56" s="98" t="s">
        <v>686</v>
      </c>
      <c r="CN56" s="98" t="s">
        <v>687</v>
      </c>
      <c r="CO56" s="98" t="s">
        <v>688</v>
      </c>
      <c r="CP56" s="98" t="s">
        <v>689</v>
      </c>
      <c r="CQ56" s="98" t="s">
        <v>690</v>
      </c>
      <c r="CR56" s="98" t="s">
        <v>691</v>
      </c>
      <c r="CS56" s="98" t="s">
        <v>692</v>
      </c>
      <c r="CT56" s="98" t="s">
        <v>693</v>
      </c>
      <c r="CU56" s="98" t="s">
        <v>694</v>
      </c>
      <c r="CV56" s="98" t="s">
        <v>695</v>
      </c>
      <c r="CW56" s="387" t="s">
        <v>696</v>
      </c>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row>
    <row r="57" spans="1:131">
      <c r="A57" s="19" t="s">
        <v>527</v>
      </c>
      <c r="B57" s="19" t="s">
        <v>527</v>
      </c>
      <c r="C57" s="40">
        <v>30</v>
      </c>
      <c r="D57" s="40">
        <v>7.1670781893004101</v>
      </c>
      <c r="E57" s="40">
        <v>0.18353909465020579</v>
      </c>
      <c r="F57" s="40">
        <v>35</v>
      </c>
      <c r="G57" s="40">
        <v>0</v>
      </c>
      <c r="H57" s="40">
        <v>0</v>
      </c>
      <c r="I57" s="40" t="s">
        <v>490</v>
      </c>
      <c r="J57" s="40"/>
      <c r="K57" s="40"/>
      <c r="L57" s="40">
        <v>7.6883722283034297</v>
      </c>
      <c r="M57" s="40">
        <v>9.7687723784011123E-4</v>
      </c>
      <c r="N57" s="40">
        <v>9.6982657601170526E-4</v>
      </c>
      <c r="O57" s="40">
        <v>0.18537448490613403</v>
      </c>
      <c r="P57" s="40">
        <v>0</v>
      </c>
      <c r="Q57" s="40">
        <v>0</v>
      </c>
      <c r="R57" s="40">
        <v>5.4853723698314072</v>
      </c>
      <c r="S57" s="40">
        <v>12.675861226252655</v>
      </c>
      <c r="T57" s="40">
        <v>0</v>
      </c>
      <c r="U57" s="40">
        <v>11.255841888323335</v>
      </c>
      <c r="V57" s="40" t="s">
        <v>697</v>
      </c>
      <c r="W57" s="40" t="s">
        <v>697</v>
      </c>
      <c r="X57" s="40" t="s">
        <v>697</v>
      </c>
      <c r="Y57" s="40" t="s">
        <v>697</v>
      </c>
      <c r="Z57" s="40">
        <v>0</v>
      </c>
      <c r="AA57" s="40">
        <v>0</v>
      </c>
      <c r="AB57" s="40">
        <v>0</v>
      </c>
      <c r="AC57" s="40">
        <v>0</v>
      </c>
      <c r="AD57" s="40">
        <v>0</v>
      </c>
      <c r="AE57" s="40">
        <v>0</v>
      </c>
      <c r="AF57" s="40">
        <v>0</v>
      </c>
      <c r="AG57" s="40">
        <v>0</v>
      </c>
      <c r="AH57" s="40">
        <v>5.4853723698314072</v>
      </c>
      <c r="AI57" s="40">
        <v>12.675861226252655</v>
      </c>
      <c r="AJ57" s="40">
        <v>0</v>
      </c>
      <c r="AK57" s="40">
        <v>11.255841888323335</v>
      </c>
      <c r="AL57" s="40">
        <v>29.417075484407398</v>
      </c>
      <c r="AM57" s="40">
        <v>4.0105946702180031</v>
      </c>
      <c r="AN57" s="40">
        <v>0.34517809199166088</v>
      </c>
      <c r="AO57" s="40">
        <v>0</v>
      </c>
      <c r="AP57" s="40">
        <v>0</v>
      </c>
      <c r="AQ57" s="40">
        <v>4.3557727622096643</v>
      </c>
      <c r="AR57" s="40">
        <v>5.4853723698314072</v>
      </c>
      <c r="AS57" s="368">
        <v>0.79407056960538469</v>
      </c>
      <c r="AT57" s="40">
        <v>4.0105946702180031</v>
      </c>
      <c r="AU57" s="40">
        <v>0.40858804964667222</v>
      </c>
      <c r="AV57" s="40">
        <v>0</v>
      </c>
      <c r="AW57" s="40">
        <v>0</v>
      </c>
      <c r="AX57" s="40">
        <v>4.4191827198646756</v>
      </c>
      <c r="AY57" s="40">
        <v>12.675861226252655</v>
      </c>
      <c r="AZ57" s="368">
        <v>0.34862978072939282</v>
      </c>
      <c r="BA57" s="40">
        <v>4.0105946702180031</v>
      </c>
      <c r="BB57" s="40">
        <v>0.75376614163833311</v>
      </c>
      <c r="BC57" s="40">
        <v>0</v>
      </c>
      <c r="BD57" s="40">
        <v>0</v>
      </c>
      <c r="BE57" s="40">
        <v>4.7643608118563368</v>
      </c>
      <c r="BF57" s="40">
        <v>18.161233596084063</v>
      </c>
      <c r="BG57" s="40">
        <v>166.59858368608204</v>
      </c>
      <c r="BH57" s="368">
        <v>0.2623368498978853</v>
      </c>
      <c r="BI57" s="40">
        <v>52.497887483988286</v>
      </c>
      <c r="BJ57" s="40">
        <v>121.31463309188514</v>
      </c>
      <c r="BK57" s="40">
        <v>0</v>
      </c>
      <c r="BL57" s="40">
        <v>107.72430404919297</v>
      </c>
      <c r="BM57" s="40">
        <v>281.5368246250664</v>
      </c>
      <c r="BN57" s="40">
        <v>4.0105946702180031</v>
      </c>
      <c r="BO57" s="40">
        <v>1.2238160452530153</v>
      </c>
      <c r="BP57" s="40">
        <v>0.75376614163833311</v>
      </c>
      <c r="BQ57" s="40">
        <v>0</v>
      </c>
      <c r="BR57" s="40">
        <v>0</v>
      </c>
      <c r="BS57" s="40">
        <v>0</v>
      </c>
      <c r="BT57" s="40">
        <v>0</v>
      </c>
      <c r="BU57" s="40">
        <v>0</v>
      </c>
      <c r="BV57" s="40">
        <v>0</v>
      </c>
      <c r="BW57" s="40">
        <v>0</v>
      </c>
      <c r="BX57" s="40">
        <v>29.417075484407398</v>
      </c>
      <c r="BY57" s="40"/>
      <c r="BZ57" s="40">
        <v>0</v>
      </c>
      <c r="CA57" s="40">
        <v>0</v>
      </c>
      <c r="CB57" s="40">
        <v>5.9881768571093517</v>
      </c>
      <c r="CC57" s="40">
        <v>29.417075484407398</v>
      </c>
      <c r="CD57" s="368">
        <v>0.20356125680417828</v>
      </c>
      <c r="CE57" s="40">
        <v>262.610326998625</v>
      </c>
      <c r="CF57" s="40">
        <v>7.3040921822556559E-2</v>
      </c>
      <c r="CG57" s="40">
        <v>2.168881473401767E-2</v>
      </c>
      <c r="CH57" s="40">
        <v>9.4729736556574226E-2</v>
      </c>
      <c r="CI57" s="40">
        <v>3.6519768084441271E-3</v>
      </c>
      <c r="CJ57" s="40">
        <v>1.0844407367008844E-3</v>
      </c>
      <c r="CK57" s="40">
        <v>4.7364175451450113E-3</v>
      </c>
      <c r="CL57" s="40"/>
      <c r="CM57" s="40">
        <v>0.18353909465020579</v>
      </c>
      <c r="CN57" s="40" t="s">
        <v>494</v>
      </c>
      <c r="CO57" s="40">
        <v>0</v>
      </c>
      <c r="CP57" s="40">
        <v>0</v>
      </c>
      <c r="CQ57" s="40">
        <v>1.2238160452530153</v>
      </c>
      <c r="CR57" s="40">
        <v>0</v>
      </c>
      <c r="CS57" s="40">
        <v>0</v>
      </c>
      <c r="CT57" s="40">
        <v>1.2238160452530153</v>
      </c>
      <c r="CU57" s="40">
        <v>0</v>
      </c>
      <c r="CV57" s="40">
        <v>0</v>
      </c>
      <c r="CW57" s="367">
        <v>9999</v>
      </c>
      <c r="CX57" s="19"/>
      <c r="CY57" s="19"/>
      <c r="CZ57" s="19"/>
      <c r="DA57" s="19"/>
      <c r="DB57" s="19"/>
      <c r="DC57" s="19"/>
      <c r="DD57" s="19"/>
      <c r="DE57" s="19"/>
      <c r="DF57" s="19"/>
      <c r="DG57" s="19"/>
      <c r="DH57" s="19"/>
      <c r="DI57" s="19"/>
      <c r="DJ57" s="19"/>
      <c r="DK57" s="19"/>
      <c r="DL57" s="19"/>
      <c r="DM57" s="19"/>
      <c r="DN57" s="19"/>
      <c r="DO57" s="19"/>
      <c r="DP57" s="19"/>
      <c r="DQ57" s="19"/>
      <c r="DR57" s="19"/>
      <c r="DS57" s="19"/>
      <c r="DT57" s="19"/>
      <c r="DU57" s="19"/>
      <c r="DV57" s="19"/>
      <c r="DW57" s="19"/>
      <c r="DX57" s="19"/>
      <c r="DY57" s="19"/>
      <c r="DZ57" s="19"/>
      <c r="EA57" s="19"/>
    </row>
    <row r="58" spans="1:131">
      <c r="A58" s="19" t="s">
        <v>525</v>
      </c>
      <c r="B58" s="19" t="s">
        <v>525</v>
      </c>
      <c r="C58" s="40">
        <v>30</v>
      </c>
      <c r="D58" s="40">
        <v>8.3753086419753089</v>
      </c>
      <c r="E58" s="40">
        <v>0.40740740740740744</v>
      </c>
      <c r="F58" s="40">
        <v>35</v>
      </c>
      <c r="G58" s="40">
        <v>0</v>
      </c>
      <c r="H58" s="40">
        <v>0</v>
      </c>
      <c r="I58" s="40" t="s">
        <v>490</v>
      </c>
      <c r="J58" s="40"/>
      <c r="K58" s="40"/>
      <c r="L58" s="40">
        <v>8.984482750943469</v>
      </c>
      <c r="M58" s="40">
        <v>1.1415598038884904E-3</v>
      </c>
      <c r="N58" s="40">
        <v>1.1333205371491864E-3</v>
      </c>
      <c r="O58" s="40">
        <v>0.41148147994859346</v>
      </c>
      <c r="P58" s="40">
        <v>0</v>
      </c>
      <c r="Q58" s="40">
        <v>0</v>
      </c>
      <c r="R58" s="40">
        <v>5.4853723698314072</v>
      </c>
      <c r="S58" s="40">
        <v>12.675861226252655</v>
      </c>
      <c r="T58" s="40">
        <v>0</v>
      </c>
      <c r="U58" s="40">
        <v>11.255841888323335</v>
      </c>
      <c r="V58" s="40" t="s">
        <v>697</v>
      </c>
      <c r="W58" s="40" t="s">
        <v>697</v>
      </c>
      <c r="X58" s="40" t="s">
        <v>697</v>
      </c>
      <c r="Y58" s="40" t="s">
        <v>697</v>
      </c>
      <c r="Z58" s="40">
        <v>0</v>
      </c>
      <c r="AA58" s="40">
        <v>0</v>
      </c>
      <c r="AB58" s="40">
        <v>0</v>
      </c>
      <c r="AC58" s="40">
        <v>0</v>
      </c>
      <c r="AD58" s="40">
        <v>0</v>
      </c>
      <c r="AE58" s="40">
        <v>0</v>
      </c>
      <c r="AF58" s="40">
        <v>0</v>
      </c>
      <c r="AG58" s="40">
        <v>0</v>
      </c>
      <c r="AH58" s="40">
        <v>5.4853723698314072</v>
      </c>
      <c r="AI58" s="40">
        <v>12.675861226252655</v>
      </c>
      <c r="AJ58" s="40">
        <v>0</v>
      </c>
      <c r="AK58" s="40">
        <v>11.255841888323335</v>
      </c>
      <c r="AL58" s="40">
        <v>29.417075484407398</v>
      </c>
      <c r="AM58" s="40">
        <v>4.6867031883484689</v>
      </c>
      <c r="AN58" s="40">
        <v>0.40336842720568927</v>
      </c>
      <c r="AO58" s="40">
        <v>0</v>
      </c>
      <c r="AP58" s="40">
        <v>0</v>
      </c>
      <c r="AQ58" s="40">
        <v>5.0900716155541579</v>
      </c>
      <c r="AR58" s="40">
        <v>5.4853723698314072</v>
      </c>
      <c r="AS58" s="368">
        <v>0.92793547500050599</v>
      </c>
      <c r="AT58" s="40">
        <v>4.6867031883484689</v>
      </c>
      <c r="AU58" s="40">
        <v>0.47746807455265694</v>
      </c>
      <c r="AV58" s="40">
        <v>0</v>
      </c>
      <c r="AW58" s="40">
        <v>0</v>
      </c>
      <c r="AX58" s="40">
        <v>5.1641712629011263</v>
      </c>
      <c r="AY58" s="40">
        <v>12.675861226252655</v>
      </c>
      <c r="AZ58" s="368">
        <v>0.40740200375543256</v>
      </c>
      <c r="BA58" s="40">
        <v>4.6867031883484689</v>
      </c>
      <c r="BB58" s="40">
        <v>0.88083650175834616</v>
      </c>
      <c r="BC58" s="40">
        <v>0</v>
      </c>
      <c r="BD58" s="40">
        <v>0</v>
      </c>
      <c r="BE58" s="40">
        <v>5.5675396901068153</v>
      </c>
      <c r="BF58" s="40">
        <v>18.161233596084063</v>
      </c>
      <c r="BG58" s="40">
        <v>141.52421456212539</v>
      </c>
      <c r="BH58" s="368">
        <v>0.30656175752881082</v>
      </c>
      <c r="BI58" s="40">
        <v>44.92448940748524</v>
      </c>
      <c r="BJ58" s="40">
        <v>103.81366204443154</v>
      </c>
      <c r="BK58" s="40">
        <v>0</v>
      </c>
      <c r="BL58" s="40">
        <v>92.18388754524095</v>
      </c>
      <c r="BM58" s="40">
        <v>240.92203899715776</v>
      </c>
      <c r="BN58" s="40">
        <v>4.6867031883484689</v>
      </c>
      <c r="BO58" s="40">
        <v>2.7165423426019859</v>
      </c>
      <c r="BP58" s="40">
        <v>0.88083650175834616</v>
      </c>
      <c r="BQ58" s="40">
        <v>0</v>
      </c>
      <c r="BR58" s="40">
        <v>0</v>
      </c>
      <c r="BS58" s="40">
        <v>0</v>
      </c>
      <c r="BT58" s="40">
        <v>0</v>
      </c>
      <c r="BU58" s="40">
        <v>0</v>
      </c>
      <c r="BV58" s="40">
        <v>0</v>
      </c>
      <c r="BW58" s="40">
        <v>0</v>
      </c>
      <c r="BX58" s="40">
        <v>29.417075484407398</v>
      </c>
      <c r="BY58" s="40"/>
      <c r="BZ58" s="40">
        <v>0</v>
      </c>
      <c r="CA58" s="40">
        <v>0</v>
      </c>
      <c r="CB58" s="40">
        <v>8.2840820327088007</v>
      </c>
      <c r="CC58" s="40">
        <v>29.417075484407398</v>
      </c>
      <c r="CD58" s="368">
        <v>0.28160794016046231</v>
      </c>
      <c r="CE58" s="40">
        <v>211.45997208680421</v>
      </c>
      <c r="CF58" s="40">
        <v>8.5354205381986153E-2</v>
      </c>
      <c r="CG58" s="40">
        <v>4.8143333153985411E-2</v>
      </c>
      <c r="CH58" s="40">
        <v>0.13349753853597157</v>
      </c>
      <c r="CI58" s="40">
        <v>4.2676293066981454E-3</v>
      </c>
      <c r="CJ58" s="40">
        <v>2.4071666576992714E-3</v>
      </c>
      <c r="CK58" s="40">
        <v>6.6747959643974168E-3</v>
      </c>
      <c r="CL58" s="40"/>
      <c r="CM58" s="40">
        <v>0.40740740740740744</v>
      </c>
      <c r="CN58" s="40" t="s">
        <v>494</v>
      </c>
      <c r="CO58" s="40">
        <v>0</v>
      </c>
      <c r="CP58" s="40">
        <v>0</v>
      </c>
      <c r="CQ58" s="40">
        <v>2.7165423426019859</v>
      </c>
      <c r="CR58" s="40">
        <v>0</v>
      </c>
      <c r="CS58" s="40">
        <v>0</v>
      </c>
      <c r="CT58" s="40">
        <v>2.7165423426019859</v>
      </c>
      <c r="CU58" s="40">
        <v>0</v>
      </c>
      <c r="CV58" s="40">
        <v>0</v>
      </c>
      <c r="CW58" s="367">
        <v>9999</v>
      </c>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9"/>
      <c r="DW58" s="19"/>
      <c r="DX58" s="19"/>
      <c r="DY58" s="19"/>
      <c r="DZ58" s="19"/>
      <c r="EA58" s="19"/>
    </row>
    <row r="59" spans="1:131">
      <c r="A59" s="19" t="s">
        <v>526</v>
      </c>
      <c r="B59" s="19" t="s">
        <v>526</v>
      </c>
      <c r="C59" s="40">
        <v>30</v>
      </c>
      <c r="D59" s="40">
        <v>7.5703703703703713</v>
      </c>
      <c r="E59" s="40">
        <v>0.3646090534979427</v>
      </c>
      <c r="F59" s="40">
        <v>35</v>
      </c>
      <c r="G59" s="40">
        <v>0</v>
      </c>
      <c r="H59" s="40">
        <v>0</v>
      </c>
      <c r="I59" s="40" t="s">
        <v>490</v>
      </c>
      <c r="J59" s="40"/>
      <c r="K59" s="40"/>
      <c r="L59" s="40">
        <v>8.1209976752336903</v>
      </c>
      <c r="M59" s="40">
        <v>1.0318462142459056E-3</v>
      </c>
      <c r="N59" s="40">
        <v>1.024398810996287E-3</v>
      </c>
      <c r="O59" s="40">
        <v>0.36825514266106474</v>
      </c>
      <c r="P59" s="40">
        <v>0</v>
      </c>
      <c r="Q59" s="40">
        <v>0</v>
      </c>
      <c r="R59" s="40">
        <v>5.4853723698314072</v>
      </c>
      <c r="S59" s="40">
        <v>12.675861226252655</v>
      </c>
      <c r="T59" s="40">
        <v>0</v>
      </c>
      <c r="U59" s="40">
        <v>11.255841888323335</v>
      </c>
      <c r="V59" s="40" t="s">
        <v>697</v>
      </c>
      <c r="W59" s="40" t="s">
        <v>697</v>
      </c>
      <c r="X59" s="40" t="s">
        <v>697</v>
      </c>
      <c r="Y59" s="40" t="s">
        <v>697</v>
      </c>
      <c r="Z59" s="40">
        <v>0</v>
      </c>
      <c r="AA59" s="40">
        <v>0</v>
      </c>
      <c r="AB59" s="40">
        <v>0</v>
      </c>
      <c r="AC59" s="40">
        <v>0</v>
      </c>
      <c r="AD59" s="40">
        <v>0</v>
      </c>
      <c r="AE59" s="40">
        <v>0</v>
      </c>
      <c r="AF59" s="40">
        <v>0</v>
      </c>
      <c r="AG59" s="40">
        <v>0</v>
      </c>
      <c r="AH59" s="40">
        <v>5.4853723698314072</v>
      </c>
      <c r="AI59" s="40">
        <v>12.675861226252655</v>
      </c>
      <c r="AJ59" s="40">
        <v>0</v>
      </c>
      <c r="AK59" s="40">
        <v>11.255841888323335</v>
      </c>
      <c r="AL59" s="40">
        <v>29.417075484407398</v>
      </c>
      <c r="AM59" s="40">
        <v>4.2362712191852561</v>
      </c>
      <c r="AN59" s="40">
        <v>0.36460129652495382</v>
      </c>
      <c r="AO59" s="40">
        <v>0</v>
      </c>
      <c r="AP59" s="40">
        <v>0</v>
      </c>
      <c r="AQ59" s="40">
        <v>4.6008725157102095</v>
      </c>
      <c r="AR59" s="40">
        <v>5.4853723698314072</v>
      </c>
      <c r="AS59" s="368">
        <v>0.8387529971555272</v>
      </c>
      <c r="AT59" s="40">
        <v>4.2362712191852561</v>
      </c>
      <c r="AU59" s="40">
        <v>0.43157933861392878</v>
      </c>
      <c r="AV59" s="40">
        <v>0</v>
      </c>
      <c r="AW59" s="40">
        <v>0</v>
      </c>
      <c r="AX59" s="40">
        <v>4.6678505577991851</v>
      </c>
      <c r="AY59" s="40">
        <v>12.675861226252655</v>
      </c>
      <c r="AZ59" s="368">
        <v>0.36824721212091832</v>
      </c>
      <c r="BA59" s="40">
        <v>4.2362712191852561</v>
      </c>
      <c r="BB59" s="40">
        <v>0.7961806351388826</v>
      </c>
      <c r="BC59" s="40">
        <v>0</v>
      </c>
      <c r="BD59" s="40">
        <v>0</v>
      </c>
      <c r="BE59" s="40">
        <v>5.0324518543241386</v>
      </c>
      <c r="BF59" s="40">
        <v>18.161233596084063</v>
      </c>
      <c r="BG59" s="40">
        <v>157.3391647817356</v>
      </c>
      <c r="BH59" s="368">
        <v>0.27709856974744485</v>
      </c>
      <c r="BI59" s="40">
        <v>49.701196369924958</v>
      </c>
      <c r="BJ59" s="40">
        <v>114.85190530160202</v>
      </c>
      <c r="BK59" s="40">
        <v>0</v>
      </c>
      <c r="BL59" s="40">
        <v>101.98556639056011</v>
      </c>
      <c r="BM59" s="40">
        <v>266.53866806208708</v>
      </c>
      <c r="BN59" s="40">
        <v>4.2362712191852561</v>
      </c>
      <c r="BO59" s="40">
        <v>2.4311681975205675</v>
      </c>
      <c r="BP59" s="40">
        <v>0.7961806351388826</v>
      </c>
      <c r="BQ59" s="40">
        <v>0</v>
      </c>
      <c r="BR59" s="40">
        <v>0</v>
      </c>
      <c r="BS59" s="40">
        <v>0</v>
      </c>
      <c r="BT59" s="40">
        <v>0</v>
      </c>
      <c r="BU59" s="40">
        <v>0</v>
      </c>
      <c r="BV59" s="40">
        <v>0</v>
      </c>
      <c r="BW59" s="40">
        <v>0</v>
      </c>
      <c r="BX59" s="40">
        <v>29.417075484407398</v>
      </c>
      <c r="BY59" s="40"/>
      <c r="BZ59" s="40">
        <v>0</v>
      </c>
      <c r="CA59" s="40">
        <v>0</v>
      </c>
      <c r="CB59" s="40">
        <v>7.463620051844706</v>
      </c>
      <c r="CC59" s="40">
        <v>29.417075484407398</v>
      </c>
      <c r="CD59" s="368">
        <v>0.25371726893112873</v>
      </c>
      <c r="CE59" s="40">
        <v>237.29669736772829</v>
      </c>
      <c r="CF59" s="40">
        <v>7.7150941539259901E-2</v>
      </c>
      <c r="CG59" s="40">
        <v>4.3085851691344587E-2</v>
      </c>
      <c r="CH59" s="40">
        <v>0.12023679323060449</v>
      </c>
      <c r="CI59" s="40">
        <v>3.857473895736002E-3</v>
      </c>
      <c r="CJ59" s="40">
        <v>2.1542925845672292E-3</v>
      </c>
      <c r="CK59" s="40">
        <v>6.0117664803032312E-3</v>
      </c>
      <c r="CL59" s="40"/>
      <c r="CM59" s="40">
        <v>0.3646090534979427</v>
      </c>
      <c r="CN59" s="40" t="s">
        <v>494</v>
      </c>
      <c r="CO59" s="40">
        <v>0</v>
      </c>
      <c r="CP59" s="40">
        <v>0</v>
      </c>
      <c r="CQ59" s="40">
        <v>2.4311681975205675</v>
      </c>
      <c r="CR59" s="40">
        <v>0</v>
      </c>
      <c r="CS59" s="40">
        <v>0</v>
      </c>
      <c r="CT59" s="40">
        <v>2.4311681975205675</v>
      </c>
      <c r="CU59" s="40">
        <v>0</v>
      </c>
      <c r="CV59" s="40">
        <v>0</v>
      </c>
      <c r="CW59" s="367">
        <v>9999</v>
      </c>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row>
    <row r="60" spans="1:131">
      <c r="A60" s="19" t="s">
        <v>523</v>
      </c>
      <c r="B60" s="19" t="s">
        <v>523</v>
      </c>
      <c r="C60" s="40">
        <v>30</v>
      </c>
      <c r="D60" s="40">
        <v>9.1407407407407426</v>
      </c>
      <c r="E60" s="40">
        <v>0</v>
      </c>
      <c r="F60" s="40">
        <v>35</v>
      </c>
      <c r="G60" s="40">
        <v>0</v>
      </c>
      <c r="H60" s="40">
        <v>0</v>
      </c>
      <c r="I60" s="40" t="s">
        <v>489</v>
      </c>
      <c r="J60" s="40"/>
      <c r="K60" s="40"/>
      <c r="L60" s="40">
        <v>9.8765949955951093</v>
      </c>
      <c r="M60" s="40">
        <v>7.5359695257988402E-3</v>
      </c>
      <c r="N60" s="40">
        <v>7.4815782772187618E-3</v>
      </c>
      <c r="O60" s="40">
        <v>0</v>
      </c>
      <c r="P60" s="40">
        <v>0</v>
      </c>
      <c r="Q60" s="40">
        <v>0</v>
      </c>
      <c r="R60" s="40">
        <v>5.4853723698314072</v>
      </c>
      <c r="S60" s="40">
        <v>12.675861226252655</v>
      </c>
      <c r="T60" s="40">
        <v>0</v>
      </c>
      <c r="U60" s="40">
        <v>11.255841888323335</v>
      </c>
      <c r="V60" s="40" t="s">
        <v>697</v>
      </c>
      <c r="W60" s="40" t="s">
        <v>697</v>
      </c>
      <c r="X60" s="40" t="s">
        <v>697</v>
      </c>
      <c r="Y60" s="40" t="s">
        <v>697</v>
      </c>
      <c r="Z60" s="40">
        <v>0</v>
      </c>
      <c r="AA60" s="40">
        <v>0</v>
      </c>
      <c r="AB60" s="40">
        <v>0</v>
      </c>
      <c r="AC60" s="40">
        <v>0</v>
      </c>
      <c r="AD60" s="40">
        <v>0</v>
      </c>
      <c r="AE60" s="40">
        <v>0</v>
      </c>
      <c r="AF60" s="40">
        <v>0</v>
      </c>
      <c r="AG60" s="40">
        <v>0</v>
      </c>
      <c r="AH60" s="40">
        <v>5.4853723698314072</v>
      </c>
      <c r="AI60" s="40">
        <v>12.675861226252655</v>
      </c>
      <c r="AJ60" s="40">
        <v>0</v>
      </c>
      <c r="AK60" s="40">
        <v>11.255841888323335</v>
      </c>
      <c r="AL60" s="40">
        <v>29.417075484407398</v>
      </c>
      <c r="AM60" s="40">
        <v>5.3762100269440838</v>
      </c>
      <c r="AN60" s="40">
        <v>2.6628234147147785</v>
      </c>
      <c r="AO60" s="40">
        <v>0</v>
      </c>
      <c r="AP60" s="40">
        <v>0</v>
      </c>
      <c r="AQ60" s="40">
        <v>8.0390334416588622</v>
      </c>
      <c r="AR60" s="40">
        <v>5.4853723698314072</v>
      </c>
      <c r="AS60" s="367">
        <v>1.465540149265371</v>
      </c>
      <c r="AT60" s="40">
        <v>5.3762100269440838</v>
      </c>
      <c r="AU60" s="40">
        <v>3.1519898012475465</v>
      </c>
      <c r="AV60" s="40">
        <v>0</v>
      </c>
      <c r="AW60" s="40">
        <v>0</v>
      </c>
      <c r="AX60" s="40">
        <v>8.5281998281916298</v>
      </c>
      <c r="AY60" s="40">
        <v>12.675861226252655</v>
      </c>
      <c r="AZ60" s="368">
        <v>0.6727905643625296</v>
      </c>
      <c r="BA60" s="40">
        <v>5.3762100269440838</v>
      </c>
      <c r="BB60" s="40">
        <v>5.8148132159623245</v>
      </c>
      <c r="BC60" s="40">
        <v>0</v>
      </c>
      <c r="BD60" s="40">
        <v>0</v>
      </c>
      <c r="BE60" s="40">
        <v>11.191023242906407</v>
      </c>
      <c r="BF60" s="40">
        <v>18.161233596084063</v>
      </c>
      <c r="BG60" s="40">
        <v>91.982228922779996</v>
      </c>
      <c r="BH60" s="368">
        <v>0.61620391498732896</v>
      </c>
      <c r="BI60" s="40">
        <v>40.866644866627297</v>
      </c>
      <c r="BJ60" s="40">
        <v>94.436600505179442</v>
      </c>
      <c r="BK60" s="40">
        <v>0</v>
      </c>
      <c r="BL60" s="40">
        <v>83.857295751674755</v>
      </c>
      <c r="BM60" s="40">
        <v>219.16054112348149</v>
      </c>
      <c r="BN60" s="40">
        <v>5.3762100269440838</v>
      </c>
      <c r="BO60" s="40">
        <v>0</v>
      </c>
      <c r="BP60" s="40">
        <v>5.8148132159623245</v>
      </c>
      <c r="BQ60" s="40">
        <v>0</v>
      </c>
      <c r="BR60" s="40">
        <v>0</v>
      </c>
      <c r="BS60" s="40">
        <v>0</v>
      </c>
      <c r="BT60" s="40">
        <v>0</v>
      </c>
      <c r="BU60" s="40">
        <v>0</v>
      </c>
      <c r="BV60" s="40">
        <v>0</v>
      </c>
      <c r="BW60" s="40">
        <v>0</v>
      </c>
      <c r="BX60" s="40">
        <v>29.417075484407398</v>
      </c>
      <c r="BY60" s="40"/>
      <c r="BZ60" s="40">
        <v>0</v>
      </c>
      <c r="CA60" s="40">
        <v>0</v>
      </c>
      <c r="CB60" s="40">
        <v>11.191023242906409</v>
      </c>
      <c r="CC60" s="40">
        <v>29.417075484407398</v>
      </c>
      <c r="CD60" s="368">
        <v>0.38042609806125161</v>
      </c>
      <c r="CE60" s="40">
        <v>175.83952467445471</v>
      </c>
      <c r="CF60" s="40">
        <v>9.3828813455615237E-2</v>
      </c>
      <c r="CG60" s="40">
        <v>0</v>
      </c>
      <c r="CH60" s="40">
        <v>9.3828813455615237E-2</v>
      </c>
      <c r="CI60" s="40">
        <v>4.6913826229076777E-3</v>
      </c>
      <c r="CJ60" s="40">
        <v>0</v>
      </c>
      <c r="CK60" s="40">
        <v>4.6913826229076777E-3</v>
      </c>
      <c r="CL60" s="40"/>
      <c r="CM60" s="40">
        <v>0</v>
      </c>
      <c r="CN60" s="40" t="s">
        <v>494</v>
      </c>
      <c r="CO60" s="40">
        <v>0</v>
      </c>
      <c r="CP60" s="40">
        <v>0</v>
      </c>
      <c r="CQ60" s="40">
        <v>0</v>
      </c>
      <c r="CR60" s="40">
        <v>0</v>
      </c>
      <c r="CS60" s="40">
        <v>0</v>
      </c>
      <c r="CT60" s="40">
        <v>0</v>
      </c>
      <c r="CU60" s="40">
        <v>0</v>
      </c>
      <c r="CV60" s="40">
        <v>9999</v>
      </c>
      <c r="CW60" s="367">
        <v>9999</v>
      </c>
      <c r="CX60" s="19"/>
      <c r="CY60" s="19"/>
      <c r="CZ60" s="19"/>
      <c r="DA60" s="19"/>
      <c r="DB60" s="19"/>
      <c r="DC60" s="19"/>
      <c r="DD60" s="19"/>
      <c r="DE60" s="19"/>
      <c r="DF60" s="19"/>
      <c r="DG60" s="19"/>
      <c r="DH60" s="19"/>
      <c r="DI60" s="19"/>
      <c r="DJ60" s="19"/>
      <c r="DK60" s="19"/>
      <c r="DL60" s="19"/>
      <c r="DM60" s="19"/>
      <c r="DN60" s="19"/>
      <c r="DO60" s="19"/>
      <c r="DP60" s="19"/>
      <c r="DQ60" s="19"/>
      <c r="DR60" s="19"/>
      <c r="DS60" s="19"/>
      <c r="DT60" s="19"/>
      <c r="DU60" s="19"/>
      <c r="DV60" s="19"/>
      <c r="DW60" s="19"/>
      <c r="DX60" s="19"/>
      <c r="DY60" s="19"/>
      <c r="DZ60" s="19"/>
      <c r="EA60" s="19"/>
    </row>
    <row r="61" spans="1:131">
      <c r="A61" s="19" t="s">
        <v>516</v>
      </c>
      <c r="B61" s="19" t="s">
        <v>516</v>
      </c>
      <c r="C61" s="40">
        <v>30</v>
      </c>
      <c r="D61" s="40">
        <v>12.393415637860082</v>
      </c>
      <c r="E61" s="40">
        <v>0</v>
      </c>
      <c r="F61" s="40">
        <v>35</v>
      </c>
      <c r="G61" s="40">
        <v>0</v>
      </c>
      <c r="H61" s="40">
        <v>0</v>
      </c>
      <c r="I61" s="40" t="s">
        <v>489</v>
      </c>
      <c r="J61" s="40"/>
      <c r="K61" s="40"/>
      <c r="L61" s="40">
        <v>13.391118984663345</v>
      </c>
      <c r="M61" s="40">
        <v>1.0217596715242113E-2</v>
      </c>
      <c r="N61" s="40">
        <v>1.0143850684167125E-2</v>
      </c>
      <c r="O61" s="40">
        <v>0</v>
      </c>
      <c r="P61" s="40">
        <v>0</v>
      </c>
      <c r="Q61" s="40">
        <v>0</v>
      </c>
      <c r="R61" s="40">
        <v>5.4853723698314072</v>
      </c>
      <c r="S61" s="40">
        <v>12.675861226252655</v>
      </c>
      <c r="T61" s="40">
        <v>0</v>
      </c>
      <c r="U61" s="40">
        <v>11.255841888323335</v>
      </c>
      <c r="V61" s="40" t="s">
        <v>697</v>
      </c>
      <c r="W61" s="40" t="s">
        <v>697</v>
      </c>
      <c r="X61" s="40" t="s">
        <v>697</v>
      </c>
      <c r="Y61" s="40" t="s">
        <v>697</v>
      </c>
      <c r="Z61" s="40">
        <v>0</v>
      </c>
      <c r="AA61" s="40">
        <v>0</v>
      </c>
      <c r="AB61" s="40">
        <v>0</v>
      </c>
      <c r="AC61" s="40">
        <v>0</v>
      </c>
      <c r="AD61" s="40">
        <v>0</v>
      </c>
      <c r="AE61" s="40">
        <v>0</v>
      </c>
      <c r="AF61" s="40">
        <v>0</v>
      </c>
      <c r="AG61" s="40">
        <v>0</v>
      </c>
      <c r="AH61" s="40">
        <v>5.4853723698314072</v>
      </c>
      <c r="AI61" s="40">
        <v>12.675861226252655</v>
      </c>
      <c r="AJ61" s="40">
        <v>0</v>
      </c>
      <c r="AK61" s="40">
        <v>11.255841888323335</v>
      </c>
      <c r="AL61" s="40">
        <v>29.417075484407398</v>
      </c>
      <c r="AM61" s="40">
        <v>7.2893004309133902</v>
      </c>
      <c r="AN61" s="40">
        <v>3.6103723193566633</v>
      </c>
      <c r="AO61" s="40">
        <v>0</v>
      </c>
      <c r="AP61" s="40">
        <v>0</v>
      </c>
      <c r="AQ61" s="40">
        <v>10.899672750270053</v>
      </c>
      <c r="AR61" s="40">
        <v>5.4853723698314072</v>
      </c>
      <c r="AS61" s="367">
        <v>1.9870433610334926</v>
      </c>
      <c r="AT61" s="40">
        <v>7.2893004309133902</v>
      </c>
      <c r="AU61" s="40">
        <v>4.2736054769661038</v>
      </c>
      <c r="AV61" s="40">
        <v>0</v>
      </c>
      <c r="AW61" s="40">
        <v>0</v>
      </c>
      <c r="AX61" s="40">
        <v>11.562905907879493</v>
      </c>
      <c r="AY61" s="40">
        <v>12.675861226252655</v>
      </c>
      <c r="AZ61" s="368">
        <v>0.91219884010183483</v>
      </c>
      <c r="BA61" s="40">
        <v>7.2893004309133902</v>
      </c>
      <c r="BB61" s="40">
        <v>7.8839777963227675</v>
      </c>
      <c r="BC61" s="40">
        <v>0</v>
      </c>
      <c r="BD61" s="40">
        <v>0</v>
      </c>
      <c r="BE61" s="40">
        <v>15.173278227236157</v>
      </c>
      <c r="BF61" s="40">
        <v>18.161233596084063</v>
      </c>
      <c r="BG61" s="40">
        <v>56.471641480265717</v>
      </c>
      <c r="BH61" s="368">
        <v>0.83547618871593776</v>
      </c>
      <c r="BI61" s="40">
        <v>30.141118202202343</v>
      </c>
      <c r="BJ61" s="40">
        <v>69.651539727090139</v>
      </c>
      <c r="BK61" s="40">
        <v>0</v>
      </c>
      <c r="BL61" s="40">
        <v>61.848793107856295</v>
      </c>
      <c r="BM61" s="40">
        <v>161.64145103714878</v>
      </c>
      <c r="BN61" s="40">
        <v>7.2893004309133902</v>
      </c>
      <c r="BO61" s="40">
        <v>0</v>
      </c>
      <c r="BP61" s="40">
        <v>7.8839777963227675</v>
      </c>
      <c r="BQ61" s="40">
        <v>0</v>
      </c>
      <c r="BR61" s="40">
        <v>0</v>
      </c>
      <c r="BS61" s="40">
        <v>0</v>
      </c>
      <c r="BT61" s="40">
        <v>0</v>
      </c>
      <c r="BU61" s="40">
        <v>0</v>
      </c>
      <c r="BV61" s="40">
        <v>0</v>
      </c>
      <c r="BW61" s="40">
        <v>0</v>
      </c>
      <c r="BX61" s="40">
        <v>29.417075484407398</v>
      </c>
      <c r="BY61" s="40"/>
      <c r="BZ61" s="40">
        <v>0</v>
      </c>
      <c r="CA61" s="40">
        <v>0</v>
      </c>
      <c r="CB61" s="40">
        <v>15.173278227236157</v>
      </c>
      <c r="CC61" s="40">
        <v>29.417075484407398</v>
      </c>
      <c r="CD61" s="368">
        <v>0.51579832384353752</v>
      </c>
      <c r="CE61" s="40">
        <v>118.32043458812203</v>
      </c>
      <c r="CF61" s="40">
        <v>0.12721720448538201</v>
      </c>
      <c r="CG61" s="40">
        <v>0</v>
      </c>
      <c r="CH61" s="40">
        <v>0.12721720448538201</v>
      </c>
      <c r="CI61" s="40">
        <v>6.3607815177150889E-3</v>
      </c>
      <c r="CJ61" s="40">
        <v>0</v>
      </c>
      <c r="CK61" s="40">
        <v>6.3607815177150889E-3</v>
      </c>
      <c r="CL61" s="40"/>
      <c r="CM61" s="40">
        <v>0</v>
      </c>
      <c r="CN61" s="40" t="s">
        <v>494</v>
      </c>
      <c r="CO61" s="40">
        <v>0</v>
      </c>
      <c r="CP61" s="40">
        <v>0</v>
      </c>
      <c r="CQ61" s="40">
        <v>0</v>
      </c>
      <c r="CR61" s="40">
        <v>0</v>
      </c>
      <c r="CS61" s="40">
        <v>0</v>
      </c>
      <c r="CT61" s="40">
        <v>0</v>
      </c>
      <c r="CU61" s="40">
        <v>0</v>
      </c>
      <c r="CV61" s="40">
        <v>9999</v>
      </c>
      <c r="CW61" s="367">
        <v>9999</v>
      </c>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row>
    <row r="62" spans="1:131">
      <c r="A62" s="19" t="s">
        <v>520</v>
      </c>
      <c r="B62" s="19" t="s">
        <v>520</v>
      </c>
      <c r="C62" s="40">
        <v>30</v>
      </c>
      <c r="D62" s="40">
        <v>11.357201646090534</v>
      </c>
      <c r="E62" s="40">
        <v>0</v>
      </c>
      <c r="F62" s="40">
        <v>35</v>
      </c>
      <c r="G62" s="40">
        <v>0</v>
      </c>
      <c r="H62" s="40">
        <v>0</v>
      </c>
      <c r="I62" s="40" t="s">
        <v>489</v>
      </c>
      <c r="J62" s="40"/>
      <c r="K62" s="40"/>
      <c r="L62" s="40">
        <v>12.271486974988012</v>
      </c>
      <c r="M62" s="40">
        <v>9.3633030331800975E-3</v>
      </c>
      <c r="N62" s="40">
        <v>9.295722910799718E-3</v>
      </c>
      <c r="O62" s="40">
        <v>0</v>
      </c>
      <c r="P62" s="40">
        <v>0</v>
      </c>
      <c r="Q62" s="40">
        <v>0</v>
      </c>
      <c r="R62" s="40">
        <v>5.4853723698314072</v>
      </c>
      <c r="S62" s="40">
        <v>12.675861226252655</v>
      </c>
      <c r="T62" s="40">
        <v>0</v>
      </c>
      <c r="U62" s="40">
        <v>11.255841888323335</v>
      </c>
      <c r="V62" s="40" t="s">
        <v>697</v>
      </c>
      <c r="W62" s="40" t="s">
        <v>697</v>
      </c>
      <c r="X62" s="40" t="s">
        <v>697</v>
      </c>
      <c r="Y62" s="40" t="s">
        <v>697</v>
      </c>
      <c r="Z62" s="40">
        <v>0</v>
      </c>
      <c r="AA62" s="40">
        <v>0</v>
      </c>
      <c r="AB62" s="40">
        <v>0</v>
      </c>
      <c r="AC62" s="40">
        <v>0</v>
      </c>
      <c r="AD62" s="40">
        <v>0</v>
      </c>
      <c r="AE62" s="40">
        <v>0</v>
      </c>
      <c r="AF62" s="40">
        <v>0</v>
      </c>
      <c r="AG62" s="40">
        <v>0</v>
      </c>
      <c r="AH62" s="40">
        <v>5.4853723698314072</v>
      </c>
      <c r="AI62" s="40">
        <v>12.675861226252655</v>
      </c>
      <c r="AJ62" s="40">
        <v>0</v>
      </c>
      <c r="AK62" s="40">
        <v>11.255841888323335</v>
      </c>
      <c r="AL62" s="40">
        <v>29.417075484407398</v>
      </c>
      <c r="AM62" s="40">
        <v>6.6798417217541379</v>
      </c>
      <c r="AN62" s="40">
        <v>3.308508941081326</v>
      </c>
      <c r="AO62" s="40">
        <v>0</v>
      </c>
      <c r="AP62" s="40">
        <v>0</v>
      </c>
      <c r="AQ62" s="40">
        <v>9.9883506628354635</v>
      </c>
      <c r="AR62" s="40">
        <v>5.4853723698314072</v>
      </c>
      <c r="AS62" s="367">
        <v>1.8209065838027063</v>
      </c>
      <c r="AT62" s="40">
        <v>6.6798417217541379</v>
      </c>
      <c r="AU62" s="40">
        <v>3.9162891470749934</v>
      </c>
      <c r="AV62" s="40">
        <v>0</v>
      </c>
      <c r="AW62" s="40">
        <v>0</v>
      </c>
      <c r="AX62" s="40">
        <v>10.596130868829132</v>
      </c>
      <c r="AY62" s="40">
        <v>12.675861226252655</v>
      </c>
      <c r="AZ62" s="368">
        <v>0.83592985752192939</v>
      </c>
      <c r="BA62" s="40">
        <v>6.6798417217541379</v>
      </c>
      <c r="BB62" s="40">
        <v>7.2247980881563194</v>
      </c>
      <c r="BC62" s="40">
        <v>0</v>
      </c>
      <c r="BD62" s="40">
        <v>0</v>
      </c>
      <c r="BE62" s="40">
        <v>13.904639809910458</v>
      </c>
      <c r="BF62" s="40">
        <v>18.161233596084063</v>
      </c>
      <c r="BG62" s="40">
        <v>65.576573455987116</v>
      </c>
      <c r="BH62" s="368">
        <v>0.76562199017739552</v>
      </c>
      <c r="BI62" s="40">
        <v>32.891148480959707</v>
      </c>
      <c r="BJ62" s="40">
        <v>76.006441424054159</v>
      </c>
      <c r="BK62" s="40">
        <v>0</v>
      </c>
      <c r="BL62" s="40">
        <v>67.49178394217698</v>
      </c>
      <c r="BM62" s="40">
        <v>176.38937384719088</v>
      </c>
      <c r="BN62" s="40">
        <v>6.6798417217541379</v>
      </c>
      <c r="BO62" s="40">
        <v>0</v>
      </c>
      <c r="BP62" s="40">
        <v>7.2247980881563194</v>
      </c>
      <c r="BQ62" s="40">
        <v>0</v>
      </c>
      <c r="BR62" s="40">
        <v>0</v>
      </c>
      <c r="BS62" s="40">
        <v>0</v>
      </c>
      <c r="BT62" s="40">
        <v>0</v>
      </c>
      <c r="BU62" s="40">
        <v>0</v>
      </c>
      <c r="BV62" s="40">
        <v>0</v>
      </c>
      <c r="BW62" s="40">
        <v>0</v>
      </c>
      <c r="BX62" s="40">
        <v>29.417075484407398</v>
      </c>
      <c r="BY62" s="40"/>
      <c r="BZ62" s="40">
        <v>0</v>
      </c>
      <c r="CA62" s="40">
        <v>0</v>
      </c>
      <c r="CB62" s="40">
        <v>13.904639809910456</v>
      </c>
      <c r="CC62" s="40">
        <v>29.417075484407398</v>
      </c>
      <c r="CD62" s="368">
        <v>0.47267240474943367</v>
      </c>
      <c r="CE62" s="40">
        <v>133.0683573981641</v>
      </c>
      <c r="CF62" s="40">
        <v>0.11658056878030187</v>
      </c>
      <c r="CG62" s="40">
        <v>0</v>
      </c>
      <c r="CH62" s="40">
        <v>0.11658056878030187</v>
      </c>
      <c r="CI62" s="40">
        <v>5.8289563131193071E-3</v>
      </c>
      <c r="CJ62" s="40">
        <v>0</v>
      </c>
      <c r="CK62" s="40">
        <v>5.8289563131193071E-3</v>
      </c>
      <c r="CL62" s="40"/>
      <c r="CM62" s="40">
        <v>0</v>
      </c>
      <c r="CN62" s="40" t="s">
        <v>494</v>
      </c>
      <c r="CO62" s="40">
        <v>0</v>
      </c>
      <c r="CP62" s="40">
        <v>0</v>
      </c>
      <c r="CQ62" s="40">
        <v>0</v>
      </c>
      <c r="CR62" s="40">
        <v>0</v>
      </c>
      <c r="CS62" s="40">
        <v>0</v>
      </c>
      <c r="CT62" s="40">
        <v>0</v>
      </c>
      <c r="CU62" s="40">
        <v>0</v>
      </c>
      <c r="CV62" s="40">
        <v>9999</v>
      </c>
      <c r="CW62" s="367">
        <v>9999</v>
      </c>
      <c r="CX62" s="19"/>
      <c r="CY62" s="19"/>
      <c r="CZ62" s="19"/>
      <c r="DA62" s="19"/>
      <c r="DB62" s="19"/>
      <c r="DC62" s="19"/>
      <c r="DD62" s="19"/>
      <c r="DE62" s="19"/>
      <c r="DF62" s="19"/>
      <c r="DG62" s="19"/>
      <c r="DH62" s="19"/>
      <c r="DI62" s="19"/>
      <c r="DJ62" s="19"/>
      <c r="DK62" s="19"/>
      <c r="DL62" s="19"/>
      <c r="DM62" s="19"/>
      <c r="DN62" s="19"/>
      <c r="DO62" s="19"/>
      <c r="DP62" s="19"/>
      <c r="DQ62" s="19"/>
      <c r="DR62" s="19"/>
      <c r="DS62" s="19"/>
      <c r="DT62" s="19"/>
      <c r="DU62" s="19"/>
      <c r="DV62" s="19"/>
      <c r="DW62" s="19"/>
      <c r="DX62" s="19"/>
      <c r="DY62" s="19"/>
      <c r="DZ62" s="19"/>
      <c r="EA62" s="19"/>
    </row>
    <row r="63" spans="1:131">
      <c r="A63" s="19" t="s">
        <v>511</v>
      </c>
      <c r="B63" s="19" t="s">
        <v>511</v>
      </c>
      <c r="C63" s="40">
        <v>30</v>
      </c>
      <c r="D63" s="40">
        <v>27.774657305249079</v>
      </c>
      <c r="E63" s="40">
        <v>0</v>
      </c>
      <c r="F63" s="40">
        <v>35</v>
      </c>
      <c r="G63" s="40">
        <v>0</v>
      </c>
      <c r="H63" s="40">
        <v>0</v>
      </c>
      <c r="I63" s="40" t="s">
        <v>489</v>
      </c>
      <c r="J63" s="40"/>
      <c r="K63" s="40"/>
      <c r="L63" s="40">
        <v>30.010592043458619</v>
      </c>
      <c r="M63" s="40">
        <v>2.2898469279296212E-2</v>
      </c>
      <c r="N63" s="40">
        <v>2.2733198396709745E-2</v>
      </c>
      <c r="O63" s="40">
        <v>0</v>
      </c>
      <c r="P63" s="40">
        <v>0</v>
      </c>
      <c r="Q63" s="40">
        <v>0</v>
      </c>
      <c r="R63" s="40">
        <v>5.4853723698314072</v>
      </c>
      <c r="S63" s="40">
        <v>12.675861226252655</v>
      </c>
      <c r="T63" s="40">
        <v>0</v>
      </c>
      <c r="U63" s="40">
        <v>11.255841888323335</v>
      </c>
      <c r="V63" s="40" t="s">
        <v>697</v>
      </c>
      <c r="W63" s="40" t="s">
        <v>697</v>
      </c>
      <c r="X63" s="40" t="s">
        <v>697</v>
      </c>
      <c r="Y63" s="40" t="s">
        <v>697</v>
      </c>
      <c r="Z63" s="40">
        <v>0</v>
      </c>
      <c r="AA63" s="40">
        <v>0</v>
      </c>
      <c r="AB63" s="40">
        <v>0</v>
      </c>
      <c r="AC63" s="40">
        <v>0</v>
      </c>
      <c r="AD63" s="40">
        <v>0</v>
      </c>
      <c r="AE63" s="40">
        <v>0</v>
      </c>
      <c r="AF63" s="40">
        <v>0</v>
      </c>
      <c r="AG63" s="40">
        <v>0</v>
      </c>
      <c r="AH63" s="40">
        <v>5.4853723698314072</v>
      </c>
      <c r="AI63" s="40">
        <v>12.675861226252655</v>
      </c>
      <c r="AJ63" s="40">
        <v>0</v>
      </c>
      <c r="AK63" s="40">
        <v>11.255841888323335</v>
      </c>
      <c r="AL63" s="40">
        <v>29.417075484407398</v>
      </c>
      <c r="AM63" s="40">
        <v>16.335917988996076</v>
      </c>
      <c r="AN63" s="40">
        <v>8.0911394279521645</v>
      </c>
      <c r="AO63" s="40">
        <v>0</v>
      </c>
      <c r="AP63" s="40">
        <v>0</v>
      </c>
      <c r="AQ63" s="40">
        <v>24.427057416948241</v>
      </c>
      <c r="AR63" s="40">
        <v>5.4853723698314072</v>
      </c>
      <c r="AS63" s="367">
        <v>4.4531265646235436</v>
      </c>
      <c r="AT63" s="40">
        <v>16.335917988996076</v>
      </c>
      <c r="AU63" s="40">
        <v>9.5774991373616292</v>
      </c>
      <c r="AV63" s="40">
        <v>0</v>
      </c>
      <c r="AW63" s="40">
        <v>0</v>
      </c>
      <c r="AX63" s="40">
        <v>25.913417126357707</v>
      </c>
      <c r="AY63" s="40">
        <v>12.675861226252655</v>
      </c>
      <c r="AZ63" s="367">
        <v>2.044312150774346</v>
      </c>
      <c r="BA63" s="40">
        <v>16.335917988996076</v>
      </c>
      <c r="BB63" s="40">
        <v>17.668638565313792</v>
      </c>
      <c r="BC63" s="40">
        <v>0</v>
      </c>
      <c r="BD63" s="40">
        <v>0</v>
      </c>
      <c r="BE63" s="40">
        <v>34.004556554309872</v>
      </c>
      <c r="BF63" s="40">
        <v>18.161233596084063</v>
      </c>
      <c r="BG63" s="40">
        <v>1.2077737258489571</v>
      </c>
      <c r="BH63" s="367">
        <v>1.8723704188046981</v>
      </c>
      <c r="BI63" s="40">
        <v>13.449361465178795</v>
      </c>
      <c r="BJ63" s="40">
        <v>31.079428709696924</v>
      </c>
      <c r="BK63" s="40">
        <v>0</v>
      </c>
      <c r="BL63" s="40">
        <v>27.597741036423745</v>
      </c>
      <c r="BM63" s="40">
        <v>72.126531211299465</v>
      </c>
      <c r="BN63" s="40">
        <v>16.335917988996076</v>
      </c>
      <c r="BO63" s="40">
        <v>0</v>
      </c>
      <c r="BP63" s="40">
        <v>17.668638565313792</v>
      </c>
      <c r="BQ63" s="40">
        <v>0</v>
      </c>
      <c r="BR63" s="40">
        <v>0</v>
      </c>
      <c r="BS63" s="40">
        <v>0</v>
      </c>
      <c r="BT63" s="40">
        <v>0</v>
      </c>
      <c r="BU63" s="40">
        <v>0</v>
      </c>
      <c r="BV63" s="40">
        <v>0</v>
      </c>
      <c r="BW63" s="40">
        <v>0</v>
      </c>
      <c r="BX63" s="40">
        <v>29.417075484407398</v>
      </c>
      <c r="BY63" s="40"/>
      <c r="BZ63" s="40">
        <v>0</v>
      </c>
      <c r="CA63" s="40">
        <v>0</v>
      </c>
      <c r="CB63" s="40">
        <v>34.004556554309872</v>
      </c>
      <c r="CC63" s="40">
        <v>29.417075484407398</v>
      </c>
      <c r="CD63" s="367">
        <v>1.1559461977222747</v>
      </c>
      <c r="CE63" s="40">
        <v>28.805514762272701</v>
      </c>
      <c r="CF63" s="40">
        <v>0.28510415216925461</v>
      </c>
      <c r="CG63" s="40">
        <v>0</v>
      </c>
      <c r="CH63" s="40">
        <v>0.28510415216925461</v>
      </c>
      <c r="CI63" s="40">
        <v>1.4255031220642847E-2</v>
      </c>
      <c r="CJ63" s="40">
        <v>0</v>
      </c>
      <c r="CK63" s="40">
        <v>1.4255031220642847E-2</v>
      </c>
      <c r="CL63" s="40"/>
      <c r="CM63" s="40">
        <v>0</v>
      </c>
      <c r="CN63" s="40" t="s">
        <v>494</v>
      </c>
      <c r="CO63" s="40">
        <v>0</v>
      </c>
      <c r="CP63" s="40">
        <v>0</v>
      </c>
      <c r="CQ63" s="40">
        <v>0</v>
      </c>
      <c r="CR63" s="40">
        <v>0</v>
      </c>
      <c r="CS63" s="40">
        <v>0</v>
      </c>
      <c r="CT63" s="40">
        <v>0</v>
      </c>
      <c r="CU63" s="40">
        <v>0</v>
      </c>
      <c r="CV63" s="40">
        <v>9999</v>
      </c>
      <c r="CW63" s="367">
        <v>9999</v>
      </c>
      <c r="CX63" s="19"/>
      <c r="CY63" s="19"/>
      <c r="CZ63" s="19"/>
      <c r="DA63" s="19"/>
      <c r="DB63" s="19"/>
      <c r="DC63" s="19"/>
      <c r="DD63" s="19"/>
      <c r="DE63" s="19"/>
      <c r="DF63" s="19"/>
      <c r="DG63" s="19"/>
      <c r="DH63" s="19"/>
      <c r="DI63" s="19"/>
      <c r="DJ63" s="19"/>
      <c r="DK63" s="19"/>
      <c r="DL63" s="19"/>
      <c r="DM63" s="19"/>
      <c r="DN63" s="19"/>
      <c r="DO63" s="19"/>
      <c r="DP63" s="19"/>
      <c r="DQ63" s="19"/>
      <c r="DR63" s="19"/>
      <c r="DS63" s="19"/>
      <c r="DT63" s="19"/>
      <c r="DU63" s="19"/>
      <c r="DV63" s="19"/>
      <c r="DW63" s="19"/>
      <c r="DX63" s="19"/>
      <c r="DY63" s="19"/>
      <c r="DZ63" s="19"/>
      <c r="EA63" s="19"/>
    </row>
    <row r="64" spans="1:131">
      <c r="A64" s="19" t="s">
        <v>507</v>
      </c>
      <c r="B64" s="19" t="s">
        <v>507</v>
      </c>
      <c r="C64" s="40">
        <v>30</v>
      </c>
      <c r="D64" s="40">
        <v>46.806753594115676</v>
      </c>
      <c r="E64" s="40">
        <v>0</v>
      </c>
      <c r="F64" s="40">
        <v>35</v>
      </c>
      <c r="G64" s="40">
        <v>0</v>
      </c>
      <c r="H64" s="40">
        <v>0</v>
      </c>
      <c r="I64" s="40" t="s">
        <v>489</v>
      </c>
      <c r="J64" s="40"/>
      <c r="K64" s="40"/>
      <c r="L64" s="40">
        <v>50.574823356190421</v>
      </c>
      <c r="M64" s="40">
        <v>3.8589243332838072E-2</v>
      </c>
      <c r="N64" s="40">
        <v>3.8310723479560001E-2</v>
      </c>
      <c r="O64" s="40">
        <v>0</v>
      </c>
      <c r="P64" s="40">
        <v>0</v>
      </c>
      <c r="Q64" s="40">
        <v>0</v>
      </c>
      <c r="R64" s="40">
        <v>5.4853723698314072</v>
      </c>
      <c r="S64" s="40">
        <v>12.675861226252655</v>
      </c>
      <c r="T64" s="40">
        <v>0</v>
      </c>
      <c r="U64" s="40">
        <v>11.255841888323335</v>
      </c>
      <c r="V64" s="40" t="s">
        <v>697</v>
      </c>
      <c r="W64" s="40" t="s">
        <v>697</v>
      </c>
      <c r="X64" s="40" t="s">
        <v>697</v>
      </c>
      <c r="Y64" s="40" t="s">
        <v>697</v>
      </c>
      <c r="Z64" s="40">
        <v>0</v>
      </c>
      <c r="AA64" s="40">
        <v>0</v>
      </c>
      <c r="AB64" s="40">
        <v>0</v>
      </c>
      <c r="AC64" s="40">
        <v>0</v>
      </c>
      <c r="AD64" s="40">
        <v>0</v>
      </c>
      <c r="AE64" s="40">
        <v>0</v>
      </c>
      <c r="AF64" s="40">
        <v>0</v>
      </c>
      <c r="AG64" s="40">
        <v>0</v>
      </c>
      <c r="AH64" s="40">
        <v>5.4853723698314072</v>
      </c>
      <c r="AI64" s="40">
        <v>12.675861226252655</v>
      </c>
      <c r="AJ64" s="40">
        <v>0</v>
      </c>
      <c r="AK64" s="40">
        <v>11.255841888323335</v>
      </c>
      <c r="AL64" s="40">
        <v>29.417075484407398</v>
      </c>
      <c r="AM64" s="40">
        <v>27.529818987185621</v>
      </c>
      <c r="AN64" s="40">
        <v>13.63545066776458</v>
      </c>
      <c r="AO64" s="40">
        <v>0</v>
      </c>
      <c r="AP64" s="40">
        <v>0</v>
      </c>
      <c r="AQ64" s="40">
        <v>41.165269654950201</v>
      </c>
      <c r="AR64" s="40">
        <v>5.4853723698314072</v>
      </c>
      <c r="AS64" s="367">
        <v>7.5045533611085391</v>
      </c>
      <c r="AT64" s="40">
        <v>27.529818987185621</v>
      </c>
      <c r="AU64" s="40">
        <v>16.140312272570124</v>
      </c>
      <c r="AV64" s="40">
        <v>0</v>
      </c>
      <c r="AW64" s="40">
        <v>0</v>
      </c>
      <c r="AX64" s="40">
        <v>43.670131259755749</v>
      </c>
      <c r="AY64" s="40">
        <v>12.675861226252655</v>
      </c>
      <c r="AZ64" s="367">
        <v>3.4451411608476468</v>
      </c>
      <c r="BA64" s="40">
        <v>27.529818987185621</v>
      </c>
      <c r="BB64" s="40">
        <v>29.775762940334705</v>
      </c>
      <c r="BC64" s="40">
        <v>0</v>
      </c>
      <c r="BD64" s="40">
        <v>0</v>
      </c>
      <c r="BE64" s="40">
        <v>57.305581927520329</v>
      </c>
      <c r="BF64" s="40">
        <v>18.161233596084063</v>
      </c>
      <c r="BG64" s="40">
        <v>-16.898079749567287</v>
      </c>
      <c r="BH64" s="367">
        <v>3.1553793757642428</v>
      </c>
      <c r="BI64" s="40">
        <v>7.9807159648159152</v>
      </c>
      <c r="BJ64" s="40">
        <v>18.442220734643552</v>
      </c>
      <c r="BK64" s="40">
        <v>0</v>
      </c>
      <c r="BL64" s="40">
        <v>16.376222250586551</v>
      </c>
      <c r="BM64" s="40">
        <v>42.799158950046021</v>
      </c>
      <c r="BN64" s="40">
        <v>27.529818987185621</v>
      </c>
      <c r="BO64" s="40">
        <v>0</v>
      </c>
      <c r="BP64" s="40">
        <v>29.775762940334705</v>
      </c>
      <c r="BQ64" s="40">
        <v>0</v>
      </c>
      <c r="BR64" s="40">
        <v>0</v>
      </c>
      <c r="BS64" s="40">
        <v>0</v>
      </c>
      <c r="BT64" s="40">
        <v>0</v>
      </c>
      <c r="BU64" s="40">
        <v>0</v>
      </c>
      <c r="BV64" s="40">
        <v>0</v>
      </c>
      <c r="BW64" s="40">
        <v>0</v>
      </c>
      <c r="BX64" s="40">
        <v>29.417075484407398</v>
      </c>
      <c r="BY64" s="40"/>
      <c r="BZ64" s="40">
        <v>0</v>
      </c>
      <c r="CA64" s="40">
        <v>0</v>
      </c>
      <c r="CB64" s="40">
        <v>57.305581927520322</v>
      </c>
      <c r="CC64" s="40">
        <v>29.417075484407398</v>
      </c>
      <c r="CD64" s="367">
        <v>1.9480380351845412</v>
      </c>
      <c r="CE64" s="40">
        <v>-0.52185749898073219</v>
      </c>
      <c r="CF64" s="40">
        <v>0.48046676697334345</v>
      </c>
      <c r="CG64" s="40">
        <v>0</v>
      </c>
      <c r="CH64" s="40">
        <v>0.48046676697334345</v>
      </c>
      <c r="CI64" s="40">
        <v>2.4023041094190449E-2</v>
      </c>
      <c r="CJ64" s="40">
        <v>0</v>
      </c>
      <c r="CK64" s="40">
        <v>2.4023041094190449E-2</v>
      </c>
      <c r="CL64" s="40"/>
      <c r="CM64" s="40">
        <v>0</v>
      </c>
      <c r="CN64" s="40" t="s">
        <v>494</v>
      </c>
      <c r="CO64" s="40">
        <v>0</v>
      </c>
      <c r="CP64" s="40">
        <v>0</v>
      </c>
      <c r="CQ64" s="40">
        <v>0</v>
      </c>
      <c r="CR64" s="40">
        <v>0</v>
      </c>
      <c r="CS64" s="40">
        <v>0</v>
      </c>
      <c r="CT64" s="40">
        <v>0</v>
      </c>
      <c r="CU64" s="40">
        <v>0</v>
      </c>
      <c r="CV64" s="40">
        <v>9999</v>
      </c>
      <c r="CW64" s="367">
        <v>9999</v>
      </c>
      <c r="CX64" s="19"/>
      <c r="CY64" s="19"/>
      <c r="CZ64" s="19"/>
      <c r="DA64" s="19"/>
      <c r="DB64" s="19"/>
      <c r="DC64" s="19"/>
      <c r="DD64" s="19"/>
      <c r="DE64" s="19"/>
      <c r="DF64" s="19"/>
      <c r="DG64" s="19"/>
      <c r="DH64" s="19"/>
      <c r="DI64" s="19"/>
      <c r="DJ64" s="19"/>
      <c r="DK64" s="19"/>
      <c r="DL64" s="19"/>
      <c r="DM64" s="19"/>
      <c r="DN64" s="19"/>
      <c r="DO64" s="19"/>
      <c r="DP64" s="19"/>
      <c r="DQ64" s="19"/>
      <c r="DR64" s="19"/>
      <c r="DS64" s="19"/>
      <c r="DT64" s="19"/>
      <c r="DU64" s="19"/>
      <c r="DV64" s="19"/>
      <c r="DW64" s="19"/>
      <c r="DX64" s="19"/>
      <c r="DY64" s="19"/>
      <c r="DZ64" s="19"/>
      <c r="EA64" s="19"/>
    </row>
    <row r="65" spans="1:131">
      <c r="A65" s="19" t="s">
        <v>508</v>
      </c>
      <c r="B65" s="19" t="s">
        <v>508</v>
      </c>
      <c r="C65" s="40">
        <v>30</v>
      </c>
      <c r="D65" s="40">
        <v>40.555332664660654</v>
      </c>
      <c r="E65" s="40">
        <v>-3.7445670344366432E-2</v>
      </c>
      <c r="F65" s="40">
        <v>35</v>
      </c>
      <c r="G65" s="40">
        <v>0</v>
      </c>
      <c r="H65" s="40">
        <v>0</v>
      </c>
      <c r="I65" s="40" t="s">
        <v>489</v>
      </c>
      <c r="J65" s="40"/>
      <c r="K65" s="40"/>
      <c r="L65" s="40">
        <v>43.820146200538971</v>
      </c>
      <c r="M65" s="40">
        <v>3.3435337434671621E-2</v>
      </c>
      <c r="N65" s="40">
        <v>3.3194016162930516E-2</v>
      </c>
      <c r="O65" s="40">
        <v>-3.782012690691914E-2</v>
      </c>
      <c r="P65" s="40">
        <v>0</v>
      </c>
      <c r="Q65" s="40">
        <v>0</v>
      </c>
      <c r="R65" s="40">
        <v>5.4853723698314072</v>
      </c>
      <c r="S65" s="40">
        <v>12.675861226252655</v>
      </c>
      <c r="T65" s="40">
        <v>0</v>
      </c>
      <c r="U65" s="40">
        <v>11.255841888323335</v>
      </c>
      <c r="V65" s="40" t="s">
        <v>697</v>
      </c>
      <c r="W65" s="40" t="s">
        <v>697</v>
      </c>
      <c r="X65" s="40" t="s">
        <v>697</v>
      </c>
      <c r="Y65" s="40" t="s">
        <v>697</v>
      </c>
      <c r="Z65" s="40">
        <v>0</v>
      </c>
      <c r="AA65" s="40">
        <v>0</v>
      </c>
      <c r="AB65" s="40">
        <v>0</v>
      </c>
      <c r="AC65" s="40">
        <v>0</v>
      </c>
      <c r="AD65" s="40">
        <v>0</v>
      </c>
      <c r="AE65" s="40">
        <v>0</v>
      </c>
      <c r="AF65" s="40">
        <v>0</v>
      </c>
      <c r="AG65" s="40">
        <v>0</v>
      </c>
      <c r="AH65" s="40">
        <v>5.4853723698314072</v>
      </c>
      <c r="AI65" s="40">
        <v>12.675861226252655</v>
      </c>
      <c r="AJ65" s="40">
        <v>0</v>
      </c>
      <c r="AK65" s="40">
        <v>11.255841888323335</v>
      </c>
      <c r="AL65" s="40">
        <v>29.417075484407398</v>
      </c>
      <c r="AM65" s="40">
        <v>23.852988756809747</v>
      </c>
      <c r="AN65" s="40">
        <v>11.81432582697385</v>
      </c>
      <c r="AO65" s="40">
        <v>0</v>
      </c>
      <c r="AP65" s="40">
        <v>0</v>
      </c>
      <c r="AQ65" s="40">
        <v>35.667314583783593</v>
      </c>
      <c r="AR65" s="40">
        <v>5.4853723698314072</v>
      </c>
      <c r="AS65" s="367">
        <v>6.5022594965380316</v>
      </c>
      <c r="AT65" s="40">
        <v>23.852988756809747</v>
      </c>
      <c r="AU65" s="40">
        <v>13.984642882985092</v>
      </c>
      <c r="AV65" s="40">
        <v>0</v>
      </c>
      <c r="AW65" s="40">
        <v>0</v>
      </c>
      <c r="AX65" s="40">
        <v>37.837631639794836</v>
      </c>
      <c r="AY65" s="40">
        <v>12.675861226252655</v>
      </c>
      <c r="AZ65" s="367">
        <v>2.9850146640474633</v>
      </c>
      <c r="BA65" s="40">
        <v>23.852988756809747</v>
      </c>
      <c r="BB65" s="40">
        <v>25.798968709958942</v>
      </c>
      <c r="BC65" s="40">
        <v>0</v>
      </c>
      <c r="BD65" s="40">
        <v>0</v>
      </c>
      <c r="BE65" s="40">
        <v>49.651957466768685</v>
      </c>
      <c r="BF65" s="40">
        <v>18.161233596084063</v>
      </c>
      <c r="BG65" s="40">
        <v>-12.825103678417904</v>
      </c>
      <c r="BH65" s="367">
        <v>2.7339529115177879</v>
      </c>
      <c r="BI65" s="40">
        <v>9.2109072007507198</v>
      </c>
      <c r="BJ65" s="40">
        <v>21.285005569858139</v>
      </c>
      <c r="BK65" s="40">
        <v>0</v>
      </c>
      <c r="BL65" s="40">
        <v>18.900542772605881</v>
      </c>
      <c r="BM65" s="40">
        <v>49.396455543214742</v>
      </c>
      <c r="BN65" s="40">
        <v>23.852988756809747</v>
      </c>
      <c r="BO65" s="40">
        <v>-0.24968311127407702</v>
      </c>
      <c r="BP65" s="40">
        <v>25.798968709958942</v>
      </c>
      <c r="BQ65" s="40">
        <v>0</v>
      </c>
      <c r="BR65" s="40">
        <v>0</v>
      </c>
      <c r="BS65" s="40">
        <v>0</v>
      </c>
      <c r="BT65" s="40">
        <v>0</v>
      </c>
      <c r="BU65" s="40">
        <v>0</v>
      </c>
      <c r="BV65" s="40">
        <v>0</v>
      </c>
      <c r="BW65" s="40">
        <v>0</v>
      </c>
      <c r="BX65" s="40">
        <v>29.417075484407398</v>
      </c>
      <c r="BY65" s="40"/>
      <c r="BZ65" s="40">
        <v>0</v>
      </c>
      <c r="CA65" s="40">
        <v>0</v>
      </c>
      <c r="CB65" s="40">
        <v>49.402274355494612</v>
      </c>
      <c r="CC65" s="40">
        <v>29.417075484407398</v>
      </c>
      <c r="CD65" s="367">
        <v>1.6736563014334978</v>
      </c>
      <c r="CE65" s="40">
        <v>6.4947010535380398</v>
      </c>
      <c r="CF65" s="40">
        <v>0.41629653997981081</v>
      </c>
      <c r="CG65" s="40">
        <v>-4.4249548481095436E-3</v>
      </c>
      <c r="CH65" s="40">
        <v>0.41187158513170125</v>
      </c>
      <c r="CI65" s="40">
        <v>2.0814569445256014E-2</v>
      </c>
      <c r="CJ65" s="40">
        <v>-2.2124774240547693E-4</v>
      </c>
      <c r="CK65" s="40">
        <v>2.0593321702850536E-2</v>
      </c>
      <c r="CL65" s="40"/>
      <c r="CM65" s="40">
        <v>-3.7445670344366432E-2</v>
      </c>
      <c r="CN65" s="40" t="s">
        <v>494</v>
      </c>
      <c r="CO65" s="40">
        <v>0</v>
      </c>
      <c r="CP65" s="40">
        <v>0</v>
      </c>
      <c r="CQ65" s="40">
        <v>-0.24968311127407702</v>
      </c>
      <c r="CR65" s="40">
        <v>0</v>
      </c>
      <c r="CS65" s="40">
        <v>0</v>
      </c>
      <c r="CT65" s="40">
        <v>-0.24968311127407702</v>
      </c>
      <c r="CU65" s="40">
        <v>0</v>
      </c>
      <c r="CV65" s="40">
        <v>9999</v>
      </c>
      <c r="CW65" s="368">
        <v>0</v>
      </c>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c r="DW65" s="19"/>
      <c r="DX65" s="19"/>
      <c r="DY65" s="19"/>
      <c r="DZ65" s="19"/>
      <c r="EA65" s="19"/>
    </row>
    <row r="66" spans="1:131">
      <c r="A66" s="19" t="s">
        <v>524</v>
      </c>
      <c r="B66" s="19" t="s">
        <v>524</v>
      </c>
      <c r="C66" s="40">
        <v>30</v>
      </c>
      <c r="D66" s="40">
        <v>6.4607154797726496</v>
      </c>
      <c r="E66" s="40">
        <v>0.8946840521564694</v>
      </c>
      <c r="F66" s="40">
        <v>35</v>
      </c>
      <c r="G66" s="40">
        <v>0</v>
      </c>
      <c r="H66" s="40">
        <v>0</v>
      </c>
      <c r="I66" s="40" t="s">
        <v>491</v>
      </c>
      <c r="J66" s="40"/>
      <c r="K66" s="40"/>
      <c r="L66" s="40">
        <v>6.9396479279573011</v>
      </c>
      <c r="M66" s="40">
        <v>1.0146089834325981E-3</v>
      </c>
      <c r="N66" s="40">
        <v>1.0072859907850646E-3</v>
      </c>
      <c r="O66" s="40">
        <v>0.90363088931174651</v>
      </c>
      <c r="P66" s="40">
        <v>0</v>
      </c>
      <c r="Q66" s="40">
        <v>0</v>
      </c>
      <c r="R66" s="40">
        <v>5.4853723698314072</v>
      </c>
      <c r="S66" s="40">
        <v>12.675861226252655</v>
      </c>
      <c r="T66" s="40">
        <v>0</v>
      </c>
      <c r="U66" s="40">
        <v>11.255841888323335</v>
      </c>
      <c r="V66" s="40" t="s">
        <v>697</v>
      </c>
      <c r="W66" s="40" t="s">
        <v>697</v>
      </c>
      <c r="X66" s="40" t="s">
        <v>697</v>
      </c>
      <c r="Y66" s="40" t="s">
        <v>697</v>
      </c>
      <c r="Z66" s="40">
        <v>0</v>
      </c>
      <c r="AA66" s="40">
        <v>0</v>
      </c>
      <c r="AB66" s="40">
        <v>0</v>
      </c>
      <c r="AC66" s="40">
        <v>0</v>
      </c>
      <c r="AD66" s="40">
        <v>0</v>
      </c>
      <c r="AE66" s="40">
        <v>0</v>
      </c>
      <c r="AF66" s="40">
        <v>0</v>
      </c>
      <c r="AG66" s="40">
        <v>0</v>
      </c>
      <c r="AH66" s="40">
        <v>5.4853723698314072</v>
      </c>
      <c r="AI66" s="40">
        <v>12.675861226252655</v>
      </c>
      <c r="AJ66" s="40">
        <v>0</v>
      </c>
      <c r="AK66" s="40">
        <v>11.255841888323335</v>
      </c>
      <c r="AL66" s="40">
        <v>29.417075484407398</v>
      </c>
      <c r="AM66" s="40">
        <v>3.5726192254484341</v>
      </c>
      <c r="AN66" s="40">
        <v>0.35851054713200781</v>
      </c>
      <c r="AO66" s="40">
        <v>0</v>
      </c>
      <c r="AP66" s="40">
        <v>0</v>
      </c>
      <c r="AQ66" s="40">
        <v>3.9311297725804417</v>
      </c>
      <c r="AR66" s="40">
        <v>5.4853723698314072</v>
      </c>
      <c r="AS66" s="368">
        <v>0.71665686621403701</v>
      </c>
      <c r="AT66" s="40">
        <v>3.5726192254484341</v>
      </c>
      <c r="AU66" s="40">
        <v>0.42436970546197728</v>
      </c>
      <c r="AV66" s="40">
        <v>0</v>
      </c>
      <c r="AW66" s="40">
        <v>0</v>
      </c>
      <c r="AX66" s="40">
        <v>3.9969889309104114</v>
      </c>
      <c r="AY66" s="40">
        <v>12.675861226252655</v>
      </c>
      <c r="AZ66" s="368">
        <v>0.31532286915798263</v>
      </c>
      <c r="BA66" s="40">
        <v>3.5726192254484341</v>
      </c>
      <c r="BB66" s="40">
        <v>0.78288025259398508</v>
      </c>
      <c r="BC66" s="40">
        <v>0</v>
      </c>
      <c r="BD66" s="40">
        <v>0</v>
      </c>
      <c r="BE66" s="40">
        <v>4.355499478042419</v>
      </c>
      <c r="BF66" s="40">
        <v>18.161233596084063</v>
      </c>
      <c r="BG66" s="40">
        <v>184.26434166664933</v>
      </c>
      <c r="BH66" s="368">
        <v>0.23982398855227294</v>
      </c>
      <c r="BI66" s="40">
        <v>58.161927574227967</v>
      </c>
      <c r="BJ66" s="40">
        <v>134.40336824479445</v>
      </c>
      <c r="BK66" s="40">
        <v>0</v>
      </c>
      <c r="BL66" s="40">
        <v>119.3467674676285</v>
      </c>
      <c r="BM66" s="40">
        <v>311.91206328665095</v>
      </c>
      <c r="BN66" s="40">
        <v>3.5726192254484341</v>
      </c>
      <c r="BO66" s="40">
        <v>5.9656429086556235</v>
      </c>
      <c r="BP66" s="40">
        <v>0.78288025259398508</v>
      </c>
      <c r="BQ66" s="40">
        <v>0</v>
      </c>
      <c r="BR66" s="40">
        <v>0</v>
      </c>
      <c r="BS66" s="40">
        <v>0</v>
      </c>
      <c r="BT66" s="40">
        <v>0</v>
      </c>
      <c r="BU66" s="40">
        <v>0</v>
      </c>
      <c r="BV66" s="40">
        <v>0</v>
      </c>
      <c r="BW66" s="40">
        <v>0</v>
      </c>
      <c r="BX66" s="40">
        <v>29.417075484407398</v>
      </c>
      <c r="BY66" s="40"/>
      <c r="BZ66" s="40">
        <v>0</v>
      </c>
      <c r="CA66" s="40">
        <v>0</v>
      </c>
      <c r="CB66" s="40">
        <v>10.321142386698043</v>
      </c>
      <c r="CC66" s="40">
        <v>29.417075484407398</v>
      </c>
      <c r="CD66" s="368">
        <v>0.35085548841076308</v>
      </c>
      <c r="CE66" s="40">
        <v>240.35682712869738</v>
      </c>
      <c r="CF66" s="40">
        <v>6.5927287135131796E-2</v>
      </c>
      <c r="CG66" s="40">
        <v>0.10572481404947438</v>
      </c>
      <c r="CH66" s="40">
        <v>0.17165210118460617</v>
      </c>
      <c r="CI66" s="40">
        <v>3.2963327657797186E-3</v>
      </c>
      <c r="CJ66" s="40">
        <v>5.2862407024737174E-3</v>
      </c>
      <c r="CK66" s="40">
        <v>8.5825734682534356E-3</v>
      </c>
      <c r="CL66" s="40"/>
      <c r="CM66" s="40">
        <v>0.8946840521564694</v>
      </c>
      <c r="CN66" s="40" t="s">
        <v>494</v>
      </c>
      <c r="CO66" s="40">
        <v>0</v>
      </c>
      <c r="CP66" s="40">
        <v>0</v>
      </c>
      <c r="CQ66" s="40">
        <v>5.9656429086556235</v>
      </c>
      <c r="CR66" s="40">
        <v>0</v>
      </c>
      <c r="CS66" s="40">
        <v>0</v>
      </c>
      <c r="CT66" s="40">
        <v>5.9656429086556235</v>
      </c>
      <c r="CU66" s="40">
        <v>0</v>
      </c>
      <c r="CV66" s="40">
        <v>0</v>
      </c>
      <c r="CW66" s="367">
        <v>9999</v>
      </c>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row>
    <row r="67" spans="1:131">
      <c r="A67" s="19" t="s">
        <v>515</v>
      </c>
      <c r="B67" s="19" t="s">
        <v>515</v>
      </c>
      <c r="C67" s="40">
        <v>30</v>
      </c>
      <c r="D67" s="40">
        <v>8.4302908726178529</v>
      </c>
      <c r="E67" s="40">
        <v>1.6506185222333669</v>
      </c>
      <c r="F67" s="40">
        <v>35</v>
      </c>
      <c r="G67" s="40">
        <v>0</v>
      </c>
      <c r="H67" s="40">
        <v>0</v>
      </c>
      <c r="I67" s="40" t="s">
        <v>491</v>
      </c>
      <c r="J67" s="40"/>
      <c r="K67" s="40"/>
      <c r="L67" s="40">
        <v>9.0552278256801593</v>
      </c>
      <c r="M67" s="40">
        <v>1.3239166589346391E-3</v>
      </c>
      <c r="N67" s="40">
        <v>1.3143612221923724E-3</v>
      </c>
      <c r="O67" s="40">
        <v>1.6671247012451769</v>
      </c>
      <c r="P67" s="40">
        <v>0</v>
      </c>
      <c r="Q67" s="40">
        <v>0</v>
      </c>
      <c r="R67" s="40">
        <v>5.4853723698314072</v>
      </c>
      <c r="S67" s="40">
        <v>12.675861226252655</v>
      </c>
      <c r="T67" s="40">
        <v>0</v>
      </c>
      <c r="U67" s="40">
        <v>11.255841888323335</v>
      </c>
      <c r="V67" s="40" t="s">
        <v>697</v>
      </c>
      <c r="W67" s="40" t="s">
        <v>697</v>
      </c>
      <c r="X67" s="40" t="s">
        <v>697</v>
      </c>
      <c r="Y67" s="40" t="s">
        <v>697</v>
      </c>
      <c r="Z67" s="40">
        <v>0</v>
      </c>
      <c r="AA67" s="40">
        <v>0</v>
      </c>
      <c r="AB67" s="40">
        <v>0</v>
      </c>
      <c r="AC67" s="40">
        <v>0</v>
      </c>
      <c r="AD67" s="40">
        <v>0</v>
      </c>
      <c r="AE67" s="40">
        <v>0</v>
      </c>
      <c r="AF67" s="40">
        <v>0</v>
      </c>
      <c r="AG67" s="40">
        <v>0</v>
      </c>
      <c r="AH67" s="40">
        <v>5.4853723698314072</v>
      </c>
      <c r="AI67" s="40">
        <v>12.675861226252655</v>
      </c>
      <c r="AJ67" s="40">
        <v>0</v>
      </c>
      <c r="AK67" s="40">
        <v>11.255841888323335</v>
      </c>
      <c r="AL67" s="40">
        <v>29.417075484407398</v>
      </c>
      <c r="AM67" s="40">
        <v>4.6617467278866807</v>
      </c>
      <c r="AN67" s="40">
        <v>0.46780394565998645</v>
      </c>
      <c r="AO67" s="40">
        <v>0</v>
      </c>
      <c r="AP67" s="40">
        <v>0</v>
      </c>
      <c r="AQ67" s="40">
        <v>5.1295506735466674</v>
      </c>
      <c r="AR67" s="40">
        <v>5.4853723698314072</v>
      </c>
      <c r="AS67" s="368">
        <v>0.93513262686746712</v>
      </c>
      <c r="AT67" s="40">
        <v>4.6617467278866807</v>
      </c>
      <c r="AU67" s="40">
        <v>0.55374053628771247</v>
      </c>
      <c r="AV67" s="40">
        <v>0</v>
      </c>
      <c r="AW67" s="40">
        <v>0</v>
      </c>
      <c r="AX67" s="40">
        <v>5.215487264174393</v>
      </c>
      <c r="AY67" s="40">
        <v>12.675861226252655</v>
      </c>
      <c r="AZ67" s="368">
        <v>0.4114503283905262</v>
      </c>
      <c r="BA67" s="40">
        <v>4.6617467278866807</v>
      </c>
      <c r="BB67" s="40">
        <v>1.0215444819476989</v>
      </c>
      <c r="BC67" s="40">
        <v>0</v>
      </c>
      <c r="BD67" s="40">
        <v>0</v>
      </c>
      <c r="BE67" s="40">
        <v>5.6832912098343797</v>
      </c>
      <c r="BF67" s="40">
        <v>18.161233596084063</v>
      </c>
      <c r="BG67" s="40">
        <v>139.27516230238749</v>
      </c>
      <c r="BH67" s="368">
        <v>0.31293530694191468</v>
      </c>
      <c r="BI67" s="40">
        <v>44.573511340249091</v>
      </c>
      <c r="BJ67" s="40">
        <v>103.00260511451148</v>
      </c>
      <c r="BK67" s="40">
        <v>0</v>
      </c>
      <c r="BL67" s="40">
        <v>91.463689650781376</v>
      </c>
      <c r="BM67" s="40">
        <v>239.03980610554197</v>
      </c>
      <c r="BN67" s="40">
        <v>4.6617467278866807</v>
      </c>
      <c r="BO67" s="40">
        <v>11.006120717501059</v>
      </c>
      <c r="BP67" s="40">
        <v>1.0215444819476989</v>
      </c>
      <c r="BQ67" s="40">
        <v>0</v>
      </c>
      <c r="BR67" s="40">
        <v>0</v>
      </c>
      <c r="BS67" s="40">
        <v>0</v>
      </c>
      <c r="BT67" s="40">
        <v>0</v>
      </c>
      <c r="BU67" s="40">
        <v>0</v>
      </c>
      <c r="BV67" s="40">
        <v>0</v>
      </c>
      <c r="BW67" s="40">
        <v>0</v>
      </c>
      <c r="BX67" s="40">
        <v>29.417075484407398</v>
      </c>
      <c r="BY67" s="40"/>
      <c r="BZ67" s="40">
        <v>0</v>
      </c>
      <c r="CA67" s="40">
        <v>0</v>
      </c>
      <c r="CB67" s="40">
        <v>16.689411927335438</v>
      </c>
      <c r="CC67" s="40">
        <v>29.417075484407398</v>
      </c>
      <c r="CD67" s="368">
        <v>0.56733756338836971</v>
      </c>
      <c r="CE67" s="40">
        <v>141.30436810448859</v>
      </c>
      <c r="CF67" s="40">
        <v>8.6025488776254849E-2</v>
      </c>
      <c r="CG67" s="40">
        <v>0.19505359004568604</v>
      </c>
      <c r="CH67" s="40">
        <v>0.28107907882194089</v>
      </c>
      <c r="CI67" s="40">
        <v>4.3012332171980744E-3</v>
      </c>
      <c r="CJ67" s="40">
        <v>9.7526795022842873E-3</v>
      </c>
      <c r="CK67" s="40">
        <v>1.4053912719482361E-2</v>
      </c>
      <c r="CL67" s="40"/>
      <c r="CM67" s="40">
        <v>1.6506185222333669</v>
      </c>
      <c r="CN67" s="40" t="s">
        <v>494</v>
      </c>
      <c r="CO67" s="40">
        <v>0</v>
      </c>
      <c r="CP67" s="40">
        <v>0</v>
      </c>
      <c r="CQ67" s="40">
        <v>11.006120717501059</v>
      </c>
      <c r="CR67" s="40">
        <v>0</v>
      </c>
      <c r="CS67" s="40">
        <v>0</v>
      </c>
      <c r="CT67" s="40">
        <v>11.006120717501059</v>
      </c>
      <c r="CU67" s="40">
        <v>0</v>
      </c>
      <c r="CV67" s="40">
        <v>0</v>
      </c>
      <c r="CW67" s="367">
        <v>9999</v>
      </c>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row>
    <row r="68" spans="1:131">
      <c r="A68" s="19" t="s">
        <v>521</v>
      </c>
      <c r="B68" s="19" t="s">
        <v>521</v>
      </c>
      <c r="C68" s="40">
        <v>30</v>
      </c>
      <c r="D68" s="40">
        <v>6.892343697759947</v>
      </c>
      <c r="E68" s="40">
        <v>1.3704446673353394</v>
      </c>
      <c r="F68" s="40">
        <v>35</v>
      </c>
      <c r="G68" s="40">
        <v>0</v>
      </c>
      <c r="H68" s="40">
        <v>0</v>
      </c>
      <c r="I68" s="40" t="s">
        <v>491</v>
      </c>
      <c r="J68" s="40"/>
      <c r="K68" s="40"/>
      <c r="L68" s="40">
        <v>7.4032727196667265</v>
      </c>
      <c r="M68" s="40">
        <v>1.0823930963290735E-3</v>
      </c>
      <c r="N68" s="40">
        <v>1.0745808683520033E-3</v>
      </c>
      <c r="O68" s="40">
        <v>1.3841491088523352</v>
      </c>
      <c r="P68" s="40">
        <v>0</v>
      </c>
      <c r="Q68" s="40">
        <v>0</v>
      </c>
      <c r="R68" s="40">
        <v>5.4853723698314072</v>
      </c>
      <c r="S68" s="40">
        <v>12.675861226252655</v>
      </c>
      <c r="T68" s="40">
        <v>0</v>
      </c>
      <c r="U68" s="40">
        <v>11.255841888323335</v>
      </c>
      <c r="V68" s="40" t="s">
        <v>697</v>
      </c>
      <c r="W68" s="40" t="s">
        <v>697</v>
      </c>
      <c r="X68" s="40" t="s">
        <v>697</v>
      </c>
      <c r="Y68" s="40" t="s">
        <v>697</v>
      </c>
      <c r="Z68" s="40">
        <v>0</v>
      </c>
      <c r="AA68" s="40">
        <v>0</v>
      </c>
      <c r="AB68" s="40">
        <v>0</v>
      </c>
      <c r="AC68" s="40">
        <v>0</v>
      </c>
      <c r="AD68" s="40">
        <v>0</v>
      </c>
      <c r="AE68" s="40">
        <v>0</v>
      </c>
      <c r="AF68" s="40">
        <v>0</v>
      </c>
      <c r="AG68" s="40">
        <v>0</v>
      </c>
      <c r="AH68" s="40">
        <v>5.4853723698314072</v>
      </c>
      <c r="AI68" s="40">
        <v>12.675861226252655</v>
      </c>
      <c r="AJ68" s="40">
        <v>0</v>
      </c>
      <c r="AK68" s="40">
        <v>11.255841888323335</v>
      </c>
      <c r="AL68" s="40">
        <v>29.417075484407398</v>
      </c>
      <c r="AM68" s="40">
        <v>3.8112991788770132</v>
      </c>
      <c r="AN68" s="40">
        <v>0.382461960728956</v>
      </c>
      <c r="AO68" s="40">
        <v>0</v>
      </c>
      <c r="AP68" s="40">
        <v>0</v>
      </c>
      <c r="AQ68" s="40">
        <v>4.1937611396059689</v>
      </c>
      <c r="AR68" s="40">
        <v>5.4853723698314072</v>
      </c>
      <c r="AS68" s="368">
        <v>0.76453536001875189</v>
      </c>
      <c r="AT68" s="40">
        <v>3.8112991788770132</v>
      </c>
      <c r="AU68" s="40">
        <v>0.45272104523383699</v>
      </c>
      <c r="AV68" s="40">
        <v>0</v>
      </c>
      <c r="AW68" s="40">
        <v>0</v>
      </c>
      <c r="AX68" s="40">
        <v>4.2640202241108502</v>
      </c>
      <c r="AY68" s="40">
        <v>12.675861226252655</v>
      </c>
      <c r="AZ68" s="368">
        <v>0.33638899543012873</v>
      </c>
      <c r="BA68" s="40">
        <v>3.8112991788770132</v>
      </c>
      <c r="BB68" s="40">
        <v>0.83518300596279293</v>
      </c>
      <c r="BC68" s="40">
        <v>0</v>
      </c>
      <c r="BD68" s="40">
        <v>0</v>
      </c>
      <c r="BE68" s="40">
        <v>4.6464821848398064</v>
      </c>
      <c r="BF68" s="40">
        <v>18.161233596084063</v>
      </c>
      <c r="BG68" s="40">
        <v>172.20507429326298</v>
      </c>
      <c r="BH68" s="368">
        <v>0.25584617698225542</v>
      </c>
      <c r="BI68" s="40">
        <v>54.519577416656837</v>
      </c>
      <c r="BJ68" s="40">
        <v>125.98645102897923</v>
      </c>
      <c r="BK68" s="40">
        <v>0</v>
      </c>
      <c r="BL68" s="40">
        <v>111.87275937639835</v>
      </c>
      <c r="BM68" s="40">
        <v>292.37878782203444</v>
      </c>
      <c r="BN68" s="40">
        <v>3.8112991788770132</v>
      </c>
      <c r="BO68" s="40">
        <v>9.1379560099325126</v>
      </c>
      <c r="BP68" s="40">
        <v>0.83518300596279293</v>
      </c>
      <c r="BQ68" s="40">
        <v>0</v>
      </c>
      <c r="BR68" s="40">
        <v>0</v>
      </c>
      <c r="BS68" s="40">
        <v>0</v>
      </c>
      <c r="BT68" s="40">
        <v>0</v>
      </c>
      <c r="BU68" s="40">
        <v>0</v>
      </c>
      <c r="BV68" s="40">
        <v>0</v>
      </c>
      <c r="BW68" s="40">
        <v>0</v>
      </c>
      <c r="BX68" s="40">
        <v>29.417075484407398</v>
      </c>
      <c r="BY68" s="40"/>
      <c r="BZ68" s="40">
        <v>0</v>
      </c>
      <c r="CA68" s="40">
        <v>0</v>
      </c>
      <c r="CB68" s="40">
        <v>13.784438194772317</v>
      </c>
      <c r="CC68" s="40">
        <v>29.417075484407398</v>
      </c>
      <c r="CD68" s="368">
        <v>0.46858628765047688</v>
      </c>
      <c r="CE68" s="40">
        <v>193.25492019645401</v>
      </c>
      <c r="CF68" s="40">
        <v>7.0331764867043151E-2</v>
      </c>
      <c r="CG68" s="40">
        <v>0.1619454457357232</v>
      </c>
      <c r="CH68" s="40">
        <v>0.23227721060276635</v>
      </c>
      <c r="CI68" s="40">
        <v>3.5165545418416938E-3</v>
      </c>
      <c r="CJ68" s="40">
        <v>8.0972722867861616E-3</v>
      </c>
      <c r="CK68" s="40">
        <v>1.1613826828627855E-2</v>
      </c>
      <c r="CL68" s="40"/>
      <c r="CM68" s="40">
        <v>1.3704446673353394</v>
      </c>
      <c r="CN68" s="40" t="s">
        <v>494</v>
      </c>
      <c r="CO68" s="40">
        <v>0</v>
      </c>
      <c r="CP68" s="40">
        <v>0</v>
      </c>
      <c r="CQ68" s="40">
        <v>9.1379560099325126</v>
      </c>
      <c r="CR68" s="40">
        <v>0</v>
      </c>
      <c r="CS68" s="40">
        <v>0</v>
      </c>
      <c r="CT68" s="40">
        <v>9.1379560099325126</v>
      </c>
      <c r="CU68" s="40">
        <v>0</v>
      </c>
      <c r="CV68" s="40">
        <v>0</v>
      </c>
      <c r="CW68" s="367">
        <v>9999</v>
      </c>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row>
    <row r="69" spans="1:131">
      <c r="A69" s="19" t="s">
        <v>522</v>
      </c>
      <c r="B69" s="19" t="s">
        <v>522</v>
      </c>
      <c r="C69" s="40">
        <v>30</v>
      </c>
      <c r="D69" s="40">
        <v>9.7257743044429841</v>
      </c>
      <c r="E69" s="40">
        <v>0.70805341790988041</v>
      </c>
      <c r="F69" s="40">
        <v>35</v>
      </c>
      <c r="G69" s="40">
        <v>0</v>
      </c>
      <c r="H69" s="40">
        <v>0</v>
      </c>
      <c r="I69" s="40" t="s">
        <v>491</v>
      </c>
      <c r="J69" s="40"/>
      <c r="K69" s="40"/>
      <c r="L69" s="40">
        <v>10.446745366038499</v>
      </c>
      <c r="M69" s="40">
        <v>1.5273630313887504E-3</v>
      </c>
      <c r="N69" s="40">
        <v>1.5163392099643294E-3</v>
      </c>
      <c r="O69" s="40">
        <v>0.7151339494248975</v>
      </c>
      <c r="P69" s="40">
        <v>0</v>
      </c>
      <c r="Q69" s="40">
        <v>0</v>
      </c>
      <c r="R69" s="40">
        <v>5.4853723698314072</v>
      </c>
      <c r="S69" s="40">
        <v>12.675861226252655</v>
      </c>
      <c r="T69" s="40">
        <v>0</v>
      </c>
      <c r="U69" s="40">
        <v>11.255841888323335</v>
      </c>
      <c r="V69" s="40" t="s">
        <v>697</v>
      </c>
      <c r="W69" s="40" t="s">
        <v>697</v>
      </c>
      <c r="X69" s="40" t="s">
        <v>697</v>
      </c>
      <c r="Y69" s="40" t="s">
        <v>697</v>
      </c>
      <c r="Z69" s="40">
        <v>0</v>
      </c>
      <c r="AA69" s="40">
        <v>0</v>
      </c>
      <c r="AB69" s="40">
        <v>0</v>
      </c>
      <c r="AC69" s="40">
        <v>0</v>
      </c>
      <c r="AD69" s="40">
        <v>0</v>
      </c>
      <c r="AE69" s="40">
        <v>0</v>
      </c>
      <c r="AF69" s="40">
        <v>0</v>
      </c>
      <c r="AG69" s="40">
        <v>0</v>
      </c>
      <c r="AH69" s="40">
        <v>5.4853723698314072</v>
      </c>
      <c r="AI69" s="40">
        <v>12.675861226252655</v>
      </c>
      <c r="AJ69" s="40">
        <v>0</v>
      </c>
      <c r="AK69" s="40">
        <v>11.255841888323335</v>
      </c>
      <c r="AL69" s="40">
        <v>29.417075484407398</v>
      </c>
      <c r="AM69" s="40">
        <v>5.3781176978324421</v>
      </c>
      <c r="AN69" s="40">
        <v>0.53969141313911806</v>
      </c>
      <c r="AO69" s="40">
        <v>0</v>
      </c>
      <c r="AP69" s="40">
        <v>0</v>
      </c>
      <c r="AQ69" s="40">
        <v>5.91780911097156</v>
      </c>
      <c r="AR69" s="40">
        <v>5.4853723698314072</v>
      </c>
      <c r="AS69" s="367">
        <v>1.0788345279016023</v>
      </c>
      <c r="AT69" s="40">
        <v>5.3781176978324421</v>
      </c>
      <c r="AU69" s="40">
        <v>0.63883388610565683</v>
      </c>
      <c r="AV69" s="40">
        <v>0</v>
      </c>
      <c r="AW69" s="40">
        <v>0</v>
      </c>
      <c r="AX69" s="40">
        <v>6.0169515839380985</v>
      </c>
      <c r="AY69" s="40">
        <v>12.675861226252655</v>
      </c>
      <c r="AZ69" s="368">
        <v>0.47467793126959629</v>
      </c>
      <c r="BA69" s="40">
        <v>5.3781176978324421</v>
      </c>
      <c r="BB69" s="40">
        <v>1.1785252992447748</v>
      </c>
      <c r="BC69" s="40">
        <v>0</v>
      </c>
      <c r="BD69" s="40">
        <v>0</v>
      </c>
      <c r="BE69" s="40">
        <v>6.5566429970772164</v>
      </c>
      <c r="BF69" s="40">
        <v>18.161233596084063</v>
      </c>
      <c r="BG69" s="40">
        <v>119.61786738522073</v>
      </c>
      <c r="BH69" s="368">
        <v>0.36102409907281652</v>
      </c>
      <c r="BI69" s="40">
        <v>38.636272449852136</v>
      </c>
      <c r="BJ69" s="40">
        <v>89.282549087741657</v>
      </c>
      <c r="BK69" s="40">
        <v>0</v>
      </c>
      <c r="BL69" s="40">
        <v>79.28062937741538</v>
      </c>
      <c r="BM69" s="40">
        <v>207.19945091500918</v>
      </c>
      <c r="BN69" s="40">
        <v>5.3781176978324421</v>
      </c>
      <c r="BO69" s="40">
        <v>4.7212128586871582</v>
      </c>
      <c r="BP69" s="40">
        <v>1.1785252992447748</v>
      </c>
      <c r="BQ69" s="40">
        <v>0</v>
      </c>
      <c r="BR69" s="40">
        <v>0</v>
      </c>
      <c r="BS69" s="40">
        <v>0</v>
      </c>
      <c r="BT69" s="40">
        <v>0</v>
      </c>
      <c r="BU69" s="40">
        <v>0</v>
      </c>
      <c r="BV69" s="40">
        <v>0</v>
      </c>
      <c r="BW69" s="40">
        <v>0</v>
      </c>
      <c r="BX69" s="40">
        <v>29.417075484407398</v>
      </c>
      <c r="BY69" s="40"/>
      <c r="BZ69" s="40">
        <v>0</v>
      </c>
      <c r="CA69" s="40">
        <v>0</v>
      </c>
      <c r="CB69" s="40">
        <v>11.277855855764376</v>
      </c>
      <c r="CC69" s="40">
        <v>29.417075484407398</v>
      </c>
      <c r="CD69" s="368">
        <v>0.38337787390667827</v>
      </c>
      <c r="CE69" s="40">
        <v>165.64458909627493</v>
      </c>
      <c r="CF69" s="40">
        <v>9.9245032100231362E-2</v>
      </c>
      <c r="CG69" s="40">
        <v>8.3670672082713032E-2</v>
      </c>
      <c r="CH69" s="40">
        <v>0.18291570418294439</v>
      </c>
      <c r="CI69" s="40">
        <v>4.9622040488682866E-3</v>
      </c>
      <c r="CJ69" s="40">
        <v>4.1835336041356518E-3</v>
      </c>
      <c r="CK69" s="40">
        <v>9.1457376530039384E-3</v>
      </c>
      <c r="CL69" s="40"/>
      <c r="CM69" s="40">
        <v>0.70805341790988041</v>
      </c>
      <c r="CN69" s="40" t="s">
        <v>494</v>
      </c>
      <c r="CO69" s="40">
        <v>0</v>
      </c>
      <c r="CP69" s="40">
        <v>0</v>
      </c>
      <c r="CQ69" s="40">
        <v>4.7212128586871582</v>
      </c>
      <c r="CR69" s="40">
        <v>0</v>
      </c>
      <c r="CS69" s="40">
        <v>0</v>
      </c>
      <c r="CT69" s="40">
        <v>4.7212128586871582</v>
      </c>
      <c r="CU69" s="40">
        <v>0</v>
      </c>
      <c r="CV69" s="40">
        <v>0</v>
      </c>
      <c r="CW69" s="367">
        <v>9999</v>
      </c>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row>
    <row r="70" spans="1:131">
      <c r="A70" s="19" t="s">
        <v>517</v>
      </c>
      <c r="B70" s="19" t="s">
        <v>517</v>
      </c>
      <c r="C70" s="40">
        <v>30</v>
      </c>
      <c r="D70" s="40">
        <v>11.06241684000152</v>
      </c>
      <c r="E70" s="40">
        <v>1.1052011317906076</v>
      </c>
      <c r="F70" s="40">
        <v>35</v>
      </c>
      <c r="G70" s="40">
        <v>0</v>
      </c>
      <c r="H70" s="40">
        <v>0</v>
      </c>
      <c r="I70" s="40" t="s">
        <v>491</v>
      </c>
      <c r="J70" s="40"/>
      <c r="K70" s="40"/>
      <c r="L70" s="40">
        <v>11.882473132003328</v>
      </c>
      <c r="M70" s="40">
        <v>1.7372731455954111E-3</v>
      </c>
      <c r="N70" s="40">
        <v>1.7247342870994888E-3</v>
      </c>
      <c r="O70" s="40">
        <v>1.1162531389501464</v>
      </c>
      <c r="P70" s="40">
        <v>0</v>
      </c>
      <c r="Q70" s="40">
        <v>0</v>
      </c>
      <c r="R70" s="40">
        <v>5.4853723698314072</v>
      </c>
      <c r="S70" s="40">
        <v>12.675861226252655</v>
      </c>
      <c r="T70" s="40">
        <v>0</v>
      </c>
      <c r="U70" s="40">
        <v>11.255841888323335</v>
      </c>
      <c r="V70" s="40" t="s">
        <v>697</v>
      </c>
      <c r="W70" s="40" t="s">
        <v>697</v>
      </c>
      <c r="X70" s="40" t="s">
        <v>697</v>
      </c>
      <c r="Y70" s="40" t="s">
        <v>697</v>
      </c>
      <c r="Z70" s="40">
        <v>0</v>
      </c>
      <c r="AA70" s="40">
        <v>0</v>
      </c>
      <c r="AB70" s="40">
        <v>0</v>
      </c>
      <c r="AC70" s="40">
        <v>0</v>
      </c>
      <c r="AD70" s="40">
        <v>0</v>
      </c>
      <c r="AE70" s="40">
        <v>0</v>
      </c>
      <c r="AF70" s="40">
        <v>0</v>
      </c>
      <c r="AG70" s="40">
        <v>0</v>
      </c>
      <c r="AH70" s="40">
        <v>5.4853723698314072</v>
      </c>
      <c r="AI70" s="40">
        <v>12.675861226252655</v>
      </c>
      <c r="AJ70" s="40">
        <v>0</v>
      </c>
      <c r="AK70" s="40">
        <v>11.255841888323335</v>
      </c>
      <c r="AL70" s="40">
        <v>29.417075484407398</v>
      </c>
      <c r="AM70" s="40">
        <v>6.1172486555474634</v>
      </c>
      <c r="AN70" s="40">
        <v>0.61386283397374508</v>
      </c>
      <c r="AO70" s="40">
        <v>0</v>
      </c>
      <c r="AP70" s="40">
        <v>0</v>
      </c>
      <c r="AQ70" s="40">
        <v>6.7311114895212087</v>
      </c>
      <c r="AR70" s="40">
        <v>5.4853723698314072</v>
      </c>
      <c r="AS70" s="367">
        <v>1.2271020152690362</v>
      </c>
      <c r="AT70" s="40">
        <v>6.1172486555474634</v>
      </c>
      <c r="AU70" s="40">
        <v>0.72663075642115449</v>
      </c>
      <c r="AV70" s="40">
        <v>0</v>
      </c>
      <c r="AW70" s="40">
        <v>0</v>
      </c>
      <c r="AX70" s="40">
        <v>6.8438794119686177</v>
      </c>
      <c r="AY70" s="40">
        <v>12.675861226252655</v>
      </c>
      <c r="AZ70" s="368">
        <v>0.53991435294309098</v>
      </c>
      <c r="BA70" s="40">
        <v>6.1172486555474634</v>
      </c>
      <c r="BB70" s="40">
        <v>1.3404935903948996</v>
      </c>
      <c r="BC70" s="40">
        <v>0</v>
      </c>
      <c r="BD70" s="40">
        <v>0</v>
      </c>
      <c r="BE70" s="40">
        <v>7.457742245942363</v>
      </c>
      <c r="BF70" s="40">
        <v>18.161233596084063</v>
      </c>
      <c r="BG70" s="40">
        <v>104.16177488404122</v>
      </c>
      <c r="BH70" s="368">
        <v>0.41064073134054102</v>
      </c>
      <c r="BI70" s="40">
        <v>33.967953951387955</v>
      </c>
      <c r="BJ70" s="40">
        <v>78.494775085026347</v>
      </c>
      <c r="BK70" s="40">
        <v>0</v>
      </c>
      <c r="BL70" s="40">
        <v>69.701360850078785</v>
      </c>
      <c r="BM70" s="40">
        <v>182.16408988649312</v>
      </c>
      <c r="BN70" s="40">
        <v>6.1172486555474634</v>
      </c>
      <c r="BO70" s="40">
        <v>7.3693448302929312</v>
      </c>
      <c r="BP70" s="40">
        <v>1.3404935903948996</v>
      </c>
      <c r="BQ70" s="40">
        <v>0</v>
      </c>
      <c r="BR70" s="40">
        <v>0</v>
      </c>
      <c r="BS70" s="40">
        <v>0</v>
      </c>
      <c r="BT70" s="40">
        <v>0</v>
      </c>
      <c r="BU70" s="40">
        <v>0</v>
      </c>
      <c r="BV70" s="40">
        <v>0</v>
      </c>
      <c r="BW70" s="40">
        <v>0</v>
      </c>
      <c r="BX70" s="40">
        <v>29.417075484407398</v>
      </c>
      <c r="BY70" s="40"/>
      <c r="BZ70" s="40">
        <v>0</v>
      </c>
      <c r="CA70" s="40">
        <v>0</v>
      </c>
      <c r="CB70" s="40">
        <v>14.827087076235294</v>
      </c>
      <c r="CC70" s="40">
        <v>29.417075484407398</v>
      </c>
      <c r="CD70" s="368">
        <v>0.50402994968328629</v>
      </c>
      <c r="CE70" s="40">
        <v>128.22875597459551</v>
      </c>
      <c r="CF70" s="40">
        <v>0.11288457659258538</v>
      </c>
      <c r="CG70" s="40">
        <v>0.13060161725716701</v>
      </c>
      <c r="CH70" s="40">
        <v>0.2434861938497524</v>
      </c>
      <c r="CI70" s="40">
        <v>5.6441747377015796E-3</v>
      </c>
      <c r="CJ70" s="40">
        <v>6.5300808628583583E-3</v>
      </c>
      <c r="CK70" s="40">
        <v>1.2174255600559937E-2</v>
      </c>
      <c r="CL70" s="40"/>
      <c r="CM70" s="40">
        <v>1.1052011317906076</v>
      </c>
      <c r="CN70" s="40" t="s">
        <v>494</v>
      </c>
      <c r="CO70" s="40">
        <v>0</v>
      </c>
      <c r="CP70" s="40">
        <v>0</v>
      </c>
      <c r="CQ70" s="40">
        <v>7.3693448302929312</v>
      </c>
      <c r="CR70" s="40">
        <v>0</v>
      </c>
      <c r="CS70" s="40">
        <v>0</v>
      </c>
      <c r="CT70" s="40">
        <v>7.3693448302929312</v>
      </c>
      <c r="CU70" s="40">
        <v>0</v>
      </c>
      <c r="CV70" s="40">
        <v>0</v>
      </c>
      <c r="CW70" s="367">
        <v>9999</v>
      </c>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row>
    <row r="71" spans="1:131">
      <c r="A71" s="19" t="s">
        <v>519</v>
      </c>
      <c r="B71" s="19" t="s">
        <v>519</v>
      </c>
      <c r="C71" s="40">
        <v>30</v>
      </c>
      <c r="D71" s="40">
        <v>10.277180081788707</v>
      </c>
      <c r="E71" s="40">
        <v>1.0642741931104147</v>
      </c>
      <c r="F71" s="40">
        <v>35</v>
      </c>
      <c r="G71" s="40">
        <v>0</v>
      </c>
      <c r="H71" s="40">
        <v>0</v>
      </c>
      <c r="I71" s="40" t="s">
        <v>491</v>
      </c>
      <c r="J71" s="40"/>
      <c r="K71" s="40"/>
      <c r="L71" s="40">
        <v>11.039026820345102</v>
      </c>
      <c r="M71" s="40">
        <v>1.6139573500773198E-3</v>
      </c>
      <c r="N71" s="40">
        <v>1.6023085296932706E-3</v>
      </c>
      <c r="O71" s="40">
        <v>1.0749169310371411</v>
      </c>
      <c r="P71" s="40">
        <v>0</v>
      </c>
      <c r="Q71" s="40">
        <v>0</v>
      </c>
      <c r="R71" s="40">
        <v>5.4853723698314072</v>
      </c>
      <c r="S71" s="40">
        <v>12.675861226252655</v>
      </c>
      <c r="T71" s="40">
        <v>0</v>
      </c>
      <c r="U71" s="40">
        <v>11.255841888323335</v>
      </c>
      <c r="V71" s="40" t="s">
        <v>697</v>
      </c>
      <c r="W71" s="40" t="s">
        <v>697</v>
      </c>
      <c r="X71" s="40" t="s">
        <v>697</v>
      </c>
      <c r="Y71" s="40" t="s">
        <v>697</v>
      </c>
      <c r="Z71" s="40">
        <v>0</v>
      </c>
      <c r="AA71" s="40">
        <v>0</v>
      </c>
      <c r="AB71" s="40">
        <v>0</v>
      </c>
      <c r="AC71" s="40">
        <v>0</v>
      </c>
      <c r="AD71" s="40">
        <v>0</v>
      </c>
      <c r="AE71" s="40">
        <v>0</v>
      </c>
      <c r="AF71" s="40">
        <v>0</v>
      </c>
      <c r="AG71" s="40">
        <v>0</v>
      </c>
      <c r="AH71" s="40">
        <v>5.4853723698314072</v>
      </c>
      <c r="AI71" s="40">
        <v>12.675861226252655</v>
      </c>
      <c r="AJ71" s="40">
        <v>0</v>
      </c>
      <c r="AK71" s="40">
        <v>11.255841888323335</v>
      </c>
      <c r="AL71" s="40">
        <v>29.417075484407398</v>
      </c>
      <c r="AM71" s="40">
        <v>5.6830317413832319</v>
      </c>
      <c r="AN71" s="40">
        <v>0.57028938445466093</v>
      </c>
      <c r="AO71" s="40">
        <v>0</v>
      </c>
      <c r="AP71" s="40">
        <v>0</v>
      </c>
      <c r="AQ71" s="40">
        <v>6.2533211258378927</v>
      </c>
      <c r="AR71" s="40">
        <v>5.4853723698314072</v>
      </c>
      <c r="AS71" s="367">
        <v>1.1399993845869187</v>
      </c>
      <c r="AT71" s="40">
        <v>5.6830317413832319</v>
      </c>
      <c r="AU71" s="40">
        <v>0.67505277053956358</v>
      </c>
      <c r="AV71" s="40">
        <v>0</v>
      </c>
      <c r="AW71" s="40">
        <v>0</v>
      </c>
      <c r="AX71" s="40">
        <v>6.3580845119227956</v>
      </c>
      <c r="AY71" s="40">
        <v>12.675861226252655</v>
      </c>
      <c r="AZ71" s="368">
        <v>0.50158994315547789</v>
      </c>
      <c r="BA71" s="40">
        <v>5.6830317413832319</v>
      </c>
      <c r="BB71" s="40">
        <v>1.2453421549942245</v>
      </c>
      <c r="BC71" s="40">
        <v>0</v>
      </c>
      <c r="BD71" s="40">
        <v>0</v>
      </c>
      <c r="BE71" s="40">
        <v>6.9283738963774564</v>
      </c>
      <c r="BF71" s="40">
        <v>18.161233596084063</v>
      </c>
      <c r="BG71" s="40">
        <v>112.75458614797986</v>
      </c>
      <c r="BH71" s="368">
        <v>0.38149247184791218</v>
      </c>
      <c r="BI71" s="40">
        <v>36.563304605131449</v>
      </c>
      <c r="BJ71" s="40">
        <v>84.492235695221495</v>
      </c>
      <c r="BK71" s="40">
        <v>0</v>
      </c>
      <c r="BL71" s="40">
        <v>75.026953104117723</v>
      </c>
      <c r="BM71" s="40">
        <v>196.08249340447068</v>
      </c>
      <c r="BN71" s="40">
        <v>5.6830317413832319</v>
      </c>
      <c r="BO71" s="40">
        <v>7.096449051138281</v>
      </c>
      <c r="BP71" s="40">
        <v>1.2453421549942245</v>
      </c>
      <c r="BQ71" s="40">
        <v>0</v>
      </c>
      <c r="BR71" s="40">
        <v>0</v>
      </c>
      <c r="BS71" s="40">
        <v>0</v>
      </c>
      <c r="BT71" s="40">
        <v>0</v>
      </c>
      <c r="BU71" s="40">
        <v>0</v>
      </c>
      <c r="BV71" s="40">
        <v>0</v>
      </c>
      <c r="BW71" s="40">
        <v>0</v>
      </c>
      <c r="BX71" s="40">
        <v>29.417075484407398</v>
      </c>
      <c r="BY71" s="40"/>
      <c r="BZ71" s="40">
        <v>0</v>
      </c>
      <c r="CA71" s="40">
        <v>0</v>
      </c>
      <c r="CB71" s="40">
        <v>14.024822947515737</v>
      </c>
      <c r="CC71" s="40">
        <v>29.417075484407398</v>
      </c>
      <c r="CD71" s="368">
        <v>0.47675789372569116</v>
      </c>
      <c r="CE71" s="40">
        <v>140.47944000016662</v>
      </c>
      <c r="CF71" s="40">
        <v>0.10487175984034892</v>
      </c>
      <c r="CG71" s="40">
        <v>0.12576528093134554</v>
      </c>
      <c r="CH71" s="40">
        <v>0.23063704077169445</v>
      </c>
      <c r="CI71" s="40">
        <v>5.2435377396639225E-3</v>
      </c>
      <c r="CJ71" s="40">
        <v>6.2882640465672743E-3</v>
      </c>
      <c r="CK71" s="40">
        <v>1.1531801786231196E-2</v>
      </c>
      <c r="CL71" s="40"/>
      <c r="CM71" s="40">
        <v>1.0642741931104147</v>
      </c>
      <c r="CN71" s="40" t="s">
        <v>494</v>
      </c>
      <c r="CO71" s="40">
        <v>0</v>
      </c>
      <c r="CP71" s="40">
        <v>0</v>
      </c>
      <c r="CQ71" s="40">
        <v>7.096449051138281</v>
      </c>
      <c r="CR71" s="40">
        <v>0</v>
      </c>
      <c r="CS71" s="40">
        <v>0</v>
      </c>
      <c r="CT71" s="40">
        <v>7.096449051138281</v>
      </c>
      <c r="CU71" s="40">
        <v>0</v>
      </c>
      <c r="CV71" s="40">
        <v>0</v>
      </c>
      <c r="CW71" s="367">
        <v>9999</v>
      </c>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row>
    <row r="72" spans="1:131">
      <c r="A72" s="19" t="s">
        <v>518</v>
      </c>
      <c r="B72" s="19" t="s">
        <v>518</v>
      </c>
      <c r="C72" s="40">
        <v>30</v>
      </c>
      <c r="D72" s="40">
        <v>11.470456727406056</v>
      </c>
      <c r="E72" s="40">
        <v>0</v>
      </c>
      <c r="F72" s="40">
        <v>35</v>
      </c>
      <c r="G72" s="40">
        <v>0</v>
      </c>
      <c r="H72" s="40">
        <v>0</v>
      </c>
      <c r="I72" s="40" t="s">
        <v>489</v>
      </c>
      <c r="J72" s="40"/>
      <c r="K72" s="40"/>
      <c r="L72" s="40">
        <v>12.393859395459479</v>
      </c>
      <c r="M72" s="40">
        <v>9.4566747702901563E-3</v>
      </c>
      <c r="N72" s="40">
        <v>9.3884207325832716E-3</v>
      </c>
      <c r="O72" s="40">
        <v>0</v>
      </c>
      <c r="P72" s="40">
        <v>0</v>
      </c>
      <c r="Q72" s="40">
        <v>0</v>
      </c>
      <c r="R72" s="40">
        <v>5.4853723698314072</v>
      </c>
      <c r="S72" s="40">
        <v>12.675861226252655</v>
      </c>
      <c r="T72" s="40">
        <v>0</v>
      </c>
      <c r="U72" s="40">
        <v>11.255841888323335</v>
      </c>
      <c r="V72" s="40" t="s">
        <v>697</v>
      </c>
      <c r="W72" s="40" t="s">
        <v>697</v>
      </c>
      <c r="X72" s="40" t="s">
        <v>697</v>
      </c>
      <c r="Y72" s="40" t="s">
        <v>697</v>
      </c>
      <c r="Z72" s="40">
        <v>0</v>
      </c>
      <c r="AA72" s="40">
        <v>0</v>
      </c>
      <c r="AB72" s="40">
        <v>0</v>
      </c>
      <c r="AC72" s="40">
        <v>0</v>
      </c>
      <c r="AD72" s="40">
        <v>0</v>
      </c>
      <c r="AE72" s="40">
        <v>0</v>
      </c>
      <c r="AF72" s="40">
        <v>0</v>
      </c>
      <c r="AG72" s="40">
        <v>0</v>
      </c>
      <c r="AH72" s="40">
        <v>5.4853723698314072</v>
      </c>
      <c r="AI72" s="40">
        <v>12.675861226252655</v>
      </c>
      <c r="AJ72" s="40">
        <v>0</v>
      </c>
      <c r="AK72" s="40">
        <v>11.255841888323335</v>
      </c>
      <c r="AL72" s="40">
        <v>29.417075484407398</v>
      </c>
      <c r="AM72" s="40">
        <v>6.7464537306755847</v>
      </c>
      <c r="AN72" s="40">
        <v>3.3415017029281033</v>
      </c>
      <c r="AO72" s="40">
        <v>0</v>
      </c>
      <c r="AP72" s="40">
        <v>0</v>
      </c>
      <c r="AQ72" s="40">
        <v>10.087955433603689</v>
      </c>
      <c r="AR72" s="40">
        <v>5.4853723698314072</v>
      </c>
      <c r="AS72" s="367">
        <v>1.8390648352490502</v>
      </c>
      <c r="AT72" s="40">
        <v>6.7464537306755847</v>
      </c>
      <c r="AU72" s="40">
        <v>3.9553427502096845</v>
      </c>
      <c r="AV72" s="40">
        <v>0</v>
      </c>
      <c r="AW72" s="40">
        <v>0</v>
      </c>
      <c r="AX72" s="40">
        <v>10.701796480885269</v>
      </c>
      <c r="AY72" s="40">
        <v>12.675861226252655</v>
      </c>
      <c r="AZ72" s="368">
        <v>0.84426582855932897</v>
      </c>
      <c r="BA72" s="40">
        <v>6.7464537306755847</v>
      </c>
      <c r="BB72" s="40">
        <v>7.2968444531377878</v>
      </c>
      <c r="BC72" s="40">
        <v>0</v>
      </c>
      <c r="BD72" s="40">
        <v>0</v>
      </c>
      <c r="BE72" s="40">
        <v>14.043298183813373</v>
      </c>
      <c r="BF72" s="40">
        <v>18.161233596084063</v>
      </c>
      <c r="BG72" s="40">
        <v>64.50135860684432</v>
      </c>
      <c r="BH72" s="368">
        <v>0.7732568445593585</v>
      </c>
      <c r="BI72" s="40">
        <v>32.566393348335232</v>
      </c>
      <c r="BJ72" s="40">
        <v>75.255981707535852</v>
      </c>
      <c r="BK72" s="40">
        <v>0</v>
      </c>
      <c r="BL72" s="40">
        <v>66.825394829680903</v>
      </c>
      <c r="BM72" s="40">
        <v>174.64776988555201</v>
      </c>
      <c r="BN72" s="40">
        <v>6.7464537306755847</v>
      </c>
      <c r="BO72" s="40">
        <v>0</v>
      </c>
      <c r="BP72" s="40">
        <v>7.2968444531377878</v>
      </c>
      <c r="BQ72" s="40">
        <v>0</v>
      </c>
      <c r="BR72" s="40">
        <v>0</v>
      </c>
      <c r="BS72" s="40">
        <v>0</v>
      </c>
      <c r="BT72" s="40">
        <v>0</v>
      </c>
      <c r="BU72" s="40">
        <v>0</v>
      </c>
      <c r="BV72" s="40">
        <v>0</v>
      </c>
      <c r="BW72" s="40">
        <v>0</v>
      </c>
      <c r="BX72" s="40">
        <v>29.417075484407398</v>
      </c>
      <c r="BY72" s="40"/>
      <c r="BZ72" s="40">
        <v>0</v>
      </c>
      <c r="CA72" s="40">
        <v>0</v>
      </c>
      <c r="CB72" s="40">
        <v>14.043298183813373</v>
      </c>
      <c r="CC72" s="40">
        <v>29.417075484407398</v>
      </c>
      <c r="CD72" s="368">
        <v>0.47738593835600901</v>
      </c>
      <c r="CE72" s="40">
        <v>131.32675343652522</v>
      </c>
      <c r="CF72" s="40">
        <v>0.11774312115970495</v>
      </c>
      <c r="CG72" s="40">
        <v>0</v>
      </c>
      <c r="CH72" s="40">
        <v>0.11774312115970495</v>
      </c>
      <c r="CI72" s="40">
        <v>5.887083212843253E-3</v>
      </c>
      <c r="CJ72" s="40">
        <v>0</v>
      </c>
      <c r="CK72" s="40">
        <v>5.887083212843253E-3</v>
      </c>
      <c r="CL72" s="40"/>
      <c r="CM72" s="40">
        <v>0</v>
      </c>
      <c r="CN72" s="40" t="s">
        <v>494</v>
      </c>
      <c r="CO72" s="40">
        <v>0</v>
      </c>
      <c r="CP72" s="40">
        <v>0</v>
      </c>
      <c r="CQ72" s="40">
        <v>0</v>
      </c>
      <c r="CR72" s="40">
        <v>0</v>
      </c>
      <c r="CS72" s="40">
        <v>0</v>
      </c>
      <c r="CT72" s="40">
        <v>0</v>
      </c>
      <c r="CU72" s="40">
        <v>0</v>
      </c>
      <c r="CV72" s="40">
        <v>9999</v>
      </c>
      <c r="CW72" s="367">
        <v>9999</v>
      </c>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row>
    <row r="73" spans="1:131">
      <c r="A73" s="19" t="s">
        <v>513</v>
      </c>
      <c r="B73" s="19" t="s">
        <v>513</v>
      </c>
      <c r="C73" s="40">
        <v>30</v>
      </c>
      <c r="D73" s="40">
        <v>17.927651136873493</v>
      </c>
      <c r="E73" s="40">
        <v>0</v>
      </c>
      <c r="F73" s="40">
        <v>35</v>
      </c>
      <c r="G73" s="40">
        <v>0</v>
      </c>
      <c r="H73" s="40">
        <v>0</v>
      </c>
      <c r="I73" s="40" t="s">
        <v>489</v>
      </c>
      <c r="J73" s="40"/>
      <c r="K73" s="40"/>
      <c r="L73" s="40">
        <v>19.370875350619656</v>
      </c>
      <c r="M73" s="40">
        <v>1.4780228043715768E-2</v>
      </c>
      <c r="N73" s="40">
        <v>1.4673550985794577E-2</v>
      </c>
      <c r="O73" s="40">
        <v>0</v>
      </c>
      <c r="P73" s="40">
        <v>0</v>
      </c>
      <c r="Q73" s="40">
        <v>0</v>
      </c>
      <c r="R73" s="40">
        <v>5.4853723698314072</v>
      </c>
      <c r="S73" s="40">
        <v>12.675861226252655</v>
      </c>
      <c r="T73" s="40">
        <v>0</v>
      </c>
      <c r="U73" s="40">
        <v>11.255841888323335</v>
      </c>
      <c r="V73" s="40" t="s">
        <v>697</v>
      </c>
      <c r="W73" s="40" t="s">
        <v>697</v>
      </c>
      <c r="X73" s="40" t="s">
        <v>697</v>
      </c>
      <c r="Y73" s="40" t="s">
        <v>697</v>
      </c>
      <c r="Z73" s="40">
        <v>0</v>
      </c>
      <c r="AA73" s="40">
        <v>0</v>
      </c>
      <c r="AB73" s="40">
        <v>0</v>
      </c>
      <c r="AC73" s="40">
        <v>0</v>
      </c>
      <c r="AD73" s="40">
        <v>0</v>
      </c>
      <c r="AE73" s="40">
        <v>0</v>
      </c>
      <c r="AF73" s="40">
        <v>0</v>
      </c>
      <c r="AG73" s="40">
        <v>0</v>
      </c>
      <c r="AH73" s="40">
        <v>5.4853723698314072</v>
      </c>
      <c r="AI73" s="40">
        <v>12.675861226252655</v>
      </c>
      <c r="AJ73" s="40">
        <v>0</v>
      </c>
      <c r="AK73" s="40">
        <v>11.255841888323335</v>
      </c>
      <c r="AL73" s="40">
        <v>29.417075484407398</v>
      </c>
      <c r="AM73" s="40">
        <v>10.54431150990113</v>
      </c>
      <c r="AN73" s="40">
        <v>5.2225711867456548</v>
      </c>
      <c r="AO73" s="40">
        <v>0</v>
      </c>
      <c r="AP73" s="40">
        <v>0</v>
      </c>
      <c r="AQ73" s="40">
        <v>15.766882696646785</v>
      </c>
      <c r="AR73" s="40">
        <v>5.4853723698314072</v>
      </c>
      <c r="AS73" s="367">
        <v>2.8743504786223619</v>
      </c>
      <c r="AT73" s="40">
        <v>10.54431150990113</v>
      </c>
      <c r="AU73" s="40">
        <v>6.1819687426305885</v>
      </c>
      <c r="AV73" s="40">
        <v>0</v>
      </c>
      <c r="AW73" s="40">
        <v>0</v>
      </c>
      <c r="AX73" s="40">
        <v>16.726280252531719</v>
      </c>
      <c r="AY73" s="40">
        <v>12.675861226252655</v>
      </c>
      <c r="AZ73" s="367">
        <v>1.3195379748943878</v>
      </c>
      <c r="BA73" s="40">
        <v>10.54431150990113</v>
      </c>
      <c r="BB73" s="40">
        <v>11.404539929376243</v>
      </c>
      <c r="BC73" s="40">
        <v>0</v>
      </c>
      <c r="BD73" s="40">
        <v>0</v>
      </c>
      <c r="BE73" s="40">
        <v>21.948851439277373</v>
      </c>
      <c r="BF73" s="40">
        <v>18.161233596084063</v>
      </c>
      <c r="BG73" s="40">
        <v>25.665817234987191</v>
      </c>
      <c r="BH73" s="367">
        <v>1.2085550974912849</v>
      </c>
      <c r="BI73" s="40">
        <v>20.83660613528145</v>
      </c>
      <c r="BJ73" s="40">
        <v>48.150227548732502</v>
      </c>
      <c r="BK73" s="40">
        <v>0</v>
      </c>
      <c r="BL73" s="40">
        <v>42.756175576682743</v>
      </c>
      <c r="BM73" s="40">
        <v>111.74300926069671</v>
      </c>
      <c r="BN73" s="40">
        <v>10.54431150990113</v>
      </c>
      <c r="BO73" s="40">
        <v>0</v>
      </c>
      <c r="BP73" s="40">
        <v>11.404539929376243</v>
      </c>
      <c r="BQ73" s="40">
        <v>0</v>
      </c>
      <c r="BR73" s="40">
        <v>0</v>
      </c>
      <c r="BS73" s="40">
        <v>0</v>
      </c>
      <c r="BT73" s="40">
        <v>0</v>
      </c>
      <c r="BU73" s="40">
        <v>0</v>
      </c>
      <c r="BV73" s="40">
        <v>0</v>
      </c>
      <c r="BW73" s="40">
        <v>0</v>
      </c>
      <c r="BX73" s="40">
        <v>29.417075484407398</v>
      </c>
      <c r="BY73" s="40"/>
      <c r="BZ73" s="40">
        <v>0</v>
      </c>
      <c r="CA73" s="40">
        <v>0</v>
      </c>
      <c r="CB73" s="40">
        <v>21.948851439277373</v>
      </c>
      <c r="CC73" s="40">
        <v>29.417075484407398</v>
      </c>
      <c r="CD73" s="368">
        <v>0.74612622355717928</v>
      </c>
      <c r="CE73" s="40">
        <v>68.421992811669952</v>
      </c>
      <c r="CF73" s="40">
        <v>0.18402559288458042</v>
      </c>
      <c r="CG73" s="40">
        <v>0</v>
      </c>
      <c r="CH73" s="40">
        <v>0.18402559288458042</v>
      </c>
      <c r="CI73" s="40">
        <v>9.2011657915443378E-3</v>
      </c>
      <c r="CJ73" s="40">
        <v>0</v>
      </c>
      <c r="CK73" s="40">
        <v>9.2011657915443378E-3</v>
      </c>
      <c r="CL73" s="40"/>
      <c r="CM73" s="40">
        <v>0</v>
      </c>
      <c r="CN73" s="40" t="s">
        <v>494</v>
      </c>
      <c r="CO73" s="40">
        <v>0</v>
      </c>
      <c r="CP73" s="40">
        <v>0</v>
      </c>
      <c r="CQ73" s="40">
        <v>0</v>
      </c>
      <c r="CR73" s="40">
        <v>0</v>
      </c>
      <c r="CS73" s="40">
        <v>0</v>
      </c>
      <c r="CT73" s="40">
        <v>0</v>
      </c>
      <c r="CU73" s="40">
        <v>0</v>
      </c>
      <c r="CV73" s="40">
        <v>9999</v>
      </c>
      <c r="CW73" s="367">
        <v>9999</v>
      </c>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c r="DW73" s="19"/>
      <c r="DX73" s="19"/>
      <c r="DY73" s="19"/>
      <c r="DZ73" s="19"/>
      <c r="EA73" s="19"/>
    </row>
    <row r="74" spans="1:131">
      <c r="A74" s="19" t="s">
        <v>514</v>
      </c>
      <c r="B74" s="19" t="s">
        <v>514</v>
      </c>
      <c r="C74" s="40">
        <v>30</v>
      </c>
      <c r="D74" s="40">
        <v>16.119234461764105</v>
      </c>
      <c r="E74" s="40">
        <v>0</v>
      </c>
      <c r="F74" s="40">
        <v>35</v>
      </c>
      <c r="G74" s="40">
        <v>0</v>
      </c>
      <c r="H74" s="40">
        <v>0</v>
      </c>
      <c r="I74" s="40" t="s">
        <v>489</v>
      </c>
      <c r="J74" s="40"/>
      <c r="K74" s="40"/>
      <c r="L74" s="40">
        <v>17.416876261275753</v>
      </c>
      <c r="M74" s="40">
        <v>1.3289301505035007E-2</v>
      </c>
      <c r="N74" s="40">
        <v>1.3193385286273581E-2</v>
      </c>
      <c r="O74" s="40">
        <v>0</v>
      </c>
      <c r="P74" s="40">
        <v>0</v>
      </c>
      <c r="Q74" s="40">
        <v>0</v>
      </c>
      <c r="R74" s="40">
        <v>5.4853723698314072</v>
      </c>
      <c r="S74" s="40">
        <v>12.675861226252655</v>
      </c>
      <c r="T74" s="40">
        <v>0</v>
      </c>
      <c r="U74" s="40">
        <v>11.255841888323335</v>
      </c>
      <c r="V74" s="40" t="s">
        <v>697</v>
      </c>
      <c r="W74" s="40" t="s">
        <v>697</v>
      </c>
      <c r="X74" s="40" t="s">
        <v>697</v>
      </c>
      <c r="Y74" s="40" t="s">
        <v>697</v>
      </c>
      <c r="Z74" s="40">
        <v>0</v>
      </c>
      <c r="AA74" s="40">
        <v>0</v>
      </c>
      <c r="AB74" s="40">
        <v>0</v>
      </c>
      <c r="AC74" s="40">
        <v>0</v>
      </c>
      <c r="AD74" s="40">
        <v>0</v>
      </c>
      <c r="AE74" s="40">
        <v>0</v>
      </c>
      <c r="AF74" s="40">
        <v>0</v>
      </c>
      <c r="AG74" s="40">
        <v>0</v>
      </c>
      <c r="AH74" s="40">
        <v>5.4853723698314072</v>
      </c>
      <c r="AI74" s="40">
        <v>12.675861226252655</v>
      </c>
      <c r="AJ74" s="40">
        <v>0</v>
      </c>
      <c r="AK74" s="40">
        <v>11.255841888323335</v>
      </c>
      <c r="AL74" s="40">
        <v>29.417075484407398</v>
      </c>
      <c r="AM74" s="40">
        <v>9.4806747503240327</v>
      </c>
      <c r="AN74" s="40">
        <v>4.6957545531024953</v>
      </c>
      <c r="AO74" s="40">
        <v>0</v>
      </c>
      <c r="AP74" s="40">
        <v>0</v>
      </c>
      <c r="AQ74" s="40">
        <v>14.176429303426527</v>
      </c>
      <c r="AR74" s="40">
        <v>5.4853723698314072</v>
      </c>
      <c r="AS74" s="367">
        <v>2.5844060070369004</v>
      </c>
      <c r="AT74" s="40">
        <v>9.4806747503240327</v>
      </c>
      <c r="AU74" s="40">
        <v>5.5583747606959379</v>
      </c>
      <c r="AV74" s="40">
        <v>0</v>
      </c>
      <c r="AW74" s="40">
        <v>0</v>
      </c>
      <c r="AX74" s="40">
        <v>15.039049511019972</v>
      </c>
      <c r="AY74" s="40">
        <v>12.675861226252655</v>
      </c>
      <c r="AZ74" s="367">
        <v>1.1864321676126413</v>
      </c>
      <c r="BA74" s="40">
        <v>9.4806747503240327</v>
      </c>
      <c r="BB74" s="40">
        <v>10.254129313798433</v>
      </c>
      <c r="BC74" s="40">
        <v>0</v>
      </c>
      <c r="BD74" s="40">
        <v>0</v>
      </c>
      <c r="BE74" s="40">
        <v>19.734804064122468</v>
      </c>
      <c r="BF74" s="40">
        <v>18.161233596084063</v>
      </c>
      <c r="BG74" s="40">
        <v>33.405449082461125</v>
      </c>
      <c r="BH74" s="367">
        <v>1.0866444704713065</v>
      </c>
      <c r="BI74" s="40">
        <v>23.174264668452611</v>
      </c>
      <c r="BJ74" s="40">
        <v>53.552200863035267</v>
      </c>
      <c r="BK74" s="40">
        <v>0</v>
      </c>
      <c r="BL74" s="40">
        <v>47.552990280271075</v>
      </c>
      <c r="BM74" s="40">
        <v>124.27945581175896</v>
      </c>
      <c r="BN74" s="40">
        <v>9.4806747503240327</v>
      </c>
      <c r="BO74" s="40">
        <v>0</v>
      </c>
      <c r="BP74" s="40">
        <v>10.254129313798433</v>
      </c>
      <c r="BQ74" s="40">
        <v>0</v>
      </c>
      <c r="BR74" s="40">
        <v>0</v>
      </c>
      <c r="BS74" s="40">
        <v>0</v>
      </c>
      <c r="BT74" s="40">
        <v>0</v>
      </c>
      <c r="BU74" s="40">
        <v>0</v>
      </c>
      <c r="BV74" s="40">
        <v>0</v>
      </c>
      <c r="BW74" s="40">
        <v>0</v>
      </c>
      <c r="BX74" s="40">
        <v>29.417075484407398</v>
      </c>
      <c r="BY74" s="40"/>
      <c r="BZ74" s="40">
        <v>0</v>
      </c>
      <c r="CA74" s="40">
        <v>0</v>
      </c>
      <c r="CB74" s="40">
        <v>19.734804064122464</v>
      </c>
      <c r="CC74" s="40">
        <v>29.417075484407398</v>
      </c>
      <c r="CD74" s="368">
        <v>0.67086220296041843</v>
      </c>
      <c r="CE74" s="40">
        <v>80.958439362732221</v>
      </c>
      <c r="CF74" s="40">
        <v>0.16546237184248425</v>
      </c>
      <c r="CG74" s="40">
        <v>0</v>
      </c>
      <c r="CH74" s="40">
        <v>0.16546237184248425</v>
      </c>
      <c r="CI74" s="40">
        <v>8.2730162241059814E-3</v>
      </c>
      <c r="CJ74" s="40">
        <v>0</v>
      </c>
      <c r="CK74" s="40">
        <v>8.2730162241059814E-3</v>
      </c>
      <c r="CL74" s="40"/>
      <c r="CM74" s="40">
        <v>0</v>
      </c>
      <c r="CN74" s="40" t="s">
        <v>494</v>
      </c>
      <c r="CO74" s="40">
        <v>0</v>
      </c>
      <c r="CP74" s="40">
        <v>0</v>
      </c>
      <c r="CQ74" s="40">
        <v>0</v>
      </c>
      <c r="CR74" s="40">
        <v>0</v>
      </c>
      <c r="CS74" s="40">
        <v>0</v>
      </c>
      <c r="CT74" s="40">
        <v>0</v>
      </c>
      <c r="CU74" s="40">
        <v>0</v>
      </c>
      <c r="CV74" s="40">
        <v>9999</v>
      </c>
      <c r="CW74" s="367">
        <v>9999</v>
      </c>
      <c r="CX74" s="19"/>
      <c r="CY74" s="19"/>
      <c r="CZ74" s="19"/>
      <c r="DA74" s="19"/>
      <c r="DB74" s="19"/>
      <c r="DC74" s="19"/>
      <c r="DD74" s="19"/>
      <c r="DE74" s="19"/>
      <c r="DF74" s="19"/>
      <c r="DG74" s="19"/>
      <c r="DH74" s="19"/>
      <c r="DI74" s="19"/>
      <c r="DJ74" s="19"/>
      <c r="DK74" s="19"/>
      <c r="DL74" s="19"/>
      <c r="DM74" s="19"/>
      <c r="DN74" s="19"/>
      <c r="DO74" s="19"/>
      <c r="DP74" s="19"/>
      <c r="DQ74" s="19"/>
      <c r="DR74" s="19"/>
      <c r="DS74" s="19"/>
      <c r="DT74" s="19"/>
      <c r="DU74" s="19"/>
      <c r="DV74" s="19"/>
      <c r="DW74" s="19"/>
      <c r="DX74" s="19"/>
      <c r="DY74" s="19"/>
      <c r="DZ74" s="19"/>
      <c r="EA74" s="19"/>
    </row>
    <row r="75" spans="1:131">
      <c r="A75" s="19" t="s">
        <v>512</v>
      </c>
      <c r="B75" s="19" t="s">
        <v>512</v>
      </c>
      <c r="C75" s="40">
        <v>30</v>
      </c>
      <c r="D75" s="40">
        <v>26.327261242540999</v>
      </c>
      <c r="E75" s="40">
        <v>0</v>
      </c>
      <c r="F75" s="40">
        <v>35</v>
      </c>
      <c r="G75" s="40">
        <v>0</v>
      </c>
      <c r="H75" s="40">
        <v>0</v>
      </c>
      <c r="I75" s="40" t="s">
        <v>489</v>
      </c>
      <c r="J75" s="40"/>
      <c r="K75" s="40"/>
      <c r="L75" s="40">
        <v>28.446676698406591</v>
      </c>
      <c r="M75" s="40">
        <v>2.1705181674965209E-2</v>
      </c>
      <c r="N75" s="40">
        <v>2.154852340718464E-2</v>
      </c>
      <c r="O75" s="40">
        <v>0</v>
      </c>
      <c r="P75" s="40">
        <v>0</v>
      </c>
      <c r="Q75" s="40">
        <v>0</v>
      </c>
      <c r="R75" s="40">
        <v>5.4853723698314072</v>
      </c>
      <c r="S75" s="40">
        <v>12.675861226252655</v>
      </c>
      <c r="T75" s="40">
        <v>0</v>
      </c>
      <c r="U75" s="40">
        <v>11.255841888323335</v>
      </c>
      <c r="V75" s="40" t="s">
        <v>697</v>
      </c>
      <c r="W75" s="40" t="s">
        <v>697</v>
      </c>
      <c r="X75" s="40" t="s">
        <v>697</v>
      </c>
      <c r="Y75" s="40" t="s">
        <v>697</v>
      </c>
      <c r="Z75" s="40">
        <v>0</v>
      </c>
      <c r="AA75" s="40">
        <v>0</v>
      </c>
      <c r="AB75" s="40">
        <v>0</v>
      </c>
      <c r="AC75" s="40">
        <v>0</v>
      </c>
      <c r="AD75" s="40">
        <v>0</v>
      </c>
      <c r="AE75" s="40">
        <v>0</v>
      </c>
      <c r="AF75" s="40">
        <v>0</v>
      </c>
      <c r="AG75" s="40">
        <v>0</v>
      </c>
      <c r="AH75" s="40">
        <v>5.4853723698314072</v>
      </c>
      <c r="AI75" s="40">
        <v>12.675861226252655</v>
      </c>
      <c r="AJ75" s="40">
        <v>0</v>
      </c>
      <c r="AK75" s="40">
        <v>11.255841888323335</v>
      </c>
      <c r="AL75" s="40">
        <v>29.417075484407398</v>
      </c>
      <c r="AM75" s="40">
        <v>15.4846187949813</v>
      </c>
      <c r="AN75" s="40">
        <v>7.6694930608293257</v>
      </c>
      <c r="AO75" s="40">
        <v>0</v>
      </c>
      <c r="AP75" s="40">
        <v>0</v>
      </c>
      <c r="AQ75" s="40">
        <v>23.154111855810626</v>
      </c>
      <c r="AR75" s="40">
        <v>5.4853723698314072</v>
      </c>
      <c r="AS75" s="367">
        <v>4.2210647326613975</v>
      </c>
      <c r="AT75" s="40">
        <v>15.4846187949813</v>
      </c>
      <c r="AU75" s="40">
        <v>9.0783954260302426</v>
      </c>
      <c r="AV75" s="40">
        <v>0</v>
      </c>
      <c r="AW75" s="40">
        <v>0</v>
      </c>
      <c r="AX75" s="40">
        <v>24.563014221011542</v>
      </c>
      <c r="AY75" s="40">
        <v>12.675861226252655</v>
      </c>
      <c r="AZ75" s="367">
        <v>1.9377787262406838</v>
      </c>
      <c r="BA75" s="40">
        <v>15.4846187949813</v>
      </c>
      <c r="BB75" s="40">
        <v>16.747888486859569</v>
      </c>
      <c r="BC75" s="40">
        <v>0</v>
      </c>
      <c r="BD75" s="40">
        <v>0</v>
      </c>
      <c r="BE75" s="40">
        <v>32.232507281840867</v>
      </c>
      <c r="BF75" s="40">
        <v>18.161233596084063</v>
      </c>
      <c r="BG75" s="40">
        <v>3.6558367804338543</v>
      </c>
      <c r="BH75" s="367">
        <v>1.7747972411296367</v>
      </c>
      <c r="BI75" s="40">
        <v>14.188768145247076</v>
      </c>
      <c r="BJ75" s="40">
        <v>32.788085084213535</v>
      </c>
      <c r="BK75" s="40">
        <v>0</v>
      </c>
      <c r="BL75" s="40">
        <v>29.114984373957537</v>
      </c>
      <c r="BM75" s="40">
        <v>76.091837603418156</v>
      </c>
      <c r="BN75" s="40">
        <v>15.4846187949813</v>
      </c>
      <c r="BO75" s="40">
        <v>0</v>
      </c>
      <c r="BP75" s="40">
        <v>16.747888486859569</v>
      </c>
      <c r="BQ75" s="40">
        <v>0</v>
      </c>
      <c r="BR75" s="40">
        <v>0</v>
      </c>
      <c r="BS75" s="40">
        <v>0</v>
      </c>
      <c r="BT75" s="40">
        <v>0</v>
      </c>
      <c r="BU75" s="40">
        <v>0</v>
      </c>
      <c r="BV75" s="40">
        <v>0</v>
      </c>
      <c r="BW75" s="40">
        <v>0</v>
      </c>
      <c r="BX75" s="40">
        <v>29.417075484407398</v>
      </c>
      <c r="BY75" s="40"/>
      <c r="BZ75" s="40">
        <v>0</v>
      </c>
      <c r="CA75" s="40">
        <v>0</v>
      </c>
      <c r="CB75" s="40">
        <v>32.232507281840867</v>
      </c>
      <c r="CC75" s="40">
        <v>29.417075484407398</v>
      </c>
      <c r="CD75" s="367">
        <v>1.0957073995654598</v>
      </c>
      <c r="CE75" s="40">
        <v>32.770821154391392</v>
      </c>
      <c r="CF75" s="40">
        <v>0.2702467725524228</v>
      </c>
      <c r="CG75" s="40">
        <v>0</v>
      </c>
      <c r="CH75" s="40">
        <v>0.2702467725524228</v>
      </c>
      <c r="CI75" s="40">
        <v>1.3512171431743131E-2</v>
      </c>
      <c r="CJ75" s="40">
        <v>0</v>
      </c>
      <c r="CK75" s="40">
        <v>1.3512171431743131E-2</v>
      </c>
      <c r="CL75" s="40"/>
      <c r="CM75" s="40">
        <v>0</v>
      </c>
      <c r="CN75" s="40" t="s">
        <v>494</v>
      </c>
      <c r="CO75" s="40">
        <v>0</v>
      </c>
      <c r="CP75" s="40">
        <v>0</v>
      </c>
      <c r="CQ75" s="40">
        <v>0</v>
      </c>
      <c r="CR75" s="40">
        <v>0</v>
      </c>
      <c r="CS75" s="40">
        <v>0</v>
      </c>
      <c r="CT75" s="40">
        <v>0</v>
      </c>
      <c r="CU75" s="40">
        <v>0</v>
      </c>
      <c r="CV75" s="40">
        <v>9999</v>
      </c>
      <c r="CW75" s="367">
        <v>9999</v>
      </c>
      <c r="CX75" s="19"/>
      <c r="CY75" s="19"/>
      <c r="CZ75" s="19"/>
      <c r="DA75" s="19"/>
      <c r="DB75" s="19"/>
      <c r="DC75" s="19"/>
      <c r="DD75" s="19"/>
      <c r="DE75" s="19"/>
      <c r="DF75" s="19"/>
      <c r="DG75" s="19"/>
      <c r="DH75" s="19"/>
      <c r="DI75" s="19"/>
      <c r="DJ75" s="19"/>
      <c r="DK75" s="19"/>
      <c r="DL75" s="19"/>
      <c r="DM75" s="19"/>
      <c r="DN75" s="19"/>
      <c r="DO75" s="19"/>
      <c r="DP75" s="19"/>
      <c r="DQ75" s="19"/>
      <c r="DR75" s="19"/>
      <c r="DS75" s="19"/>
      <c r="DT75" s="19"/>
      <c r="DU75" s="19"/>
      <c r="DV75" s="19"/>
      <c r="DW75" s="19"/>
      <c r="DX75" s="19"/>
      <c r="DY75" s="19"/>
      <c r="DZ75" s="19"/>
      <c r="EA75" s="19"/>
    </row>
    <row r="76" spans="1:131">
      <c r="A76" s="19" t="s">
        <v>509</v>
      </c>
      <c r="B76" s="19" t="s">
        <v>509</v>
      </c>
      <c r="C76" s="40">
        <v>30</v>
      </c>
      <c r="D76" s="40">
        <v>36.975690738960665</v>
      </c>
      <c r="E76" s="40">
        <v>0</v>
      </c>
      <c r="F76" s="40">
        <v>35</v>
      </c>
      <c r="G76" s="40">
        <v>0</v>
      </c>
      <c r="H76" s="40">
        <v>0</v>
      </c>
      <c r="I76" s="40" t="s">
        <v>489</v>
      </c>
      <c r="J76" s="40"/>
      <c r="K76" s="40"/>
      <c r="L76" s="40">
        <v>39.952333456237696</v>
      </c>
      <c r="M76" s="40">
        <v>3.0484146362692817E-2</v>
      </c>
      <c r="N76" s="40">
        <v>3.0264125464666568E-2</v>
      </c>
      <c r="O76" s="40">
        <v>0</v>
      </c>
      <c r="P76" s="40">
        <v>0</v>
      </c>
      <c r="Q76" s="40">
        <v>0</v>
      </c>
      <c r="R76" s="40">
        <v>5.4853723698314072</v>
      </c>
      <c r="S76" s="40">
        <v>12.675861226252655</v>
      </c>
      <c r="T76" s="40">
        <v>0</v>
      </c>
      <c r="U76" s="40">
        <v>11.255841888323335</v>
      </c>
      <c r="V76" s="40" t="s">
        <v>697</v>
      </c>
      <c r="W76" s="40" t="s">
        <v>697</v>
      </c>
      <c r="X76" s="40" t="s">
        <v>697</v>
      </c>
      <c r="Y76" s="40" t="s">
        <v>697</v>
      </c>
      <c r="Z76" s="40">
        <v>0</v>
      </c>
      <c r="AA76" s="40">
        <v>0</v>
      </c>
      <c r="AB76" s="40">
        <v>0</v>
      </c>
      <c r="AC76" s="40">
        <v>0</v>
      </c>
      <c r="AD76" s="40">
        <v>0</v>
      </c>
      <c r="AE76" s="40">
        <v>0</v>
      </c>
      <c r="AF76" s="40">
        <v>0</v>
      </c>
      <c r="AG76" s="40">
        <v>0</v>
      </c>
      <c r="AH76" s="40">
        <v>5.4853723698314072</v>
      </c>
      <c r="AI76" s="40">
        <v>12.675861226252655</v>
      </c>
      <c r="AJ76" s="40">
        <v>0</v>
      </c>
      <c r="AK76" s="40">
        <v>11.255841888323335</v>
      </c>
      <c r="AL76" s="40">
        <v>29.417075484407398</v>
      </c>
      <c r="AM76" s="40">
        <v>21.747589713158707</v>
      </c>
      <c r="AN76" s="40">
        <v>10.771526932835632</v>
      </c>
      <c r="AO76" s="40">
        <v>0</v>
      </c>
      <c r="AP76" s="40">
        <v>0</v>
      </c>
      <c r="AQ76" s="40">
        <v>32.519116645994337</v>
      </c>
      <c r="AR76" s="40">
        <v>5.4853723698314072</v>
      </c>
      <c r="AS76" s="367">
        <v>5.9283334755619901</v>
      </c>
      <c r="AT76" s="40">
        <v>21.747589713158707</v>
      </c>
      <c r="AU76" s="40">
        <v>12.750279589905825</v>
      </c>
      <c r="AV76" s="40">
        <v>0</v>
      </c>
      <c r="AW76" s="40">
        <v>0</v>
      </c>
      <c r="AX76" s="40">
        <v>34.497869303064533</v>
      </c>
      <c r="AY76" s="40">
        <v>12.675861226252655</v>
      </c>
      <c r="AZ76" s="367">
        <v>2.7215404687152041</v>
      </c>
      <c r="BA76" s="40">
        <v>21.747589713158707</v>
      </c>
      <c r="BB76" s="40">
        <v>23.521806522741457</v>
      </c>
      <c r="BC76" s="40">
        <v>0</v>
      </c>
      <c r="BD76" s="40">
        <v>0</v>
      </c>
      <c r="BE76" s="40">
        <v>45.269396235900167</v>
      </c>
      <c r="BF76" s="40">
        <v>18.161233596084063</v>
      </c>
      <c r="BG76" s="40">
        <v>-9.8727734924361084</v>
      </c>
      <c r="BH76" s="367">
        <v>2.4926388395588495</v>
      </c>
      <c r="BI76" s="40">
        <v>10.102621430575706</v>
      </c>
      <c r="BJ76" s="40">
        <v>23.345621526014948</v>
      </c>
      <c r="BK76" s="40">
        <v>0</v>
      </c>
      <c r="BL76" s="40">
        <v>20.730317253492498</v>
      </c>
      <c r="BM76" s="40">
        <v>54.178560210083155</v>
      </c>
      <c r="BN76" s="40">
        <v>21.747589713158707</v>
      </c>
      <c r="BO76" s="40">
        <v>0</v>
      </c>
      <c r="BP76" s="40">
        <v>23.521806522741457</v>
      </c>
      <c r="BQ76" s="40">
        <v>0</v>
      </c>
      <c r="BR76" s="40">
        <v>0</v>
      </c>
      <c r="BS76" s="40">
        <v>0</v>
      </c>
      <c r="BT76" s="40">
        <v>0</v>
      </c>
      <c r="BU76" s="40">
        <v>0</v>
      </c>
      <c r="BV76" s="40">
        <v>0</v>
      </c>
      <c r="BW76" s="40">
        <v>0</v>
      </c>
      <c r="BX76" s="40">
        <v>29.417075484407398</v>
      </c>
      <c r="BY76" s="40"/>
      <c r="BZ76" s="40">
        <v>0</v>
      </c>
      <c r="CA76" s="40">
        <v>0</v>
      </c>
      <c r="CB76" s="40">
        <v>45.26939623590016</v>
      </c>
      <c r="CC76" s="40">
        <v>29.417075484407398</v>
      </c>
      <c r="CD76" s="367">
        <v>1.5388816016022846</v>
      </c>
      <c r="CE76" s="40">
        <v>10.857543761056402</v>
      </c>
      <c r="CF76" s="40">
        <v>0.37955186424610377</v>
      </c>
      <c r="CG76" s="40">
        <v>0</v>
      </c>
      <c r="CH76" s="40">
        <v>0.37955186424610377</v>
      </c>
      <c r="CI76" s="40">
        <v>1.8977358391712901E-2</v>
      </c>
      <c r="CJ76" s="40">
        <v>0</v>
      </c>
      <c r="CK76" s="40">
        <v>1.8977358391712901E-2</v>
      </c>
      <c r="CL76" s="40"/>
      <c r="CM76" s="40">
        <v>0</v>
      </c>
      <c r="CN76" s="40" t="s">
        <v>494</v>
      </c>
      <c r="CO76" s="40">
        <v>0</v>
      </c>
      <c r="CP76" s="40">
        <v>0</v>
      </c>
      <c r="CQ76" s="40">
        <v>0</v>
      </c>
      <c r="CR76" s="40">
        <v>0</v>
      </c>
      <c r="CS76" s="40">
        <v>0</v>
      </c>
      <c r="CT76" s="40">
        <v>0</v>
      </c>
      <c r="CU76" s="40">
        <v>0</v>
      </c>
      <c r="CV76" s="40">
        <v>9999</v>
      </c>
      <c r="CW76" s="367">
        <v>9999</v>
      </c>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row>
    <row r="77" spans="1:131">
      <c r="A77" s="19" t="s">
        <v>510</v>
      </c>
      <c r="B77" s="19" t="s">
        <v>510</v>
      </c>
      <c r="C77" s="40">
        <v>30</v>
      </c>
      <c r="D77" s="40">
        <v>35.230854011692927</v>
      </c>
      <c r="E77" s="40">
        <v>0</v>
      </c>
      <c r="F77" s="40">
        <v>35</v>
      </c>
      <c r="G77" s="40">
        <v>0</v>
      </c>
      <c r="H77" s="40">
        <v>0</v>
      </c>
      <c r="I77" s="40" t="s">
        <v>489</v>
      </c>
      <c r="J77" s="40"/>
      <c r="K77" s="40"/>
      <c r="L77" s="40">
        <v>38.067032671821558</v>
      </c>
      <c r="M77" s="40">
        <v>2.9045637517826631E-2</v>
      </c>
      <c r="N77" s="40">
        <v>2.8835999131552572E-2</v>
      </c>
      <c r="O77" s="40">
        <v>0</v>
      </c>
      <c r="P77" s="40">
        <v>0</v>
      </c>
      <c r="Q77" s="40">
        <v>0</v>
      </c>
      <c r="R77" s="40">
        <v>5.4853723698314072</v>
      </c>
      <c r="S77" s="40">
        <v>12.675861226252655</v>
      </c>
      <c r="T77" s="40">
        <v>0</v>
      </c>
      <c r="U77" s="40">
        <v>11.255841888323335</v>
      </c>
      <c r="V77" s="40" t="s">
        <v>697</v>
      </c>
      <c r="W77" s="40" t="s">
        <v>697</v>
      </c>
      <c r="X77" s="40" t="s">
        <v>697</v>
      </c>
      <c r="Y77" s="40" t="s">
        <v>697</v>
      </c>
      <c r="Z77" s="40">
        <v>0</v>
      </c>
      <c r="AA77" s="40">
        <v>0</v>
      </c>
      <c r="AB77" s="40">
        <v>0</v>
      </c>
      <c r="AC77" s="40">
        <v>0</v>
      </c>
      <c r="AD77" s="40">
        <v>0</v>
      </c>
      <c r="AE77" s="40">
        <v>0</v>
      </c>
      <c r="AF77" s="40">
        <v>0</v>
      </c>
      <c r="AG77" s="40">
        <v>0</v>
      </c>
      <c r="AH77" s="40">
        <v>5.4853723698314072</v>
      </c>
      <c r="AI77" s="40">
        <v>12.675861226252655</v>
      </c>
      <c r="AJ77" s="40">
        <v>0</v>
      </c>
      <c r="AK77" s="40">
        <v>11.255841888323335</v>
      </c>
      <c r="AL77" s="40">
        <v>29.417075484407398</v>
      </c>
      <c r="AM77" s="40">
        <v>20.721348079730969</v>
      </c>
      <c r="AN77" s="40">
        <v>10.263232011887425</v>
      </c>
      <c r="AO77" s="40">
        <v>0</v>
      </c>
      <c r="AP77" s="40">
        <v>0</v>
      </c>
      <c r="AQ77" s="40">
        <v>30.984580091618394</v>
      </c>
      <c r="AR77" s="40">
        <v>5.4853723698314072</v>
      </c>
      <c r="AS77" s="367">
        <v>5.6485828130881668</v>
      </c>
      <c r="AT77" s="40">
        <v>20.721348079730969</v>
      </c>
      <c r="AU77" s="40">
        <v>12.148609799111128</v>
      </c>
      <c r="AV77" s="40">
        <v>0</v>
      </c>
      <c r="AW77" s="40">
        <v>0</v>
      </c>
      <c r="AX77" s="40">
        <v>32.869957878842101</v>
      </c>
      <c r="AY77" s="40">
        <v>12.675861226252655</v>
      </c>
      <c r="AZ77" s="367">
        <v>2.5931143684948177</v>
      </c>
      <c r="BA77" s="40">
        <v>20.721348079730969</v>
      </c>
      <c r="BB77" s="40">
        <v>22.411841810998553</v>
      </c>
      <c r="BC77" s="40">
        <v>0</v>
      </c>
      <c r="BD77" s="40">
        <v>0</v>
      </c>
      <c r="BE77" s="40">
        <v>43.133189890729525</v>
      </c>
      <c r="BF77" s="40">
        <v>18.161233596084063</v>
      </c>
      <c r="BG77" s="40">
        <v>-8.2162220289415231</v>
      </c>
      <c r="BH77" s="367">
        <v>2.3750143217160056</v>
      </c>
      <c r="BI77" s="40">
        <v>10.602961981727265</v>
      </c>
      <c r="BJ77" s="40">
        <v>24.501832438357962</v>
      </c>
      <c r="BK77" s="40">
        <v>0</v>
      </c>
      <c r="BL77" s="40">
        <v>21.757003092552793</v>
      </c>
      <c r="BM77" s="40">
        <v>56.861797512638027</v>
      </c>
      <c r="BN77" s="40">
        <v>20.721348079730969</v>
      </c>
      <c r="BO77" s="40">
        <v>0</v>
      </c>
      <c r="BP77" s="40">
        <v>22.411841810998553</v>
      </c>
      <c r="BQ77" s="40">
        <v>0</v>
      </c>
      <c r="BR77" s="40">
        <v>0</v>
      </c>
      <c r="BS77" s="40">
        <v>0</v>
      </c>
      <c r="BT77" s="40">
        <v>0</v>
      </c>
      <c r="BU77" s="40">
        <v>0</v>
      </c>
      <c r="BV77" s="40">
        <v>0</v>
      </c>
      <c r="BW77" s="40">
        <v>0</v>
      </c>
      <c r="BX77" s="40">
        <v>29.417075484407398</v>
      </c>
      <c r="BY77" s="40"/>
      <c r="BZ77" s="40">
        <v>0</v>
      </c>
      <c r="CA77" s="40">
        <v>0</v>
      </c>
      <c r="CB77" s="40">
        <v>43.133189890729525</v>
      </c>
      <c r="CC77" s="40">
        <v>29.417075484407398</v>
      </c>
      <c r="CD77" s="367">
        <v>1.466263698224944</v>
      </c>
      <c r="CE77" s="40">
        <v>13.54078106361127</v>
      </c>
      <c r="CF77" s="40">
        <v>0.36164128517633365</v>
      </c>
      <c r="CG77" s="40">
        <v>0</v>
      </c>
      <c r="CH77" s="40">
        <v>0.36164128517633365</v>
      </c>
      <c r="CI77" s="40">
        <v>1.8081840519115239E-2</v>
      </c>
      <c r="CJ77" s="40">
        <v>0</v>
      </c>
      <c r="CK77" s="40">
        <v>1.8081840519115239E-2</v>
      </c>
      <c r="CL77" s="40"/>
      <c r="CM77" s="40">
        <v>0</v>
      </c>
      <c r="CN77" s="40" t="s">
        <v>494</v>
      </c>
      <c r="CO77" s="40">
        <v>0</v>
      </c>
      <c r="CP77" s="40">
        <v>0</v>
      </c>
      <c r="CQ77" s="40">
        <v>0</v>
      </c>
      <c r="CR77" s="40">
        <v>0</v>
      </c>
      <c r="CS77" s="40">
        <v>0</v>
      </c>
      <c r="CT77" s="40">
        <v>0</v>
      </c>
      <c r="CU77" s="40">
        <v>0</v>
      </c>
      <c r="CV77" s="40">
        <v>9999</v>
      </c>
      <c r="CW77" s="367">
        <v>9999</v>
      </c>
      <c r="CX77" s="19"/>
      <c r="CY77" s="19"/>
      <c r="CZ77" s="19"/>
      <c r="DA77" s="19"/>
      <c r="DB77" s="19"/>
      <c r="DC77" s="19"/>
      <c r="DD77" s="19"/>
      <c r="DE77" s="19"/>
      <c r="DF77" s="19"/>
      <c r="DG77" s="19"/>
      <c r="DH77" s="19"/>
      <c r="DI77" s="19"/>
      <c r="DJ77" s="19"/>
      <c r="DK77" s="19"/>
      <c r="DL77" s="19"/>
      <c r="DM77" s="19"/>
      <c r="DN77" s="19"/>
      <c r="DO77" s="19"/>
      <c r="DP77" s="19"/>
      <c r="DQ77" s="19"/>
      <c r="DR77" s="19"/>
      <c r="DS77" s="19"/>
      <c r="DT77" s="19"/>
      <c r="DU77" s="19"/>
      <c r="DV77" s="19"/>
      <c r="DW77" s="19"/>
      <c r="DX77" s="19"/>
      <c r="DY77" s="19"/>
      <c r="DZ77" s="19"/>
      <c r="EA77" s="19"/>
    </row>
    <row r="78" spans="1:131">
      <c r="A78" s="19"/>
      <c r="B78" s="19"/>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19"/>
      <c r="CY78" s="19"/>
      <c r="CZ78" s="19"/>
      <c r="DA78" s="19"/>
      <c r="DB78" s="19"/>
      <c r="DC78" s="19"/>
      <c r="DD78" s="19"/>
      <c r="DE78" s="19"/>
      <c r="DF78" s="19"/>
      <c r="DG78" s="19"/>
      <c r="DH78" s="19"/>
      <c r="DI78" s="19"/>
      <c r="DJ78" s="19"/>
      <c r="DK78" s="19"/>
      <c r="DL78" s="19"/>
      <c r="DM78" s="19"/>
      <c r="DN78" s="19"/>
      <c r="DO78" s="19"/>
      <c r="DP78" s="19"/>
      <c r="DQ78" s="19"/>
      <c r="DR78" s="19"/>
      <c r="DS78" s="19"/>
      <c r="DT78" s="19"/>
      <c r="DU78" s="19"/>
      <c r="DV78" s="19"/>
      <c r="DW78" s="19"/>
      <c r="DX78" s="19"/>
      <c r="DY78" s="19"/>
      <c r="DZ78" s="19"/>
      <c r="EA78" s="19"/>
    </row>
    <row r="79" spans="1:131">
      <c r="A79" s="19"/>
      <c r="B79" s="19"/>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19"/>
      <c r="CY79" s="19"/>
      <c r="CZ79" s="19"/>
      <c r="DA79" s="19"/>
      <c r="DB79" s="19"/>
      <c r="DC79" s="19"/>
      <c r="DD79" s="19"/>
      <c r="DE79" s="19"/>
      <c r="DF79" s="19"/>
      <c r="DG79" s="19"/>
      <c r="DH79" s="19"/>
      <c r="DI79" s="19"/>
      <c r="DJ79" s="19"/>
      <c r="DK79" s="19"/>
      <c r="DL79" s="19"/>
      <c r="DM79" s="19"/>
      <c r="DN79" s="19"/>
      <c r="DO79" s="19"/>
      <c r="DP79" s="19"/>
      <c r="DQ79" s="19"/>
      <c r="DR79" s="19"/>
      <c r="DS79" s="19"/>
      <c r="DT79" s="19"/>
      <c r="DU79" s="19"/>
      <c r="DV79" s="19"/>
      <c r="DW79" s="19"/>
      <c r="DX79" s="19"/>
      <c r="DY79" s="19"/>
      <c r="DZ79" s="19"/>
      <c r="EA79" s="19"/>
    </row>
    <row r="80" spans="1:131" ht="13.5" thickBot="1">
      <c r="A80" s="361" t="s">
        <v>698</v>
      </c>
      <c r="B80" s="362"/>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19"/>
      <c r="CY80" s="19"/>
      <c r="CZ80" s="19"/>
      <c r="DA80" s="19"/>
      <c r="DB80" s="19"/>
      <c r="DC80" s="19"/>
      <c r="DD80" s="19"/>
      <c r="DE80" s="19"/>
      <c r="DF80" s="19"/>
      <c r="DG80" s="19"/>
      <c r="DH80" s="19"/>
      <c r="DI80" s="19"/>
      <c r="DJ80" s="19"/>
      <c r="DK80" s="19"/>
      <c r="DL80" s="19"/>
      <c r="DM80" s="19"/>
      <c r="DN80" s="19"/>
      <c r="DO80" s="19"/>
      <c r="DP80" s="19"/>
      <c r="DQ80" s="19"/>
      <c r="DR80" s="19"/>
      <c r="DS80" s="19"/>
      <c r="DT80" s="19"/>
      <c r="DU80" s="19"/>
      <c r="DV80" s="19"/>
      <c r="DW80" s="19"/>
      <c r="DX80" s="19"/>
      <c r="DY80" s="19"/>
      <c r="DZ80" s="19"/>
      <c r="EA80" s="19"/>
    </row>
    <row r="81" spans="1:131" ht="26.25" thickBot="1">
      <c r="A81" s="381" t="s">
        <v>602</v>
      </c>
      <c r="B81" s="382"/>
      <c r="C81" s="383" t="s">
        <v>603</v>
      </c>
      <c r="D81" s="384"/>
      <c r="E81" s="384"/>
      <c r="F81" s="384"/>
      <c r="G81" s="384"/>
      <c r="H81" s="384"/>
      <c r="I81" s="384"/>
      <c r="J81" s="384"/>
      <c r="K81" s="385"/>
      <c r="L81" s="383" t="s">
        <v>604</v>
      </c>
      <c r="M81" s="384"/>
      <c r="N81" s="384"/>
      <c r="O81" s="384"/>
      <c r="P81" s="384"/>
      <c r="Q81" s="385"/>
      <c r="R81" s="383" t="s">
        <v>605</v>
      </c>
      <c r="S81" s="384"/>
      <c r="T81" s="384"/>
      <c r="U81" s="385"/>
      <c r="V81" s="383" t="s">
        <v>606</v>
      </c>
      <c r="W81" s="384"/>
      <c r="X81" s="384"/>
      <c r="Y81" s="385"/>
      <c r="Z81" s="383" t="s">
        <v>607</v>
      </c>
      <c r="AA81" s="384"/>
      <c r="AB81" s="384"/>
      <c r="AC81" s="385"/>
      <c r="AD81" s="383" t="s">
        <v>608</v>
      </c>
      <c r="AE81" s="384"/>
      <c r="AF81" s="384"/>
      <c r="AG81" s="385"/>
      <c r="AH81" s="383" t="s">
        <v>609</v>
      </c>
      <c r="AI81" s="384"/>
      <c r="AJ81" s="384"/>
      <c r="AK81" s="384"/>
      <c r="AL81" s="385"/>
      <c r="AM81" s="383" t="s">
        <v>610</v>
      </c>
      <c r="AN81" s="384"/>
      <c r="AO81" s="384"/>
      <c r="AP81" s="384"/>
      <c r="AQ81" s="384"/>
      <c r="AR81" s="384"/>
      <c r="AS81" s="385"/>
      <c r="AT81" s="383" t="s">
        <v>611</v>
      </c>
      <c r="AU81" s="384"/>
      <c r="AV81" s="384"/>
      <c r="AW81" s="384"/>
      <c r="AX81" s="384"/>
      <c r="AY81" s="384"/>
      <c r="AZ81" s="385"/>
      <c r="BA81" s="383" t="s">
        <v>612</v>
      </c>
      <c r="BB81" s="384"/>
      <c r="BC81" s="384"/>
      <c r="BD81" s="384"/>
      <c r="BE81" s="384"/>
      <c r="BF81" s="385"/>
      <c r="BG81" s="383" t="s">
        <v>613</v>
      </c>
      <c r="BH81" s="385"/>
      <c r="BI81" s="383" t="s">
        <v>614</v>
      </c>
      <c r="BJ81" s="384"/>
      <c r="BK81" s="384"/>
      <c r="BL81" s="384"/>
      <c r="BM81" s="385"/>
      <c r="BN81" s="383" t="s">
        <v>615</v>
      </c>
      <c r="BO81" s="384"/>
      <c r="BP81" s="384"/>
      <c r="BQ81" s="384"/>
      <c r="BR81" s="384"/>
      <c r="BS81" s="384"/>
      <c r="BT81" s="384"/>
      <c r="BU81" s="384"/>
      <c r="BV81" s="384"/>
      <c r="BW81" s="384"/>
      <c r="BX81" s="384"/>
      <c r="BY81" s="384"/>
      <c r="BZ81" s="384"/>
      <c r="CA81" s="384"/>
      <c r="CB81" s="384"/>
      <c r="CC81" s="385"/>
      <c r="CD81" s="383" t="s">
        <v>616</v>
      </c>
      <c r="CE81" s="385"/>
      <c r="CF81" s="383" t="s">
        <v>617</v>
      </c>
      <c r="CG81" s="384"/>
      <c r="CH81" s="384"/>
      <c r="CI81" s="384"/>
      <c r="CJ81" s="384"/>
      <c r="CK81" s="385"/>
      <c r="CL81" s="386"/>
      <c r="CM81" s="383" t="s">
        <v>19</v>
      </c>
      <c r="CN81" s="384"/>
      <c r="CO81" s="384"/>
      <c r="CP81" s="385"/>
      <c r="CQ81" s="383" t="s">
        <v>618</v>
      </c>
      <c r="CR81" s="384"/>
      <c r="CS81" s="384"/>
      <c r="CT81" s="384"/>
      <c r="CU81" s="385"/>
      <c r="CV81" s="383" t="s">
        <v>619</v>
      </c>
      <c r="CW81" s="385"/>
      <c r="CX81" s="19"/>
      <c r="CY81" s="19"/>
      <c r="CZ81" s="19"/>
      <c r="DA81" s="19"/>
      <c r="DB81" s="19"/>
      <c r="DC81" s="19"/>
      <c r="DD81" s="19"/>
      <c r="DE81" s="19"/>
      <c r="DF81" s="19"/>
      <c r="DG81" s="19"/>
      <c r="DH81" s="19"/>
      <c r="DI81" s="19"/>
      <c r="DJ81" s="19"/>
      <c r="DK81" s="19"/>
      <c r="DL81" s="19"/>
      <c r="DM81" s="19"/>
      <c r="DN81" s="19"/>
      <c r="DO81" s="19"/>
      <c r="DP81" s="19"/>
      <c r="DQ81" s="19"/>
      <c r="DR81" s="19"/>
      <c r="DS81" s="19"/>
      <c r="DT81" s="19"/>
      <c r="DU81" s="19"/>
      <c r="DV81" s="19"/>
      <c r="DW81" s="19"/>
      <c r="DX81" s="19"/>
      <c r="DY81" s="19"/>
      <c r="DZ81" s="19"/>
      <c r="EA81" s="19"/>
    </row>
    <row r="82" spans="1:131" ht="127.5">
      <c r="A82" s="365" t="s">
        <v>486</v>
      </c>
      <c r="B82" s="366" t="s">
        <v>497</v>
      </c>
      <c r="C82" s="98" t="s">
        <v>11</v>
      </c>
      <c r="D82" s="98" t="s">
        <v>620</v>
      </c>
      <c r="E82" s="98" t="s">
        <v>621</v>
      </c>
      <c r="F82" s="98" t="s">
        <v>622</v>
      </c>
      <c r="G82" s="98" t="s">
        <v>623</v>
      </c>
      <c r="H82" s="98" t="s">
        <v>624</v>
      </c>
      <c r="I82" s="98" t="s">
        <v>625</v>
      </c>
      <c r="J82" s="98" t="s">
        <v>626</v>
      </c>
      <c r="K82" s="98" t="s">
        <v>627</v>
      </c>
      <c r="L82" s="98" t="s">
        <v>628</v>
      </c>
      <c r="M82" s="98" t="s">
        <v>629</v>
      </c>
      <c r="N82" s="98" t="s">
        <v>630</v>
      </c>
      <c r="O82" s="98" t="s">
        <v>631</v>
      </c>
      <c r="P82" s="98" t="s">
        <v>632</v>
      </c>
      <c r="Q82" s="98" t="s">
        <v>633</v>
      </c>
      <c r="R82" s="98" t="s">
        <v>634</v>
      </c>
      <c r="S82" s="98" t="s">
        <v>635</v>
      </c>
      <c r="T82" s="98" t="s">
        <v>480</v>
      </c>
      <c r="U82" s="98" t="s">
        <v>543</v>
      </c>
      <c r="V82" s="98" t="s">
        <v>634</v>
      </c>
      <c r="W82" s="98" t="s">
        <v>635</v>
      </c>
      <c r="X82" s="98" t="s">
        <v>480</v>
      </c>
      <c r="Y82" s="98" t="s">
        <v>543</v>
      </c>
      <c r="Z82" s="98" t="s">
        <v>634</v>
      </c>
      <c r="AA82" s="98" t="s">
        <v>635</v>
      </c>
      <c r="AB82" s="98" t="s">
        <v>480</v>
      </c>
      <c r="AC82" s="98" t="s">
        <v>543</v>
      </c>
      <c r="AD82" s="98" t="s">
        <v>634</v>
      </c>
      <c r="AE82" s="98" t="s">
        <v>635</v>
      </c>
      <c r="AF82" s="98" t="s">
        <v>480</v>
      </c>
      <c r="AG82" s="98" t="s">
        <v>543</v>
      </c>
      <c r="AH82" s="98" t="s">
        <v>634</v>
      </c>
      <c r="AI82" s="98" t="s">
        <v>635</v>
      </c>
      <c r="AJ82" s="98" t="s">
        <v>480</v>
      </c>
      <c r="AK82" s="98" t="s">
        <v>543</v>
      </c>
      <c r="AL82" s="98" t="s">
        <v>636</v>
      </c>
      <c r="AM82" s="98" t="s">
        <v>637</v>
      </c>
      <c r="AN82" s="98" t="s">
        <v>638</v>
      </c>
      <c r="AO82" s="98" t="s">
        <v>639</v>
      </c>
      <c r="AP82" s="98" t="s">
        <v>640</v>
      </c>
      <c r="AQ82" s="98" t="s">
        <v>641</v>
      </c>
      <c r="AR82" s="98" t="s">
        <v>642</v>
      </c>
      <c r="AS82" s="98" t="s">
        <v>643</v>
      </c>
      <c r="AT82" s="98" t="s">
        <v>644</v>
      </c>
      <c r="AU82" s="98" t="s">
        <v>645</v>
      </c>
      <c r="AV82" s="98" t="s">
        <v>646</v>
      </c>
      <c r="AW82" s="98" t="s">
        <v>647</v>
      </c>
      <c r="AX82" s="98" t="s">
        <v>648</v>
      </c>
      <c r="AY82" s="98" t="s">
        <v>649</v>
      </c>
      <c r="AZ82" s="98" t="s">
        <v>650</v>
      </c>
      <c r="BA82" s="98" t="s">
        <v>651</v>
      </c>
      <c r="BB82" s="98" t="s">
        <v>652</v>
      </c>
      <c r="BC82" s="98" t="s">
        <v>653</v>
      </c>
      <c r="BD82" s="98" t="s">
        <v>654</v>
      </c>
      <c r="BE82" s="98" t="s">
        <v>655</v>
      </c>
      <c r="BF82" s="98" t="s">
        <v>656</v>
      </c>
      <c r="BG82" s="98" t="s">
        <v>657</v>
      </c>
      <c r="BH82" s="98" t="s">
        <v>658</v>
      </c>
      <c r="BI82" s="98" t="s">
        <v>659</v>
      </c>
      <c r="BJ82" s="98" t="s">
        <v>660</v>
      </c>
      <c r="BK82" s="98" t="s">
        <v>661</v>
      </c>
      <c r="BL82" s="98" t="s">
        <v>662</v>
      </c>
      <c r="BM82" s="98" t="s">
        <v>663</v>
      </c>
      <c r="BN82" s="98" t="s">
        <v>664</v>
      </c>
      <c r="BO82" s="98" t="s">
        <v>665</v>
      </c>
      <c r="BP82" s="98" t="s">
        <v>666</v>
      </c>
      <c r="BQ82" s="98" t="s">
        <v>667</v>
      </c>
      <c r="BR82" s="98" t="s">
        <v>668</v>
      </c>
      <c r="BS82" s="98" t="s">
        <v>669</v>
      </c>
      <c r="BT82" s="98" t="s">
        <v>670</v>
      </c>
      <c r="BU82" s="98" t="s">
        <v>671</v>
      </c>
      <c r="BV82" s="98" t="s">
        <v>672</v>
      </c>
      <c r="BW82" s="98" t="s">
        <v>673</v>
      </c>
      <c r="BX82" s="98" t="s">
        <v>674</v>
      </c>
      <c r="BY82" s="98" t="s">
        <v>675</v>
      </c>
      <c r="BZ82" s="98" t="s">
        <v>676</v>
      </c>
      <c r="CA82" s="98" t="s">
        <v>677</v>
      </c>
      <c r="CB82" s="98" t="s">
        <v>678</v>
      </c>
      <c r="CC82" s="98" t="s">
        <v>679</v>
      </c>
      <c r="CD82" s="98" t="s">
        <v>505</v>
      </c>
      <c r="CE82" s="98" t="s">
        <v>74</v>
      </c>
      <c r="CF82" s="98" t="s">
        <v>680</v>
      </c>
      <c r="CG82" s="98" t="s">
        <v>681</v>
      </c>
      <c r="CH82" s="98" t="s">
        <v>682</v>
      </c>
      <c r="CI82" s="98" t="s">
        <v>683</v>
      </c>
      <c r="CJ82" s="98" t="s">
        <v>684</v>
      </c>
      <c r="CK82" s="98" t="s">
        <v>685</v>
      </c>
      <c r="CL82" s="98"/>
      <c r="CM82" s="98" t="s">
        <v>686</v>
      </c>
      <c r="CN82" s="98" t="s">
        <v>687</v>
      </c>
      <c r="CO82" s="98" t="s">
        <v>688</v>
      </c>
      <c r="CP82" s="98" t="s">
        <v>689</v>
      </c>
      <c r="CQ82" s="98" t="s">
        <v>690</v>
      </c>
      <c r="CR82" s="98" t="s">
        <v>691</v>
      </c>
      <c r="CS82" s="98" t="s">
        <v>692</v>
      </c>
      <c r="CT82" s="98" t="s">
        <v>693</v>
      </c>
      <c r="CU82" s="98" t="s">
        <v>694</v>
      </c>
      <c r="CV82" s="98" t="s">
        <v>695</v>
      </c>
      <c r="CW82" s="98" t="s">
        <v>696</v>
      </c>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row>
    <row r="83" spans="1:131">
      <c r="A83" s="19" t="s">
        <v>507</v>
      </c>
      <c r="B83" s="19"/>
      <c r="C83" s="40">
        <v>30</v>
      </c>
      <c r="D83" s="40">
        <v>46.806753594115676</v>
      </c>
      <c r="E83" s="40">
        <v>0</v>
      </c>
      <c r="F83" s="40">
        <v>35</v>
      </c>
      <c r="G83" s="40">
        <v>0</v>
      </c>
      <c r="H83" s="40">
        <v>0</v>
      </c>
      <c r="I83" s="40"/>
      <c r="J83" s="40"/>
      <c r="K83" s="40"/>
      <c r="L83" s="40">
        <v>50.574823356190421</v>
      </c>
      <c r="M83" s="40">
        <v>3.8589243332838072E-2</v>
      </c>
      <c r="N83" s="40">
        <v>3.8310723479560001E-2</v>
      </c>
      <c r="O83" s="40">
        <v>0</v>
      </c>
      <c r="P83" s="40">
        <v>0</v>
      </c>
      <c r="Q83" s="40">
        <v>0</v>
      </c>
      <c r="R83" s="40">
        <v>5.4853723698314072</v>
      </c>
      <c r="S83" s="40">
        <v>12.675861226252655</v>
      </c>
      <c r="T83" s="40">
        <v>0</v>
      </c>
      <c r="U83" s="40">
        <v>11.255841888323335</v>
      </c>
      <c r="V83" s="40">
        <v>2.1</v>
      </c>
      <c r="W83" s="40">
        <v>4.9000000000000004</v>
      </c>
      <c r="X83" s="40">
        <v>0</v>
      </c>
      <c r="Y83" s="40">
        <v>0</v>
      </c>
      <c r="Z83" s="40">
        <v>0</v>
      </c>
      <c r="AA83" s="40">
        <v>0</v>
      </c>
      <c r="AB83" s="40">
        <v>0</v>
      </c>
      <c r="AC83" s="40">
        <v>0</v>
      </c>
      <c r="AD83" s="40">
        <v>0</v>
      </c>
      <c r="AE83" s="40">
        <v>0</v>
      </c>
      <c r="AF83" s="40">
        <v>0</v>
      </c>
      <c r="AG83" s="40">
        <v>0</v>
      </c>
      <c r="AH83" s="40">
        <v>7.5853723698314077</v>
      </c>
      <c r="AI83" s="40">
        <v>17.575861226252655</v>
      </c>
      <c r="AJ83" s="40">
        <v>0</v>
      </c>
      <c r="AK83" s="40">
        <v>11.255841888323335</v>
      </c>
      <c r="AL83" s="40">
        <v>36.417075484407398</v>
      </c>
      <c r="AM83" s="40">
        <v>27.529818987185621</v>
      </c>
      <c r="AN83" s="40">
        <v>13.63545066776458</v>
      </c>
      <c r="AO83" s="40">
        <v>0</v>
      </c>
      <c r="AP83" s="40">
        <v>0</v>
      </c>
      <c r="AQ83" s="40">
        <v>41.165269654950201</v>
      </c>
      <c r="AR83" s="40">
        <v>7.5853723698314077</v>
      </c>
      <c r="AS83" s="367">
        <v>5.426927993498774</v>
      </c>
      <c r="AT83" s="40">
        <v>27.529818987185621</v>
      </c>
      <c r="AU83" s="40">
        <v>16.140312272570124</v>
      </c>
      <c r="AV83" s="40">
        <v>0</v>
      </c>
      <c r="AW83" s="40">
        <v>0</v>
      </c>
      <c r="AX83" s="40">
        <v>43.670131259755749</v>
      </c>
      <c r="AY83" s="40">
        <v>17.575861226252655</v>
      </c>
      <c r="AZ83" s="367">
        <v>2.4846652290657989</v>
      </c>
      <c r="BA83" s="40">
        <v>27.529818987185621</v>
      </c>
      <c r="BB83" s="40">
        <v>29.775762940334705</v>
      </c>
      <c r="BC83" s="40">
        <v>0</v>
      </c>
      <c r="BD83" s="40">
        <v>0</v>
      </c>
      <c r="BE83" s="40">
        <v>57.305581927520329</v>
      </c>
      <c r="BF83" s="40">
        <v>25.161233596084063</v>
      </c>
      <c r="BG83" s="40">
        <v>-6.7137188735474123</v>
      </c>
      <c r="BH83" s="367">
        <v>2.2775346728802286</v>
      </c>
      <c r="BI83" s="40">
        <v>11.03602422762188</v>
      </c>
      <c r="BJ83" s="40">
        <v>25.571273347857463</v>
      </c>
      <c r="BK83" s="40">
        <v>0</v>
      </c>
      <c r="BL83" s="40">
        <v>16.376222250586551</v>
      </c>
      <c r="BM83" s="40">
        <v>52.983519826065887</v>
      </c>
      <c r="BN83" s="40">
        <v>27.529818987185621</v>
      </c>
      <c r="BO83" s="40">
        <v>0</v>
      </c>
      <c r="BP83" s="40">
        <v>29.775762940334705</v>
      </c>
      <c r="BQ83" s="40">
        <v>0</v>
      </c>
      <c r="BR83" s="40">
        <v>0</v>
      </c>
      <c r="BS83" s="40">
        <v>0</v>
      </c>
      <c r="BT83" s="40">
        <v>0</v>
      </c>
      <c r="BU83" s="40">
        <v>0</v>
      </c>
      <c r="BV83" s="40">
        <v>0</v>
      </c>
      <c r="BW83" s="40">
        <v>0</v>
      </c>
      <c r="BX83" s="40">
        <v>29.417075484407398</v>
      </c>
      <c r="BY83" s="40">
        <v>7</v>
      </c>
      <c r="BZ83" s="40">
        <v>0</v>
      </c>
      <c r="CA83" s="40">
        <v>0</v>
      </c>
      <c r="CB83" s="40">
        <v>57.305581927520322</v>
      </c>
      <c r="CC83" s="40">
        <v>36.417075484407398</v>
      </c>
      <c r="CD83" s="367">
        <v>1.5735909917328947</v>
      </c>
      <c r="CE83" s="40">
        <v>9.6625033770391422</v>
      </c>
      <c r="CF83" s="40">
        <v>0.48046676697334345</v>
      </c>
      <c r="CG83" s="40">
        <v>0</v>
      </c>
      <c r="CH83" s="40">
        <v>0.48046676697334345</v>
      </c>
      <c r="CI83" s="40">
        <v>2.4023041094190449E-2</v>
      </c>
      <c r="CJ83" s="40">
        <v>0</v>
      </c>
      <c r="CK83" s="40">
        <v>2.4023041094190449E-2</v>
      </c>
      <c r="CL83" s="40"/>
      <c r="CM83" s="40">
        <v>0</v>
      </c>
      <c r="CN83" s="40"/>
      <c r="CO83" s="40">
        <v>0</v>
      </c>
      <c r="CP83" s="40">
        <v>0</v>
      </c>
      <c r="CQ83" s="40">
        <v>0</v>
      </c>
      <c r="CR83" s="40">
        <v>0</v>
      </c>
      <c r="CS83" s="40">
        <v>0</v>
      </c>
      <c r="CT83" s="40">
        <v>0</v>
      </c>
      <c r="CU83" s="40">
        <v>0</v>
      </c>
      <c r="CV83" s="40">
        <v>9999</v>
      </c>
      <c r="CW83" s="367">
        <v>9999</v>
      </c>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row>
    <row r="84" spans="1:131">
      <c r="A84" s="19" t="s">
        <v>508</v>
      </c>
      <c r="B84" s="19"/>
      <c r="C84" s="40">
        <v>30</v>
      </c>
      <c r="D84" s="40">
        <v>40.555332664660654</v>
      </c>
      <c r="E84" s="40">
        <v>-3.7445670344366432E-2</v>
      </c>
      <c r="F84" s="40">
        <v>35</v>
      </c>
      <c r="G84" s="40">
        <v>0</v>
      </c>
      <c r="H84" s="40">
        <v>0</v>
      </c>
      <c r="I84" s="40"/>
      <c r="J84" s="40"/>
      <c r="K84" s="40"/>
      <c r="L84" s="40">
        <v>43.820146200538971</v>
      </c>
      <c r="M84" s="40">
        <v>3.3435337434671621E-2</v>
      </c>
      <c r="N84" s="40">
        <v>3.3194016162930516E-2</v>
      </c>
      <c r="O84" s="40">
        <v>-3.782012690691914E-2</v>
      </c>
      <c r="P84" s="40">
        <v>0</v>
      </c>
      <c r="Q84" s="40">
        <v>0</v>
      </c>
      <c r="R84" s="40">
        <v>5.4853723698314072</v>
      </c>
      <c r="S84" s="40">
        <v>12.675861226252655</v>
      </c>
      <c r="T84" s="40">
        <v>0</v>
      </c>
      <c r="U84" s="40">
        <v>11.255841888323335</v>
      </c>
      <c r="V84" s="40">
        <v>2.1</v>
      </c>
      <c r="W84" s="40">
        <v>4.9000000000000004</v>
      </c>
      <c r="X84" s="40">
        <v>0</v>
      </c>
      <c r="Y84" s="40">
        <v>0</v>
      </c>
      <c r="Z84" s="40">
        <v>0</v>
      </c>
      <c r="AA84" s="40">
        <v>0</v>
      </c>
      <c r="AB84" s="40">
        <v>0</v>
      </c>
      <c r="AC84" s="40">
        <v>0</v>
      </c>
      <c r="AD84" s="40">
        <v>0</v>
      </c>
      <c r="AE84" s="40">
        <v>0</v>
      </c>
      <c r="AF84" s="40">
        <v>0</v>
      </c>
      <c r="AG84" s="40">
        <v>0</v>
      </c>
      <c r="AH84" s="40">
        <v>7.5853723698314077</v>
      </c>
      <c r="AI84" s="40">
        <v>17.575861226252655</v>
      </c>
      <c r="AJ84" s="40">
        <v>0</v>
      </c>
      <c r="AK84" s="40">
        <v>11.255841888323335</v>
      </c>
      <c r="AL84" s="40">
        <v>36.417075484407398</v>
      </c>
      <c r="AM84" s="40">
        <v>23.852988756809747</v>
      </c>
      <c r="AN84" s="40">
        <v>11.81432582697385</v>
      </c>
      <c r="AO84" s="40">
        <v>0</v>
      </c>
      <c r="AP84" s="40">
        <v>0</v>
      </c>
      <c r="AQ84" s="40">
        <v>35.667314583783593</v>
      </c>
      <c r="AR84" s="40">
        <v>7.5853723698314077</v>
      </c>
      <c r="AS84" s="367">
        <v>4.7021178189801027</v>
      </c>
      <c r="AT84" s="40">
        <v>23.852988756809747</v>
      </c>
      <c r="AU84" s="40">
        <v>13.984642882985092</v>
      </c>
      <c r="AV84" s="40">
        <v>0</v>
      </c>
      <c r="AW84" s="40">
        <v>0</v>
      </c>
      <c r="AX84" s="40">
        <v>37.837631639794836</v>
      </c>
      <c r="AY84" s="40">
        <v>17.575861226252655</v>
      </c>
      <c r="AZ84" s="367">
        <v>2.1528180697784327</v>
      </c>
      <c r="BA84" s="40">
        <v>23.852988756809747</v>
      </c>
      <c r="BB84" s="40">
        <v>25.798968709958942</v>
      </c>
      <c r="BC84" s="40">
        <v>0</v>
      </c>
      <c r="BD84" s="40">
        <v>0</v>
      </c>
      <c r="BE84" s="40">
        <v>49.651957466768685</v>
      </c>
      <c r="BF84" s="40">
        <v>25.161233596084063</v>
      </c>
      <c r="BG84" s="40">
        <v>-1.0708696796717572</v>
      </c>
      <c r="BH84" s="367">
        <v>1.9733514764751521</v>
      </c>
      <c r="BI84" s="40">
        <v>12.737177400374566</v>
      </c>
      <c r="BJ84" s="40">
        <v>29.512969368980439</v>
      </c>
      <c r="BK84" s="40">
        <v>0</v>
      </c>
      <c r="BL84" s="40">
        <v>18.900542772605881</v>
      </c>
      <c r="BM84" s="40">
        <v>61.150689541960887</v>
      </c>
      <c r="BN84" s="40">
        <v>23.852988756809747</v>
      </c>
      <c r="BO84" s="40">
        <v>-0.24968311127407702</v>
      </c>
      <c r="BP84" s="40">
        <v>25.798968709958942</v>
      </c>
      <c r="BQ84" s="40">
        <v>0</v>
      </c>
      <c r="BR84" s="40">
        <v>0</v>
      </c>
      <c r="BS84" s="40">
        <v>0</v>
      </c>
      <c r="BT84" s="40">
        <v>0</v>
      </c>
      <c r="BU84" s="40">
        <v>0</v>
      </c>
      <c r="BV84" s="40">
        <v>0</v>
      </c>
      <c r="BW84" s="40">
        <v>0</v>
      </c>
      <c r="BX84" s="40">
        <v>29.417075484407398</v>
      </c>
      <c r="BY84" s="40">
        <v>7</v>
      </c>
      <c r="BZ84" s="40">
        <v>0</v>
      </c>
      <c r="CA84" s="40">
        <v>0</v>
      </c>
      <c r="CB84" s="40">
        <v>49.402274355494612</v>
      </c>
      <c r="CC84" s="40">
        <v>36.417075484407398</v>
      </c>
      <c r="CD84" s="367">
        <v>1.3541408995071786</v>
      </c>
      <c r="CE84" s="40">
        <v>18.248935052284185</v>
      </c>
      <c r="CF84" s="40">
        <v>0.41629653997981081</v>
      </c>
      <c r="CG84" s="40">
        <v>-4.4249548481095436E-3</v>
      </c>
      <c r="CH84" s="40">
        <v>0.41187158513170125</v>
      </c>
      <c r="CI84" s="40">
        <v>2.0814569445256014E-2</v>
      </c>
      <c r="CJ84" s="40">
        <v>-2.2124774240547693E-4</v>
      </c>
      <c r="CK84" s="40">
        <v>2.0593321702850536E-2</v>
      </c>
      <c r="CL84" s="40"/>
      <c r="CM84" s="40">
        <v>-3.782012690691914E-2</v>
      </c>
      <c r="CN84" s="40"/>
      <c r="CO84" s="40">
        <v>0</v>
      </c>
      <c r="CP84" s="40">
        <v>0</v>
      </c>
      <c r="CQ84" s="40">
        <v>-0.24968311127407702</v>
      </c>
      <c r="CR84" s="40">
        <v>0</v>
      </c>
      <c r="CS84" s="40">
        <v>0</v>
      </c>
      <c r="CT84" s="40">
        <v>-0.24968311127407702</v>
      </c>
      <c r="CU84" s="40">
        <v>0</v>
      </c>
      <c r="CV84" s="40">
        <v>9999</v>
      </c>
      <c r="CW84" s="368">
        <v>0</v>
      </c>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row>
    <row r="85" spans="1:131">
      <c r="A85" s="19" t="s">
        <v>509</v>
      </c>
      <c r="B85" s="19"/>
      <c r="C85" s="40">
        <v>30</v>
      </c>
      <c r="D85" s="40">
        <v>36.975690738960665</v>
      </c>
      <c r="E85" s="40">
        <v>0</v>
      </c>
      <c r="F85" s="40">
        <v>35</v>
      </c>
      <c r="G85" s="40">
        <v>0</v>
      </c>
      <c r="H85" s="40">
        <v>0</v>
      </c>
      <c r="I85" s="40"/>
      <c r="J85" s="40"/>
      <c r="K85" s="40"/>
      <c r="L85" s="40">
        <v>39.952333456237696</v>
      </c>
      <c r="M85" s="40">
        <v>3.0484146362692817E-2</v>
      </c>
      <c r="N85" s="40">
        <v>3.0264125464666568E-2</v>
      </c>
      <c r="O85" s="40">
        <v>0</v>
      </c>
      <c r="P85" s="40">
        <v>0</v>
      </c>
      <c r="Q85" s="40">
        <v>0</v>
      </c>
      <c r="R85" s="40">
        <v>5.4853723698314072</v>
      </c>
      <c r="S85" s="40">
        <v>12.675861226252655</v>
      </c>
      <c r="T85" s="40">
        <v>0</v>
      </c>
      <c r="U85" s="40">
        <v>11.255841888323335</v>
      </c>
      <c r="V85" s="40">
        <v>2.1</v>
      </c>
      <c r="W85" s="40">
        <v>4.9000000000000004</v>
      </c>
      <c r="X85" s="40">
        <v>0</v>
      </c>
      <c r="Y85" s="40">
        <v>0</v>
      </c>
      <c r="Z85" s="40">
        <v>0</v>
      </c>
      <c r="AA85" s="40">
        <v>0</v>
      </c>
      <c r="AB85" s="40">
        <v>0</v>
      </c>
      <c r="AC85" s="40">
        <v>0</v>
      </c>
      <c r="AD85" s="40">
        <v>0</v>
      </c>
      <c r="AE85" s="40">
        <v>0</v>
      </c>
      <c r="AF85" s="40">
        <v>0</v>
      </c>
      <c r="AG85" s="40">
        <v>0</v>
      </c>
      <c r="AH85" s="40">
        <v>7.5853723698314077</v>
      </c>
      <c r="AI85" s="40">
        <v>17.575861226252655</v>
      </c>
      <c r="AJ85" s="40">
        <v>0</v>
      </c>
      <c r="AK85" s="40">
        <v>11.255841888323335</v>
      </c>
      <c r="AL85" s="40">
        <v>36.417075484407398</v>
      </c>
      <c r="AM85" s="40">
        <v>21.747589713158707</v>
      </c>
      <c r="AN85" s="40">
        <v>10.771526932835632</v>
      </c>
      <c r="AO85" s="40">
        <v>0</v>
      </c>
      <c r="AP85" s="40">
        <v>0</v>
      </c>
      <c r="AQ85" s="40">
        <v>32.519116645994337</v>
      </c>
      <c r="AR85" s="40">
        <v>7.5853723698314077</v>
      </c>
      <c r="AS85" s="367">
        <v>4.287082434519573</v>
      </c>
      <c r="AT85" s="40">
        <v>21.747589713158707</v>
      </c>
      <c r="AU85" s="40">
        <v>12.750279589905825</v>
      </c>
      <c r="AV85" s="40">
        <v>0</v>
      </c>
      <c r="AW85" s="40">
        <v>0</v>
      </c>
      <c r="AX85" s="40">
        <v>34.497869303064533</v>
      </c>
      <c r="AY85" s="40">
        <v>17.575861226252655</v>
      </c>
      <c r="AZ85" s="367">
        <v>1.9627982298549256</v>
      </c>
      <c r="BA85" s="40">
        <v>21.747589713158707</v>
      </c>
      <c r="BB85" s="40">
        <v>23.521806522741457</v>
      </c>
      <c r="BC85" s="40">
        <v>0</v>
      </c>
      <c r="BD85" s="40">
        <v>0</v>
      </c>
      <c r="BE85" s="40">
        <v>45.269396235900167</v>
      </c>
      <c r="BF85" s="40">
        <v>25.161233596084063</v>
      </c>
      <c r="BG85" s="40">
        <v>3.0193959440398093</v>
      </c>
      <c r="BH85" s="367">
        <v>1.799172368200008</v>
      </c>
      <c r="BI85" s="40">
        <v>13.970272261518483</v>
      </c>
      <c r="BJ85" s="40">
        <v>32.370140131548091</v>
      </c>
      <c r="BK85" s="40">
        <v>0</v>
      </c>
      <c r="BL85" s="40">
        <v>20.730317253492498</v>
      </c>
      <c r="BM85" s="40">
        <v>67.070729646559073</v>
      </c>
      <c r="BN85" s="40">
        <v>21.747589713158707</v>
      </c>
      <c r="BO85" s="40">
        <v>0</v>
      </c>
      <c r="BP85" s="40">
        <v>23.521806522741457</v>
      </c>
      <c r="BQ85" s="40">
        <v>0</v>
      </c>
      <c r="BR85" s="40">
        <v>0</v>
      </c>
      <c r="BS85" s="40">
        <v>0</v>
      </c>
      <c r="BT85" s="40">
        <v>0</v>
      </c>
      <c r="BU85" s="40">
        <v>0</v>
      </c>
      <c r="BV85" s="40">
        <v>0</v>
      </c>
      <c r="BW85" s="40">
        <v>0</v>
      </c>
      <c r="BX85" s="40">
        <v>29.417075484407398</v>
      </c>
      <c r="BY85" s="40">
        <v>7</v>
      </c>
      <c r="BZ85" s="40">
        <v>0</v>
      </c>
      <c r="CA85" s="40">
        <v>0</v>
      </c>
      <c r="CB85" s="40">
        <v>45.26939623590016</v>
      </c>
      <c r="CC85" s="40">
        <v>36.417075484407398</v>
      </c>
      <c r="CD85" s="367">
        <v>1.2430815938331741</v>
      </c>
      <c r="CE85" s="40">
        <v>23.749713197532319</v>
      </c>
      <c r="CF85" s="40">
        <v>0.37955186424610377</v>
      </c>
      <c r="CG85" s="40">
        <v>0</v>
      </c>
      <c r="CH85" s="40">
        <v>0.37955186424610377</v>
      </c>
      <c r="CI85" s="40">
        <v>1.8977358391712901E-2</v>
      </c>
      <c r="CJ85" s="40">
        <v>0</v>
      </c>
      <c r="CK85" s="40">
        <v>1.8977358391712901E-2</v>
      </c>
      <c r="CL85" s="40"/>
      <c r="CM85" s="40">
        <v>0</v>
      </c>
      <c r="CN85" s="40"/>
      <c r="CO85" s="40">
        <v>0</v>
      </c>
      <c r="CP85" s="40">
        <v>0</v>
      </c>
      <c r="CQ85" s="40">
        <v>0</v>
      </c>
      <c r="CR85" s="40">
        <v>0</v>
      </c>
      <c r="CS85" s="40">
        <v>0</v>
      </c>
      <c r="CT85" s="40">
        <v>0</v>
      </c>
      <c r="CU85" s="40">
        <v>0</v>
      </c>
      <c r="CV85" s="40">
        <v>9999</v>
      </c>
      <c r="CW85" s="367">
        <v>9999</v>
      </c>
      <c r="CX85" s="19"/>
      <c r="CY85" s="19"/>
      <c r="CZ85" s="19"/>
      <c r="DA85" s="19"/>
      <c r="DB85" s="19"/>
      <c r="DC85" s="19"/>
      <c r="DD85" s="19"/>
      <c r="DE85" s="19"/>
      <c r="DF85" s="19"/>
      <c r="DG85" s="19"/>
      <c r="DH85" s="19"/>
      <c r="DI85" s="19"/>
      <c r="DJ85" s="19"/>
      <c r="DK85" s="19"/>
      <c r="DL85" s="19"/>
      <c r="DM85" s="19"/>
      <c r="DN85" s="19"/>
      <c r="DO85" s="19"/>
      <c r="DP85" s="19"/>
      <c r="DQ85" s="19"/>
      <c r="DR85" s="19"/>
      <c r="DS85" s="19"/>
      <c r="DT85" s="19"/>
      <c r="DU85" s="19"/>
      <c r="DV85" s="19"/>
      <c r="DW85" s="19"/>
      <c r="DX85" s="19"/>
      <c r="DY85" s="19"/>
      <c r="DZ85" s="19"/>
      <c r="EA85" s="19"/>
    </row>
    <row r="86" spans="1:131">
      <c r="A86" s="19" t="s">
        <v>510</v>
      </c>
      <c r="B86" s="19"/>
      <c r="C86" s="40">
        <v>30</v>
      </c>
      <c r="D86" s="40">
        <v>35.230854011692927</v>
      </c>
      <c r="E86" s="40">
        <v>0</v>
      </c>
      <c r="F86" s="40">
        <v>35</v>
      </c>
      <c r="G86" s="40">
        <v>0</v>
      </c>
      <c r="H86" s="40">
        <v>0</v>
      </c>
      <c r="I86" s="40"/>
      <c r="J86" s="40"/>
      <c r="K86" s="40"/>
      <c r="L86" s="40">
        <v>38.067032671821558</v>
      </c>
      <c r="M86" s="40">
        <v>2.9045637517826631E-2</v>
      </c>
      <c r="N86" s="40">
        <v>2.8835999131552572E-2</v>
      </c>
      <c r="O86" s="40">
        <v>0</v>
      </c>
      <c r="P86" s="40">
        <v>0</v>
      </c>
      <c r="Q86" s="40">
        <v>0</v>
      </c>
      <c r="R86" s="40">
        <v>5.4853723698314072</v>
      </c>
      <c r="S86" s="40">
        <v>12.675861226252655</v>
      </c>
      <c r="T86" s="40">
        <v>0</v>
      </c>
      <c r="U86" s="40">
        <v>11.255841888323335</v>
      </c>
      <c r="V86" s="40">
        <v>2.1</v>
      </c>
      <c r="W86" s="40">
        <v>4.9000000000000004</v>
      </c>
      <c r="X86" s="40">
        <v>0</v>
      </c>
      <c r="Y86" s="40">
        <v>0</v>
      </c>
      <c r="Z86" s="40">
        <v>0</v>
      </c>
      <c r="AA86" s="40">
        <v>0</v>
      </c>
      <c r="AB86" s="40">
        <v>0</v>
      </c>
      <c r="AC86" s="40">
        <v>0</v>
      </c>
      <c r="AD86" s="40">
        <v>0</v>
      </c>
      <c r="AE86" s="40">
        <v>0</v>
      </c>
      <c r="AF86" s="40">
        <v>0</v>
      </c>
      <c r="AG86" s="40">
        <v>0</v>
      </c>
      <c r="AH86" s="40">
        <v>7.5853723698314077</v>
      </c>
      <c r="AI86" s="40">
        <v>17.575861226252655</v>
      </c>
      <c r="AJ86" s="40">
        <v>0</v>
      </c>
      <c r="AK86" s="40">
        <v>11.255841888323335</v>
      </c>
      <c r="AL86" s="40">
        <v>36.417075484407398</v>
      </c>
      <c r="AM86" s="40">
        <v>20.721348079730969</v>
      </c>
      <c r="AN86" s="40">
        <v>10.263232011887425</v>
      </c>
      <c r="AO86" s="40">
        <v>0</v>
      </c>
      <c r="AP86" s="40">
        <v>0</v>
      </c>
      <c r="AQ86" s="40">
        <v>30.984580091618394</v>
      </c>
      <c r="AR86" s="40">
        <v>7.5853723698314077</v>
      </c>
      <c r="AS86" s="367">
        <v>4.0847803615878462</v>
      </c>
      <c r="AT86" s="40">
        <v>20.721348079730969</v>
      </c>
      <c r="AU86" s="40">
        <v>12.148609799111128</v>
      </c>
      <c r="AV86" s="40">
        <v>0</v>
      </c>
      <c r="AW86" s="40">
        <v>0</v>
      </c>
      <c r="AX86" s="40">
        <v>32.869957878842101</v>
      </c>
      <c r="AY86" s="40">
        <v>17.575861226252655</v>
      </c>
      <c r="AZ86" s="367">
        <v>1.8701762295292255</v>
      </c>
      <c r="BA86" s="40">
        <v>20.721348079730969</v>
      </c>
      <c r="BB86" s="40">
        <v>22.411841810998553</v>
      </c>
      <c r="BC86" s="40">
        <v>0</v>
      </c>
      <c r="BD86" s="40">
        <v>0</v>
      </c>
      <c r="BE86" s="40">
        <v>43.133189890729525</v>
      </c>
      <c r="BF86" s="40">
        <v>25.161233596084063</v>
      </c>
      <c r="BG86" s="40">
        <v>5.3144425947204867</v>
      </c>
      <c r="BH86" s="367">
        <v>1.7142716682000243</v>
      </c>
      <c r="BI86" s="40">
        <v>14.662161368825871</v>
      </c>
      <c r="BJ86" s="40">
        <v>33.973297674921369</v>
      </c>
      <c r="BK86" s="40">
        <v>0</v>
      </c>
      <c r="BL86" s="40">
        <v>21.757003092552793</v>
      </c>
      <c r="BM86" s="40">
        <v>70.392462136300026</v>
      </c>
      <c r="BN86" s="40">
        <v>20.721348079730969</v>
      </c>
      <c r="BO86" s="40">
        <v>0</v>
      </c>
      <c r="BP86" s="40">
        <v>22.411841810998553</v>
      </c>
      <c r="BQ86" s="40">
        <v>0</v>
      </c>
      <c r="BR86" s="40">
        <v>0</v>
      </c>
      <c r="BS86" s="40">
        <v>0</v>
      </c>
      <c r="BT86" s="40">
        <v>0</v>
      </c>
      <c r="BU86" s="40">
        <v>0</v>
      </c>
      <c r="BV86" s="40">
        <v>0</v>
      </c>
      <c r="BW86" s="40">
        <v>0</v>
      </c>
      <c r="BX86" s="40">
        <v>29.417075484407398</v>
      </c>
      <c r="BY86" s="40">
        <v>7</v>
      </c>
      <c r="BZ86" s="40">
        <v>0</v>
      </c>
      <c r="CA86" s="40">
        <v>0</v>
      </c>
      <c r="CB86" s="40">
        <v>43.133189890729525</v>
      </c>
      <c r="CC86" s="40">
        <v>36.417075484407398</v>
      </c>
      <c r="CD86" s="367">
        <v>1.1844221238797099</v>
      </c>
      <c r="CE86" s="40">
        <v>27.071445687273279</v>
      </c>
      <c r="CF86" s="40">
        <v>0.36164128517633365</v>
      </c>
      <c r="CG86" s="40">
        <v>0</v>
      </c>
      <c r="CH86" s="40">
        <v>0.36164128517633365</v>
      </c>
      <c r="CI86" s="40">
        <v>1.8081840519115239E-2</v>
      </c>
      <c r="CJ86" s="40">
        <v>0</v>
      </c>
      <c r="CK86" s="40">
        <v>1.8081840519115239E-2</v>
      </c>
      <c r="CL86" s="40"/>
      <c r="CM86" s="40">
        <v>0</v>
      </c>
      <c r="CN86" s="40"/>
      <c r="CO86" s="40">
        <v>0</v>
      </c>
      <c r="CP86" s="40">
        <v>0</v>
      </c>
      <c r="CQ86" s="40">
        <v>0</v>
      </c>
      <c r="CR86" s="40">
        <v>0</v>
      </c>
      <c r="CS86" s="40">
        <v>0</v>
      </c>
      <c r="CT86" s="40">
        <v>0</v>
      </c>
      <c r="CU86" s="40">
        <v>0</v>
      </c>
      <c r="CV86" s="40">
        <v>9999</v>
      </c>
      <c r="CW86" s="367">
        <v>9999</v>
      </c>
      <c r="CX86" s="19"/>
      <c r="CY86" s="19"/>
      <c r="CZ86" s="19"/>
      <c r="DA86" s="19"/>
      <c r="DB86" s="19"/>
      <c r="DC86" s="19"/>
      <c r="DD86" s="19"/>
      <c r="DE86" s="19"/>
      <c r="DF86" s="19"/>
      <c r="DG86" s="19"/>
      <c r="DH86" s="19"/>
      <c r="DI86" s="19"/>
      <c r="DJ86" s="19"/>
      <c r="DK86" s="19"/>
      <c r="DL86" s="19"/>
      <c r="DM86" s="19"/>
      <c r="DN86" s="19"/>
      <c r="DO86" s="19"/>
      <c r="DP86" s="19"/>
      <c r="DQ86" s="19"/>
      <c r="DR86" s="19"/>
      <c r="DS86" s="19"/>
      <c r="DT86" s="19"/>
      <c r="DU86" s="19"/>
      <c r="DV86" s="19"/>
      <c r="DW86" s="19"/>
      <c r="DX86" s="19"/>
      <c r="DY86" s="19"/>
      <c r="DZ86" s="19"/>
      <c r="EA86" s="19"/>
    </row>
    <row r="87" spans="1:131">
      <c r="A87" s="19" t="s">
        <v>511</v>
      </c>
      <c r="B87" s="19"/>
      <c r="C87" s="40">
        <v>30</v>
      </c>
      <c r="D87" s="40">
        <v>27.774657305249079</v>
      </c>
      <c r="E87" s="40">
        <v>0</v>
      </c>
      <c r="F87" s="40">
        <v>35</v>
      </c>
      <c r="G87" s="40">
        <v>0</v>
      </c>
      <c r="H87" s="40">
        <v>0</v>
      </c>
      <c r="I87" s="40"/>
      <c r="J87" s="40"/>
      <c r="K87" s="40"/>
      <c r="L87" s="40">
        <v>30.010592043458619</v>
      </c>
      <c r="M87" s="40">
        <v>2.2898469279296212E-2</v>
      </c>
      <c r="N87" s="40">
        <v>2.2733198396709745E-2</v>
      </c>
      <c r="O87" s="40">
        <v>0</v>
      </c>
      <c r="P87" s="40">
        <v>0</v>
      </c>
      <c r="Q87" s="40">
        <v>0</v>
      </c>
      <c r="R87" s="40">
        <v>5.4853723698314072</v>
      </c>
      <c r="S87" s="40">
        <v>12.675861226252655</v>
      </c>
      <c r="T87" s="40">
        <v>0</v>
      </c>
      <c r="U87" s="40">
        <v>11.255841888323335</v>
      </c>
      <c r="V87" s="40">
        <v>2.1</v>
      </c>
      <c r="W87" s="40">
        <v>4.9000000000000004</v>
      </c>
      <c r="X87" s="40">
        <v>0</v>
      </c>
      <c r="Y87" s="40">
        <v>0</v>
      </c>
      <c r="Z87" s="40">
        <v>0</v>
      </c>
      <c r="AA87" s="40">
        <v>0</v>
      </c>
      <c r="AB87" s="40">
        <v>0</v>
      </c>
      <c r="AC87" s="40">
        <v>0</v>
      </c>
      <c r="AD87" s="40">
        <v>0</v>
      </c>
      <c r="AE87" s="40">
        <v>0</v>
      </c>
      <c r="AF87" s="40">
        <v>0</v>
      </c>
      <c r="AG87" s="40">
        <v>0</v>
      </c>
      <c r="AH87" s="40">
        <v>7.5853723698314077</v>
      </c>
      <c r="AI87" s="40">
        <v>17.575861226252655</v>
      </c>
      <c r="AJ87" s="40">
        <v>0</v>
      </c>
      <c r="AK87" s="40">
        <v>11.255841888323335</v>
      </c>
      <c r="AL87" s="40">
        <v>36.417075484407398</v>
      </c>
      <c r="AM87" s="40">
        <v>16.335917988996076</v>
      </c>
      <c r="AN87" s="40">
        <v>8.0911394279521645</v>
      </c>
      <c r="AO87" s="40">
        <v>0</v>
      </c>
      <c r="AP87" s="40">
        <v>0</v>
      </c>
      <c r="AQ87" s="40">
        <v>24.427057416948241</v>
      </c>
      <c r="AR87" s="40">
        <v>7.5853723698314077</v>
      </c>
      <c r="AS87" s="367">
        <v>3.2202845458318818</v>
      </c>
      <c r="AT87" s="40">
        <v>16.335917988996076</v>
      </c>
      <c r="AU87" s="40">
        <v>9.5774991373616292</v>
      </c>
      <c r="AV87" s="40">
        <v>0</v>
      </c>
      <c r="AW87" s="40">
        <v>0</v>
      </c>
      <c r="AX87" s="40">
        <v>25.913417126357707</v>
      </c>
      <c r="AY87" s="40">
        <v>17.575861226252655</v>
      </c>
      <c r="AZ87" s="367">
        <v>1.4743753829628239</v>
      </c>
      <c r="BA87" s="40">
        <v>16.335917988996076</v>
      </c>
      <c r="BB87" s="40">
        <v>17.668638565313792</v>
      </c>
      <c r="BC87" s="40">
        <v>0</v>
      </c>
      <c r="BD87" s="40">
        <v>0</v>
      </c>
      <c r="BE87" s="40">
        <v>34.004556554309872</v>
      </c>
      <c r="BF87" s="40">
        <v>25.161233596084063</v>
      </c>
      <c r="BG87" s="40">
        <v>18.370789089042091</v>
      </c>
      <c r="BH87" s="367">
        <v>1.3514661920074589</v>
      </c>
      <c r="BI87" s="40">
        <v>18.598266074136735</v>
      </c>
      <c r="BJ87" s="40">
        <v>43.093539463932117</v>
      </c>
      <c r="BK87" s="40">
        <v>0</v>
      </c>
      <c r="BL87" s="40">
        <v>27.597741036423745</v>
      </c>
      <c r="BM87" s="40">
        <v>89.28954657449259</v>
      </c>
      <c r="BN87" s="40">
        <v>16.335917988996076</v>
      </c>
      <c r="BO87" s="40">
        <v>0</v>
      </c>
      <c r="BP87" s="40">
        <v>17.668638565313792</v>
      </c>
      <c r="BQ87" s="40">
        <v>0</v>
      </c>
      <c r="BR87" s="40">
        <v>0</v>
      </c>
      <c r="BS87" s="40">
        <v>0</v>
      </c>
      <c r="BT87" s="40">
        <v>0</v>
      </c>
      <c r="BU87" s="40">
        <v>0</v>
      </c>
      <c r="BV87" s="40">
        <v>0</v>
      </c>
      <c r="BW87" s="40">
        <v>0</v>
      </c>
      <c r="BX87" s="40">
        <v>29.417075484407398</v>
      </c>
      <c r="BY87" s="40">
        <v>7</v>
      </c>
      <c r="BZ87" s="40">
        <v>0</v>
      </c>
      <c r="CA87" s="40">
        <v>0</v>
      </c>
      <c r="CB87" s="40">
        <v>34.004556554309872</v>
      </c>
      <c r="CC87" s="40">
        <v>36.417075484407398</v>
      </c>
      <c r="CD87" s="368">
        <v>0.93375308428787784</v>
      </c>
      <c r="CE87" s="40">
        <v>45.968530125465826</v>
      </c>
      <c r="CF87" s="40">
        <v>0.28510415216925461</v>
      </c>
      <c r="CG87" s="40">
        <v>0</v>
      </c>
      <c r="CH87" s="40">
        <v>0.28510415216925461</v>
      </c>
      <c r="CI87" s="40">
        <v>1.4255031220642847E-2</v>
      </c>
      <c r="CJ87" s="40">
        <v>0</v>
      </c>
      <c r="CK87" s="40">
        <v>1.4255031220642847E-2</v>
      </c>
      <c r="CL87" s="40"/>
      <c r="CM87" s="40">
        <v>0</v>
      </c>
      <c r="CN87" s="40"/>
      <c r="CO87" s="40">
        <v>0</v>
      </c>
      <c r="CP87" s="40">
        <v>0</v>
      </c>
      <c r="CQ87" s="40">
        <v>0</v>
      </c>
      <c r="CR87" s="40">
        <v>0</v>
      </c>
      <c r="CS87" s="40">
        <v>0</v>
      </c>
      <c r="CT87" s="40">
        <v>0</v>
      </c>
      <c r="CU87" s="40">
        <v>0</v>
      </c>
      <c r="CV87" s="40">
        <v>9999</v>
      </c>
      <c r="CW87" s="367">
        <v>9999</v>
      </c>
      <c r="CX87" s="19"/>
      <c r="CY87" s="19"/>
      <c r="CZ87" s="19"/>
      <c r="DA87" s="19"/>
      <c r="DB87" s="19"/>
      <c r="DC87" s="19"/>
      <c r="DD87" s="19"/>
      <c r="DE87" s="19"/>
      <c r="DF87" s="19"/>
      <c r="DG87" s="19"/>
      <c r="DH87" s="19"/>
      <c r="DI87" s="19"/>
      <c r="DJ87" s="19"/>
      <c r="DK87" s="19"/>
      <c r="DL87" s="19"/>
      <c r="DM87" s="19"/>
      <c r="DN87" s="19"/>
      <c r="DO87" s="19"/>
      <c r="DP87" s="19"/>
      <c r="DQ87" s="19"/>
      <c r="DR87" s="19"/>
      <c r="DS87" s="19"/>
      <c r="DT87" s="19"/>
      <c r="DU87" s="19"/>
      <c r="DV87" s="19"/>
      <c r="DW87" s="19"/>
      <c r="DX87" s="19"/>
      <c r="DY87" s="19"/>
      <c r="DZ87" s="19"/>
      <c r="EA87" s="19"/>
    </row>
    <row r="88" spans="1:131">
      <c r="A88" s="19" t="s">
        <v>512</v>
      </c>
      <c r="B88" s="19"/>
      <c r="C88" s="40">
        <v>30</v>
      </c>
      <c r="D88" s="40">
        <v>26.327261242540999</v>
      </c>
      <c r="E88" s="40">
        <v>0</v>
      </c>
      <c r="F88" s="40">
        <v>35</v>
      </c>
      <c r="G88" s="40">
        <v>0</v>
      </c>
      <c r="H88" s="40">
        <v>0</v>
      </c>
      <c r="I88" s="40"/>
      <c r="J88" s="40"/>
      <c r="K88" s="40"/>
      <c r="L88" s="40">
        <v>28.446676698406591</v>
      </c>
      <c r="M88" s="40">
        <v>2.1705181674965209E-2</v>
      </c>
      <c r="N88" s="40">
        <v>2.154852340718464E-2</v>
      </c>
      <c r="O88" s="40">
        <v>0</v>
      </c>
      <c r="P88" s="40">
        <v>0</v>
      </c>
      <c r="Q88" s="40">
        <v>0</v>
      </c>
      <c r="R88" s="40">
        <v>5.4853723698314072</v>
      </c>
      <c r="S88" s="40">
        <v>12.675861226252655</v>
      </c>
      <c r="T88" s="40">
        <v>0</v>
      </c>
      <c r="U88" s="40">
        <v>11.255841888323335</v>
      </c>
      <c r="V88" s="40">
        <v>2.1</v>
      </c>
      <c r="W88" s="40">
        <v>4.9000000000000004</v>
      </c>
      <c r="X88" s="40">
        <v>0</v>
      </c>
      <c r="Y88" s="40">
        <v>0</v>
      </c>
      <c r="Z88" s="40">
        <v>0</v>
      </c>
      <c r="AA88" s="40">
        <v>0</v>
      </c>
      <c r="AB88" s="40">
        <v>0</v>
      </c>
      <c r="AC88" s="40">
        <v>0</v>
      </c>
      <c r="AD88" s="40">
        <v>0</v>
      </c>
      <c r="AE88" s="40">
        <v>0</v>
      </c>
      <c r="AF88" s="40">
        <v>0</v>
      </c>
      <c r="AG88" s="40">
        <v>0</v>
      </c>
      <c r="AH88" s="40">
        <v>7.5853723698314077</v>
      </c>
      <c r="AI88" s="40">
        <v>17.575861226252655</v>
      </c>
      <c r="AJ88" s="40">
        <v>0</v>
      </c>
      <c r="AK88" s="40">
        <v>11.255841888323335</v>
      </c>
      <c r="AL88" s="40">
        <v>36.417075484407398</v>
      </c>
      <c r="AM88" s="40">
        <v>15.4846187949813</v>
      </c>
      <c r="AN88" s="40">
        <v>7.6694930608293257</v>
      </c>
      <c r="AO88" s="40">
        <v>0</v>
      </c>
      <c r="AP88" s="40">
        <v>0</v>
      </c>
      <c r="AQ88" s="40">
        <v>23.154111855810626</v>
      </c>
      <c r="AR88" s="40">
        <v>7.5853723698314077</v>
      </c>
      <c r="AS88" s="367">
        <v>3.0524687156953969</v>
      </c>
      <c r="AT88" s="40">
        <v>15.4846187949813</v>
      </c>
      <c r="AU88" s="40">
        <v>9.0783954260302426</v>
      </c>
      <c r="AV88" s="40">
        <v>0</v>
      </c>
      <c r="AW88" s="40">
        <v>0</v>
      </c>
      <c r="AX88" s="40">
        <v>24.563014221011542</v>
      </c>
      <c r="AY88" s="40">
        <v>17.575861226252655</v>
      </c>
      <c r="AZ88" s="367">
        <v>1.3975425673208173</v>
      </c>
      <c r="BA88" s="40">
        <v>15.4846187949813</v>
      </c>
      <c r="BB88" s="40">
        <v>16.747888486859569</v>
      </c>
      <c r="BC88" s="40">
        <v>0</v>
      </c>
      <c r="BD88" s="40">
        <v>0</v>
      </c>
      <c r="BE88" s="40">
        <v>32.232507281840867</v>
      </c>
      <c r="BF88" s="40">
        <v>25.161233596084063</v>
      </c>
      <c r="BG88" s="40">
        <v>21.762424687387959</v>
      </c>
      <c r="BH88" s="367">
        <v>1.2810384339366148</v>
      </c>
      <c r="BI88" s="40">
        <v>19.620744517333311</v>
      </c>
      <c r="BJ88" s="40">
        <v>45.462696619081406</v>
      </c>
      <c r="BK88" s="40">
        <v>0</v>
      </c>
      <c r="BL88" s="40">
        <v>29.114984373957537</v>
      </c>
      <c r="BM88" s="40">
        <v>94.198425510372246</v>
      </c>
      <c r="BN88" s="40">
        <v>15.4846187949813</v>
      </c>
      <c r="BO88" s="40">
        <v>0</v>
      </c>
      <c r="BP88" s="40">
        <v>16.747888486859569</v>
      </c>
      <c r="BQ88" s="40">
        <v>0</v>
      </c>
      <c r="BR88" s="40">
        <v>0</v>
      </c>
      <c r="BS88" s="40">
        <v>0</v>
      </c>
      <c r="BT88" s="40">
        <v>0</v>
      </c>
      <c r="BU88" s="40">
        <v>0</v>
      </c>
      <c r="BV88" s="40">
        <v>0</v>
      </c>
      <c r="BW88" s="40">
        <v>0</v>
      </c>
      <c r="BX88" s="40">
        <v>29.417075484407398</v>
      </c>
      <c r="BY88" s="40">
        <v>7</v>
      </c>
      <c r="BZ88" s="40">
        <v>0</v>
      </c>
      <c r="CA88" s="40">
        <v>0</v>
      </c>
      <c r="CB88" s="40">
        <v>32.232507281840867</v>
      </c>
      <c r="CC88" s="40">
        <v>36.417075484407398</v>
      </c>
      <c r="CD88" s="368">
        <v>0.88509323862762601</v>
      </c>
      <c r="CE88" s="40">
        <v>50.877409061345496</v>
      </c>
      <c r="CF88" s="40">
        <v>0.2702467725524228</v>
      </c>
      <c r="CG88" s="40">
        <v>0</v>
      </c>
      <c r="CH88" s="40">
        <v>0.2702467725524228</v>
      </c>
      <c r="CI88" s="40">
        <v>1.3512171431743131E-2</v>
      </c>
      <c r="CJ88" s="40">
        <v>0</v>
      </c>
      <c r="CK88" s="40">
        <v>1.3512171431743131E-2</v>
      </c>
      <c r="CL88" s="40"/>
      <c r="CM88" s="40">
        <v>0</v>
      </c>
      <c r="CN88" s="40"/>
      <c r="CO88" s="40">
        <v>0</v>
      </c>
      <c r="CP88" s="40">
        <v>0</v>
      </c>
      <c r="CQ88" s="40">
        <v>0</v>
      </c>
      <c r="CR88" s="40">
        <v>0</v>
      </c>
      <c r="CS88" s="40">
        <v>0</v>
      </c>
      <c r="CT88" s="40">
        <v>0</v>
      </c>
      <c r="CU88" s="40">
        <v>0</v>
      </c>
      <c r="CV88" s="40">
        <v>9999</v>
      </c>
      <c r="CW88" s="367">
        <v>9999</v>
      </c>
      <c r="CX88" s="19"/>
      <c r="CY88" s="19"/>
      <c r="CZ88" s="19"/>
      <c r="DA88" s="19"/>
      <c r="DB88" s="19"/>
      <c r="DC88" s="19"/>
      <c r="DD88" s="19"/>
      <c r="DE88" s="19"/>
      <c r="DF88" s="19"/>
      <c r="DG88" s="19"/>
      <c r="DH88" s="19"/>
      <c r="DI88" s="19"/>
      <c r="DJ88" s="19"/>
      <c r="DK88" s="19"/>
      <c r="DL88" s="19"/>
      <c r="DM88" s="19"/>
      <c r="DN88" s="19"/>
      <c r="DO88" s="19"/>
      <c r="DP88" s="19"/>
      <c r="DQ88" s="19"/>
      <c r="DR88" s="19"/>
      <c r="DS88" s="19"/>
      <c r="DT88" s="19"/>
      <c r="DU88" s="19"/>
      <c r="DV88" s="19"/>
      <c r="DW88" s="19"/>
      <c r="DX88" s="19"/>
      <c r="DY88" s="19"/>
      <c r="DZ88" s="19"/>
      <c r="EA88" s="19"/>
    </row>
    <row r="89" spans="1:131">
      <c r="A89" s="19" t="s">
        <v>513</v>
      </c>
      <c r="B89" s="19"/>
      <c r="C89" s="40">
        <v>30.000000000000004</v>
      </c>
      <c r="D89" s="40">
        <v>17.927651136873493</v>
      </c>
      <c r="E89" s="40">
        <v>0</v>
      </c>
      <c r="F89" s="40">
        <v>35</v>
      </c>
      <c r="G89" s="40">
        <v>0</v>
      </c>
      <c r="H89" s="40">
        <v>0</v>
      </c>
      <c r="I89" s="40"/>
      <c r="J89" s="40"/>
      <c r="K89" s="40"/>
      <c r="L89" s="40">
        <v>19.370875350619656</v>
      </c>
      <c r="M89" s="40">
        <v>1.4780228043715768E-2</v>
      </c>
      <c r="N89" s="40">
        <v>1.4673550985794577E-2</v>
      </c>
      <c r="O89" s="40">
        <v>0</v>
      </c>
      <c r="P89" s="40">
        <v>0</v>
      </c>
      <c r="Q89" s="40">
        <v>0</v>
      </c>
      <c r="R89" s="40">
        <v>5.4853723698314072</v>
      </c>
      <c r="S89" s="40">
        <v>12.675861226252655</v>
      </c>
      <c r="T89" s="40">
        <v>0</v>
      </c>
      <c r="U89" s="40">
        <v>11.255841888323335</v>
      </c>
      <c r="V89" s="40">
        <v>2.1</v>
      </c>
      <c r="W89" s="40">
        <v>4.9000000000000004</v>
      </c>
      <c r="X89" s="40">
        <v>0</v>
      </c>
      <c r="Y89" s="40">
        <v>0</v>
      </c>
      <c r="Z89" s="40">
        <v>0</v>
      </c>
      <c r="AA89" s="40">
        <v>0</v>
      </c>
      <c r="AB89" s="40">
        <v>0</v>
      </c>
      <c r="AC89" s="40">
        <v>0</v>
      </c>
      <c r="AD89" s="40">
        <v>0</v>
      </c>
      <c r="AE89" s="40">
        <v>0</v>
      </c>
      <c r="AF89" s="40">
        <v>0</v>
      </c>
      <c r="AG89" s="40">
        <v>0</v>
      </c>
      <c r="AH89" s="40">
        <v>7.5853723698314077</v>
      </c>
      <c r="AI89" s="40">
        <v>17.575861226252655</v>
      </c>
      <c r="AJ89" s="40">
        <v>0</v>
      </c>
      <c r="AK89" s="40">
        <v>11.255841888323335</v>
      </c>
      <c r="AL89" s="40">
        <v>36.417075484407398</v>
      </c>
      <c r="AM89" s="40">
        <v>10.54431150990113</v>
      </c>
      <c r="AN89" s="40">
        <v>5.2225711867456548</v>
      </c>
      <c r="AO89" s="40">
        <v>0</v>
      </c>
      <c r="AP89" s="40">
        <v>0</v>
      </c>
      <c r="AQ89" s="40">
        <v>15.766882696646785</v>
      </c>
      <c r="AR89" s="40">
        <v>7.5853723698314077</v>
      </c>
      <c r="AS89" s="367">
        <v>2.0785904670092314</v>
      </c>
      <c r="AT89" s="40">
        <v>10.54431150990113</v>
      </c>
      <c r="AU89" s="40">
        <v>6.1819687426305885</v>
      </c>
      <c r="AV89" s="40">
        <v>0</v>
      </c>
      <c r="AW89" s="40">
        <v>0</v>
      </c>
      <c r="AX89" s="40">
        <v>16.726280252531719</v>
      </c>
      <c r="AY89" s="40">
        <v>17.575861226252655</v>
      </c>
      <c r="AZ89" s="368">
        <v>0.95166205725088815</v>
      </c>
      <c r="BA89" s="40">
        <v>10.54431150990113</v>
      </c>
      <c r="BB89" s="40">
        <v>11.404539929376243</v>
      </c>
      <c r="BC89" s="40">
        <v>0</v>
      </c>
      <c r="BD89" s="40">
        <v>0</v>
      </c>
      <c r="BE89" s="40">
        <v>21.948851439277373</v>
      </c>
      <c r="BF89" s="40">
        <v>25.161233596084063</v>
      </c>
      <c r="BG89" s="40">
        <v>52.255852170291512</v>
      </c>
      <c r="BH89" s="368">
        <v>0.87232811362211404</v>
      </c>
      <c r="BI89" s="40">
        <v>28.813616615872746</v>
      </c>
      <c r="BJ89" s="40">
        <v>66.76325200344553</v>
      </c>
      <c r="BK89" s="40">
        <v>0</v>
      </c>
      <c r="BL89" s="40">
        <v>42.756175576682743</v>
      </c>
      <c r="BM89" s="40">
        <v>138.333044196001</v>
      </c>
      <c r="BN89" s="40">
        <v>10.54431150990113</v>
      </c>
      <c r="BO89" s="40">
        <v>0</v>
      </c>
      <c r="BP89" s="40">
        <v>11.404539929376243</v>
      </c>
      <c r="BQ89" s="40">
        <v>0</v>
      </c>
      <c r="BR89" s="40">
        <v>0</v>
      </c>
      <c r="BS89" s="40">
        <v>0</v>
      </c>
      <c r="BT89" s="40">
        <v>0</v>
      </c>
      <c r="BU89" s="40">
        <v>0</v>
      </c>
      <c r="BV89" s="40">
        <v>0</v>
      </c>
      <c r="BW89" s="40">
        <v>0</v>
      </c>
      <c r="BX89" s="40">
        <v>29.417075484407398</v>
      </c>
      <c r="BY89" s="40">
        <v>7</v>
      </c>
      <c r="BZ89" s="40">
        <v>0</v>
      </c>
      <c r="CA89" s="40">
        <v>0</v>
      </c>
      <c r="CB89" s="40">
        <v>21.948851439277373</v>
      </c>
      <c r="CC89" s="40">
        <v>36.417075484407398</v>
      </c>
      <c r="CD89" s="368">
        <v>0.60270768993175072</v>
      </c>
      <c r="CE89" s="40">
        <v>95.012027746974269</v>
      </c>
      <c r="CF89" s="40">
        <v>0.18402559288458042</v>
      </c>
      <c r="CG89" s="40">
        <v>0</v>
      </c>
      <c r="CH89" s="40">
        <v>0.18402559288458042</v>
      </c>
      <c r="CI89" s="40">
        <v>9.2011657915443378E-3</v>
      </c>
      <c r="CJ89" s="40">
        <v>0</v>
      </c>
      <c r="CK89" s="40">
        <v>9.2011657915443378E-3</v>
      </c>
      <c r="CL89" s="40"/>
      <c r="CM89" s="40">
        <v>0</v>
      </c>
      <c r="CN89" s="40"/>
      <c r="CO89" s="40">
        <v>0</v>
      </c>
      <c r="CP89" s="40">
        <v>0</v>
      </c>
      <c r="CQ89" s="40">
        <v>0</v>
      </c>
      <c r="CR89" s="40">
        <v>0</v>
      </c>
      <c r="CS89" s="40">
        <v>0</v>
      </c>
      <c r="CT89" s="40">
        <v>0</v>
      </c>
      <c r="CU89" s="40">
        <v>0</v>
      </c>
      <c r="CV89" s="40">
        <v>9999</v>
      </c>
      <c r="CW89" s="367">
        <v>9999</v>
      </c>
      <c r="CX89" s="19"/>
      <c r="CY89" s="19"/>
      <c r="CZ89" s="19"/>
      <c r="DA89" s="19"/>
      <c r="DB89" s="19"/>
      <c r="DC89" s="19"/>
      <c r="DD89" s="19"/>
      <c r="DE89" s="19"/>
      <c r="DF89" s="19"/>
      <c r="DG89" s="19"/>
      <c r="DH89" s="19"/>
      <c r="DI89" s="19"/>
      <c r="DJ89" s="19"/>
      <c r="DK89" s="19"/>
      <c r="DL89" s="19"/>
      <c r="DM89" s="19"/>
      <c r="DN89" s="19"/>
      <c r="DO89" s="19"/>
      <c r="DP89" s="19"/>
      <c r="DQ89" s="19"/>
      <c r="DR89" s="19"/>
      <c r="DS89" s="19"/>
      <c r="DT89" s="19"/>
      <c r="DU89" s="19"/>
      <c r="DV89" s="19"/>
      <c r="DW89" s="19"/>
      <c r="DX89" s="19"/>
      <c r="DY89" s="19"/>
      <c r="DZ89" s="19"/>
      <c r="EA89" s="19"/>
    </row>
    <row r="90" spans="1:131">
      <c r="A90" s="19" t="s">
        <v>514</v>
      </c>
      <c r="B90" s="19"/>
      <c r="C90" s="40">
        <v>30</v>
      </c>
      <c r="D90" s="40">
        <v>16.119234461764105</v>
      </c>
      <c r="E90" s="40">
        <v>0</v>
      </c>
      <c r="F90" s="40">
        <v>35</v>
      </c>
      <c r="G90" s="40">
        <v>0</v>
      </c>
      <c r="H90" s="40">
        <v>0</v>
      </c>
      <c r="I90" s="40"/>
      <c r="J90" s="40"/>
      <c r="K90" s="40"/>
      <c r="L90" s="40">
        <v>17.416876261275753</v>
      </c>
      <c r="M90" s="40">
        <v>1.3289301505035007E-2</v>
      </c>
      <c r="N90" s="40">
        <v>1.3193385286273581E-2</v>
      </c>
      <c r="O90" s="40">
        <v>0</v>
      </c>
      <c r="P90" s="40">
        <v>0</v>
      </c>
      <c r="Q90" s="40">
        <v>0</v>
      </c>
      <c r="R90" s="40">
        <v>5.4853723698314072</v>
      </c>
      <c r="S90" s="40">
        <v>12.675861226252655</v>
      </c>
      <c r="T90" s="40">
        <v>0</v>
      </c>
      <c r="U90" s="40">
        <v>11.255841888323335</v>
      </c>
      <c r="V90" s="40">
        <v>2.1</v>
      </c>
      <c r="W90" s="40">
        <v>4.9000000000000004</v>
      </c>
      <c r="X90" s="40">
        <v>0</v>
      </c>
      <c r="Y90" s="40">
        <v>0</v>
      </c>
      <c r="Z90" s="40">
        <v>0</v>
      </c>
      <c r="AA90" s="40">
        <v>0</v>
      </c>
      <c r="AB90" s="40">
        <v>0</v>
      </c>
      <c r="AC90" s="40">
        <v>0</v>
      </c>
      <c r="AD90" s="40">
        <v>0</v>
      </c>
      <c r="AE90" s="40">
        <v>0</v>
      </c>
      <c r="AF90" s="40">
        <v>0</v>
      </c>
      <c r="AG90" s="40">
        <v>0</v>
      </c>
      <c r="AH90" s="40">
        <v>7.5853723698314077</v>
      </c>
      <c r="AI90" s="40">
        <v>17.575861226252655</v>
      </c>
      <c r="AJ90" s="40">
        <v>0</v>
      </c>
      <c r="AK90" s="40">
        <v>11.255841888323335</v>
      </c>
      <c r="AL90" s="40">
        <v>36.417075484407398</v>
      </c>
      <c r="AM90" s="40">
        <v>9.4806747503240327</v>
      </c>
      <c r="AN90" s="40">
        <v>4.6957545531024953</v>
      </c>
      <c r="AO90" s="40">
        <v>0</v>
      </c>
      <c r="AP90" s="40">
        <v>0</v>
      </c>
      <c r="AQ90" s="40">
        <v>14.176429303426527</v>
      </c>
      <c r="AR90" s="40">
        <v>7.5853723698314077</v>
      </c>
      <c r="AS90" s="367">
        <v>1.8689167271219425</v>
      </c>
      <c r="AT90" s="40">
        <v>9.4806747503240327</v>
      </c>
      <c r="AU90" s="40">
        <v>5.5583747606959379</v>
      </c>
      <c r="AV90" s="40">
        <v>0</v>
      </c>
      <c r="AW90" s="40">
        <v>0</v>
      </c>
      <c r="AX90" s="40">
        <v>15.039049511019972</v>
      </c>
      <c r="AY90" s="40">
        <v>17.575861226252655</v>
      </c>
      <c r="AZ90" s="368">
        <v>0.85566501222463531</v>
      </c>
      <c r="BA90" s="40">
        <v>9.4806747503240327</v>
      </c>
      <c r="BB90" s="40">
        <v>10.254129313798433</v>
      </c>
      <c r="BC90" s="40">
        <v>0</v>
      </c>
      <c r="BD90" s="40">
        <v>0</v>
      </c>
      <c r="BE90" s="40">
        <v>19.734804064122468</v>
      </c>
      <c r="BF90" s="40">
        <v>25.161233596084063</v>
      </c>
      <c r="BG90" s="40">
        <v>62.978619642649392</v>
      </c>
      <c r="BH90" s="368">
        <v>0.78433372468645057</v>
      </c>
      <c r="BI90" s="40">
        <v>32.046215836509091</v>
      </c>
      <c r="BJ90" s="40">
        <v>74.253420255167057</v>
      </c>
      <c r="BK90" s="40">
        <v>0</v>
      </c>
      <c r="BL90" s="40">
        <v>47.552990280271075</v>
      </c>
      <c r="BM90" s="40">
        <v>153.85262637194722</v>
      </c>
      <c r="BN90" s="40">
        <v>9.4806747503240327</v>
      </c>
      <c r="BO90" s="40">
        <v>0</v>
      </c>
      <c r="BP90" s="40">
        <v>10.254129313798433</v>
      </c>
      <c r="BQ90" s="40">
        <v>0</v>
      </c>
      <c r="BR90" s="40">
        <v>0</v>
      </c>
      <c r="BS90" s="40">
        <v>0</v>
      </c>
      <c r="BT90" s="40">
        <v>0</v>
      </c>
      <c r="BU90" s="40">
        <v>0</v>
      </c>
      <c r="BV90" s="40">
        <v>0</v>
      </c>
      <c r="BW90" s="40">
        <v>0</v>
      </c>
      <c r="BX90" s="40">
        <v>29.417075484407398</v>
      </c>
      <c r="BY90" s="40">
        <v>7</v>
      </c>
      <c r="BZ90" s="40">
        <v>0</v>
      </c>
      <c r="CA90" s="40">
        <v>0</v>
      </c>
      <c r="CB90" s="40">
        <v>19.734804064122464</v>
      </c>
      <c r="CC90" s="40">
        <v>36.417075484407398</v>
      </c>
      <c r="CD90" s="368">
        <v>0.54191073285311619</v>
      </c>
      <c r="CE90" s="40">
        <v>110.53160992292048</v>
      </c>
      <c r="CF90" s="40">
        <v>0.16546237184248425</v>
      </c>
      <c r="CG90" s="40">
        <v>0</v>
      </c>
      <c r="CH90" s="40">
        <v>0.16546237184248425</v>
      </c>
      <c r="CI90" s="40">
        <v>8.2730162241059814E-3</v>
      </c>
      <c r="CJ90" s="40">
        <v>0</v>
      </c>
      <c r="CK90" s="40">
        <v>8.2730162241059814E-3</v>
      </c>
      <c r="CL90" s="40"/>
      <c r="CM90" s="40">
        <v>0</v>
      </c>
      <c r="CN90" s="40"/>
      <c r="CO90" s="40">
        <v>0</v>
      </c>
      <c r="CP90" s="40">
        <v>0</v>
      </c>
      <c r="CQ90" s="40">
        <v>0</v>
      </c>
      <c r="CR90" s="40">
        <v>0</v>
      </c>
      <c r="CS90" s="40">
        <v>0</v>
      </c>
      <c r="CT90" s="40">
        <v>0</v>
      </c>
      <c r="CU90" s="40">
        <v>0</v>
      </c>
      <c r="CV90" s="40">
        <v>9999</v>
      </c>
      <c r="CW90" s="367">
        <v>9999</v>
      </c>
      <c r="CX90" s="19"/>
      <c r="CY90" s="19"/>
      <c r="CZ90" s="19"/>
      <c r="DA90" s="19"/>
      <c r="DB90" s="19"/>
      <c r="DC90" s="19"/>
      <c r="DD90" s="19"/>
      <c r="DE90" s="19"/>
      <c r="DF90" s="19"/>
      <c r="DG90" s="19"/>
      <c r="DH90" s="19"/>
      <c r="DI90" s="19"/>
      <c r="DJ90" s="19"/>
      <c r="DK90" s="19"/>
      <c r="DL90" s="19"/>
      <c r="DM90" s="19"/>
      <c r="DN90" s="19"/>
      <c r="DO90" s="19"/>
      <c r="DP90" s="19"/>
      <c r="DQ90" s="19"/>
      <c r="DR90" s="19"/>
      <c r="DS90" s="19"/>
      <c r="DT90" s="19"/>
      <c r="DU90" s="19"/>
      <c r="DV90" s="19"/>
      <c r="DW90" s="19"/>
      <c r="DX90" s="19"/>
      <c r="DY90" s="19"/>
      <c r="DZ90" s="19"/>
      <c r="EA90" s="19"/>
    </row>
    <row r="91" spans="1:131">
      <c r="A91" s="19" t="s">
        <v>515</v>
      </c>
      <c r="B91" s="19"/>
      <c r="C91" s="40">
        <v>30</v>
      </c>
      <c r="D91" s="40">
        <v>8.4302908726178529</v>
      </c>
      <c r="E91" s="40">
        <v>1.6506185222333669</v>
      </c>
      <c r="F91" s="40">
        <v>35</v>
      </c>
      <c r="G91" s="40">
        <v>0</v>
      </c>
      <c r="H91" s="40">
        <v>0</v>
      </c>
      <c r="I91" s="40"/>
      <c r="J91" s="40"/>
      <c r="K91" s="40"/>
      <c r="L91" s="40">
        <v>9.0552278256801593</v>
      </c>
      <c r="M91" s="40">
        <v>1.3239166589346391E-3</v>
      </c>
      <c r="N91" s="40">
        <v>1.3143612221923724E-3</v>
      </c>
      <c r="O91" s="40">
        <v>1.6671247012451769</v>
      </c>
      <c r="P91" s="40">
        <v>0</v>
      </c>
      <c r="Q91" s="40">
        <v>0</v>
      </c>
      <c r="R91" s="40">
        <v>5.4853723698314072</v>
      </c>
      <c r="S91" s="40">
        <v>12.675861226252655</v>
      </c>
      <c r="T91" s="40">
        <v>0</v>
      </c>
      <c r="U91" s="40">
        <v>11.255841888323335</v>
      </c>
      <c r="V91" s="40">
        <v>2.1</v>
      </c>
      <c r="W91" s="40">
        <v>4.9000000000000004</v>
      </c>
      <c r="X91" s="40">
        <v>0</v>
      </c>
      <c r="Y91" s="40">
        <v>0</v>
      </c>
      <c r="Z91" s="40">
        <v>0</v>
      </c>
      <c r="AA91" s="40">
        <v>0</v>
      </c>
      <c r="AB91" s="40">
        <v>0</v>
      </c>
      <c r="AC91" s="40">
        <v>0</v>
      </c>
      <c r="AD91" s="40">
        <v>0</v>
      </c>
      <c r="AE91" s="40">
        <v>0</v>
      </c>
      <c r="AF91" s="40">
        <v>0</v>
      </c>
      <c r="AG91" s="40">
        <v>0</v>
      </c>
      <c r="AH91" s="40">
        <v>7.5853723698314077</v>
      </c>
      <c r="AI91" s="40">
        <v>17.575861226252655</v>
      </c>
      <c r="AJ91" s="40">
        <v>0</v>
      </c>
      <c r="AK91" s="40">
        <v>11.255841888323335</v>
      </c>
      <c r="AL91" s="40">
        <v>36.417075484407398</v>
      </c>
      <c r="AM91" s="40">
        <v>4.6617467278866807</v>
      </c>
      <c r="AN91" s="40">
        <v>0.46780394565998645</v>
      </c>
      <c r="AO91" s="40">
        <v>0</v>
      </c>
      <c r="AP91" s="40">
        <v>0</v>
      </c>
      <c r="AQ91" s="40">
        <v>5.1295506735466674</v>
      </c>
      <c r="AR91" s="40">
        <v>7.5853723698314077</v>
      </c>
      <c r="AS91" s="368">
        <v>0.67624243391767414</v>
      </c>
      <c r="AT91" s="40">
        <v>4.6617467278866807</v>
      </c>
      <c r="AU91" s="40">
        <v>0.55374053628771247</v>
      </c>
      <c r="AV91" s="40">
        <v>0</v>
      </c>
      <c r="AW91" s="40">
        <v>0</v>
      </c>
      <c r="AX91" s="40">
        <v>5.215487264174393</v>
      </c>
      <c r="AY91" s="40">
        <v>17.575861226252655</v>
      </c>
      <c r="AZ91" s="368">
        <v>0.29674149090254198</v>
      </c>
      <c r="BA91" s="40">
        <v>4.6617467278866807</v>
      </c>
      <c r="BB91" s="40">
        <v>1.0215444819476989</v>
      </c>
      <c r="BC91" s="40">
        <v>0</v>
      </c>
      <c r="BD91" s="40">
        <v>0</v>
      </c>
      <c r="BE91" s="40">
        <v>5.6832912098343797</v>
      </c>
      <c r="BF91" s="40">
        <v>25.161233596084063</v>
      </c>
      <c r="BG91" s="40">
        <v>196.15636531747714</v>
      </c>
      <c r="BH91" s="368">
        <v>0.22587490347527681</v>
      </c>
      <c r="BI91" s="40">
        <v>61.637872244775991</v>
      </c>
      <c r="BJ91" s="40">
        <v>142.81944722507424</v>
      </c>
      <c r="BK91" s="40">
        <v>0</v>
      </c>
      <c r="BL91" s="40">
        <v>91.463689650781376</v>
      </c>
      <c r="BM91" s="40">
        <v>295.9210091206316</v>
      </c>
      <c r="BN91" s="40">
        <v>4.6617467278866807</v>
      </c>
      <c r="BO91" s="40">
        <v>11.006120717501059</v>
      </c>
      <c r="BP91" s="40">
        <v>1.0215444819476989</v>
      </c>
      <c r="BQ91" s="40">
        <v>0</v>
      </c>
      <c r="BR91" s="40">
        <v>0</v>
      </c>
      <c r="BS91" s="40">
        <v>0</v>
      </c>
      <c r="BT91" s="40">
        <v>0</v>
      </c>
      <c r="BU91" s="40">
        <v>0</v>
      </c>
      <c r="BV91" s="40">
        <v>0</v>
      </c>
      <c r="BW91" s="40">
        <v>0</v>
      </c>
      <c r="BX91" s="40">
        <v>29.417075484407398</v>
      </c>
      <c r="BY91" s="40">
        <v>7</v>
      </c>
      <c r="BZ91" s="40">
        <v>0</v>
      </c>
      <c r="CA91" s="40">
        <v>0</v>
      </c>
      <c r="CB91" s="40">
        <v>16.689411927335438</v>
      </c>
      <c r="CC91" s="40">
        <v>36.417075484407398</v>
      </c>
      <c r="CD91" s="368">
        <v>0.45828534294252427</v>
      </c>
      <c r="CE91" s="40">
        <v>198.18557111957824</v>
      </c>
      <c r="CF91" s="40">
        <v>8.6025488776254849E-2</v>
      </c>
      <c r="CG91" s="40">
        <v>0.19505359004568604</v>
      </c>
      <c r="CH91" s="40">
        <v>0.28107907882194089</v>
      </c>
      <c r="CI91" s="40">
        <v>4.3012332171980744E-3</v>
      </c>
      <c r="CJ91" s="40">
        <v>9.7526795022842873E-3</v>
      </c>
      <c r="CK91" s="40">
        <v>1.4053912719482361E-2</v>
      </c>
      <c r="CL91" s="40"/>
      <c r="CM91" s="40">
        <v>1.6671247012451769</v>
      </c>
      <c r="CN91" s="40"/>
      <c r="CO91" s="40">
        <v>0</v>
      </c>
      <c r="CP91" s="40">
        <v>0</v>
      </c>
      <c r="CQ91" s="40">
        <v>11.006120717501059</v>
      </c>
      <c r="CR91" s="40">
        <v>0</v>
      </c>
      <c r="CS91" s="40">
        <v>0</v>
      </c>
      <c r="CT91" s="40">
        <v>11.006120717501059</v>
      </c>
      <c r="CU91" s="40">
        <v>0</v>
      </c>
      <c r="CV91" s="40">
        <v>0</v>
      </c>
      <c r="CW91" s="367">
        <v>9999</v>
      </c>
      <c r="CX91" s="19"/>
      <c r="CY91" s="19"/>
      <c r="CZ91" s="19"/>
      <c r="DA91" s="19"/>
      <c r="DB91" s="19"/>
      <c r="DC91" s="19"/>
      <c r="DD91" s="19"/>
      <c r="DE91" s="19"/>
      <c r="DF91" s="19"/>
      <c r="DG91" s="19"/>
      <c r="DH91" s="19"/>
      <c r="DI91" s="19"/>
      <c r="DJ91" s="19"/>
      <c r="DK91" s="19"/>
      <c r="DL91" s="19"/>
      <c r="DM91" s="19"/>
      <c r="DN91" s="19"/>
      <c r="DO91" s="19"/>
      <c r="DP91" s="19"/>
      <c r="DQ91" s="19"/>
      <c r="DR91" s="19"/>
      <c r="DS91" s="19"/>
      <c r="DT91" s="19"/>
      <c r="DU91" s="19"/>
      <c r="DV91" s="19"/>
      <c r="DW91" s="19"/>
      <c r="DX91" s="19"/>
      <c r="DY91" s="19"/>
      <c r="DZ91" s="19"/>
      <c r="EA91" s="19"/>
    </row>
    <row r="92" spans="1:131">
      <c r="A92" s="19" t="s">
        <v>516</v>
      </c>
      <c r="B92" s="19"/>
      <c r="C92" s="40">
        <v>30</v>
      </c>
      <c r="D92" s="40">
        <v>12.393415637860082</v>
      </c>
      <c r="E92" s="40">
        <v>0</v>
      </c>
      <c r="F92" s="40">
        <v>35</v>
      </c>
      <c r="G92" s="40">
        <v>0</v>
      </c>
      <c r="H92" s="40">
        <v>0</v>
      </c>
      <c r="I92" s="40"/>
      <c r="J92" s="40"/>
      <c r="K92" s="40"/>
      <c r="L92" s="40">
        <v>13.391118984663345</v>
      </c>
      <c r="M92" s="40">
        <v>1.0217596715242113E-2</v>
      </c>
      <c r="N92" s="40">
        <v>1.0143850684167125E-2</v>
      </c>
      <c r="O92" s="40">
        <v>0</v>
      </c>
      <c r="P92" s="40">
        <v>0</v>
      </c>
      <c r="Q92" s="40">
        <v>0</v>
      </c>
      <c r="R92" s="40">
        <v>5.4853723698314072</v>
      </c>
      <c r="S92" s="40">
        <v>12.675861226252655</v>
      </c>
      <c r="T92" s="40">
        <v>0</v>
      </c>
      <c r="U92" s="40">
        <v>11.255841888323335</v>
      </c>
      <c r="V92" s="40">
        <v>2.1</v>
      </c>
      <c r="W92" s="40">
        <v>4.9000000000000004</v>
      </c>
      <c r="X92" s="40">
        <v>0</v>
      </c>
      <c r="Y92" s="40">
        <v>0</v>
      </c>
      <c r="Z92" s="40">
        <v>0</v>
      </c>
      <c r="AA92" s="40">
        <v>0</v>
      </c>
      <c r="AB92" s="40">
        <v>0</v>
      </c>
      <c r="AC92" s="40">
        <v>0</v>
      </c>
      <c r="AD92" s="40">
        <v>0</v>
      </c>
      <c r="AE92" s="40">
        <v>0</v>
      </c>
      <c r="AF92" s="40">
        <v>0</v>
      </c>
      <c r="AG92" s="40">
        <v>0</v>
      </c>
      <c r="AH92" s="40">
        <v>7.5853723698314077</v>
      </c>
      <c r="AI92" s="40">
        <v>17.575861226252655</v>
      </c>
      <c r="AJ92" s="40">
        <v>0</v>
      </c>
      <c r="AK92" s="40">
        <v>11.255841888323335</v>
      </c>
      <c r="AL92" s="40">
        <v>36.417075484407398</v>
      </c>
      <c r="AM92" s="40">
        <v>7.2893004309133902</v>
      </c>
      <c r="AN92" s="40">
        <v>3.6103723193566633</v>
      </c>
      <c r="AO92" s="40">
        <v>0</v>
      </c>
      <c r="AP92" s="40">
        <v>0</v>
      </c>
      <c r="AQ92" s="40">
        <v>10.899672750270053</v>
      </c>
      <c r="AR92" s="40">
        <v>7.5853723698314077</v>
      </c>
      <c r="AS92" s="367">
        <v>1.4369331153234219</v>
      </c>
      <c r="AT92" s="40">
        <v>7.2893004309133902</v>
      </c>
      <c r="AU92" s="40">
        <v>4.2736054769661038</v>
      </c>
      <c r="AV92" s="40">
        <v>0</v>
      </c>
      <c r="AW92" s="40">
        <v>0</v>
      </c>
      <c r="AX92" s="40">
        <v>11.562905907879493</v>
      </c>
      <c r="AY92" s="40">
        <v>17.575861226252655</v>
      </c>
      <c r="AZ92" s="368">
        <v>0.65788559428361038</v>
      </c>
      <c r="BA92" s="40">
        <v>7.2893004309133902</v>
      </c>
      <c r="BB92" s="40">
        <v>7.8839777963227675</v>
      </c>
      <c r="BC92" s="40">
        <v>0</v>
      </c>
      <c r="BD92" s="40">
        <v>0</v>
      </c>
      <c r="BE92" s="40">
        <v>15.173278227236157</v>
      </c>
      <c r="BF92" s="40">
        <v>25.161233596084063</v>
      </c>
      <c r="BG92" s="40">
        <v>94.935361568953368</v>
      </c>
      <c r="BH92" s="368">
        <v>0.60304190449539929</v>
      </c>
      <c r="BI92" s="40">
        <v>41.680234228808636</v>
      </c>
      <c r="BJ92" s="40">
        <v>96.576143789171482</v>
      </c>
      <c r="BK92" s="40">
        <v>0</v>
      </c>
      <c r="BL92" s="40">
        <v>61.848793107856295</v>
      </c>
      <c r="BM92" s="40">
        <v>200.10517112583639</v>
      </c>
      <c r="BN92" s="40">
        <v>7.2893004309133902</v>
      </c>
      <c r="BO92" s="40">
        <v>0</v>
      </c>
      <c r="BP92" s="40">
        <v>7.8839777963227675</v>
      </c>
      <c r="BQ92" s="40">
        <v>0</v>
      </c>
      <c r="BR92" s="40">
        <v>0</v>
      </c>
      <c r="BS92" s="40">
        <v>0</v>
      </c>
      <c r="BT92" s="40">
        <v>0</v>
      </c>
      <c r="BU92" s="40">
        <v>0</v>
      </c>
      <c r="BV92" s="40">
        <v>0</v>
      </c>
      <c r="BW92" s="40">
        <v>0</v>
      </c>
      <c r="BX92" s="40">
        <v>29.417075484407398</v>
      </c>
      <c r="BY92" s="40">
        <v>7</v>
      </c>
      <c r="BZ92" s="40">
        <v>0</v>
      </c>
      <c r="CA92" s="40">
        <v>0</v>
      </c>
      <c r="CB92" s="40">
        <v>15.173278227236157</v>
      </c>
      <c r="CC92" s="40">
        <v>36.417075484407398</v>
      </c>
      <c r="CD92" s="368">
        <v>0.41665284829730104</v>
      </c>
      <c r="CE92" s="40">
        <v>156.78415467680966</v>
      </c>
      <c r="CF92" s="40">
        <v>0.12721720448538201</v>
      </c>
      <c r="CG92" s="40">
        <v>0</v>
      </c>
      <c r="CH92" s="40">
        <v>0.12721720448538201</v>
      </c>
      <c r="CI92" s="40">
        <v>6.3607815177150889E-3</v>
      </c>
      <c r="CJ92" s="40">
        <v>0</v>
      </c>
      <c r="CK92" s="40">
        <v>6.3607815177150889E-3</v>
      </c>
      <c r="CL92" s="40"/>
      <c r="CM92" s="40">
        <v>0</v>
      </c>
      <c r="CN92" s="40"/>
      <c r="CO92" s="40">
        <v>0</v>
      </c>
      <c r="CP92" s="40">
        <v>0</v>
      </c>
      <c r="CQ92" s="40">
        <v>0</v>
      </c>
      <c r="CR92" s="40">
        <v>0</v>
      </c>
      <c r="CS92" s="40">
        <v>0</v>
      </c>
      <c r="CT92" s="40">
        <v>0</v>
      </c>
      <c r="CU92" s="40">
        <v>0</v>
      </c>
      <c r="CV92" s="40">
        <v>9999</v>
      </c>
      <c r="CW92" s="367">
        <v>9999</v>
      </c>
      <c r="CX92" s="19"/>
      <c r="CY92" s="19"/>
      <c r="CZ92" s="19"/>
      <c r="DA92" s="19"/>
      <c r="DB92" s="19"/>
      <c r="DC92" s="19"/>
      <c r="DD92" s="19"/>
      <c r="DE92" s="19"/>
      <c r="DF92" s="19"/>
      <c r="DG92" s="19"/>
      <c r="DH92" s="19"/>
      <c r="DI92" s="19"/>
      <c r="DJ92" s="19"/>
      <c r="DK92" s="19"/>
      <c r="DL92" s="19"/>
      <c r="DM92" s="19"/>
      <c r="DN92" s="19"/>
      <c r="DO92" s="19"/>
      <c r="DP92" s="19"/>
      <c r="DQ92" s="19"/>
      <c r="DR92" s="19"/>
      <c r="DS92" s="19"/>
      <c r="DT92" s="19"/>
      <c r="DU92" s="19"/>
      <c r="DV92" s="19"/>
      <c r="DW92" s="19"/>
      <c r="DX92" s="19"/>
      <c r="DY92" s="19"/>
      <c r="DZ92" s="19"/>
      <c r="EA92" s="19"/>
    </row>
    <row r="93" spans="1:131">
      <c r="A93" s="19" t="s">
        <v>517</v>
      </c>
      <c r="B93" s="19"/>
      <c r="C93" s="40">
        <v>29.999999999999996</v>
      </c>
      <c r="D93" s="40">
        <v>11.06241684000152</v>
      </c>
      <c r="E93" s="40">
        <v>1.1052011317906076</v>
      </c>
      <c r="F93" s="40">
        <v>35</v>
      </c>
      <c r="G93" s="40">
        <v>0</v>
      </c>
      <c r="H93" s="40">
        <v>0</v>
      </c>
      <c r="I93" s="40"/>
      <c r="J93" s="40"/>
      <c r="K93" s="40"/>
      <c r="L93" s="40">
        <v>11.882473132003328</v>
      </c>
      <c r="M93" s="40">
        <v>1.7372731455954111E-3</v>
      </c>
      <c r="N93" s="40">
        <v>1.7247342870994888E-3</v>
      </c>
      <c r="O93" s="40">
        <v>1.1162531389501464</v>
      </c>
      <c r="P93" s="40">
        <v>0</v>
      </c>
      <c r="Q93" s="40">
        <v>0</v>
      </c>
      <c r="R93" s="40">
        <v>5.4853723698314072</v>
      </c>
      <c r="S93" s="40">
        <v>12.675861226252655</v>
      </c>
      <c r="T93" s="40">
        <v>0</v>
      </c>
      <c r="U93" s="40">
        <v>11.255841888323335</v>
      </c>
      <c r="V93" s="40">
        <v>2.1</v>
      </c>
      <c r="W93" s="40">
        <v>4.9000000000000004</v>
      </c>
      <c r="X93" s="40">
        <v>0</v>
      </c>
      <c r="Y93" s="40">
        <v>0</v>
      </c>
      <c r="Z93" s="40">
        <v>0</v>
      </c>
      <c r="AA93" s="40">
        <v>0</v>
      </c>
      <c r="AB93" s="40">
        <v>0</v>
      </c>
      <c r="AC93" s="40">
        <v>0</v>
      </c>
      <c r="AD93" s="40">
        <v>0</v>
      </c>
      <c r="AE93" s="40">
        <v>0</v>
      </c>
      <c r="AF93" s="40">
        <v>0</v>
      </c>
      <c r="AG93" s="40">
        <v>0</v>
      </c>
      <c r="AH93" s="40">
        <v>7.5853723698314077</v>
      </c>
      <c r="AI93" s="40">
        <v>17.575861226252655</v>
      </c>
      <c r="AJ93" s="40">
        <v>0</v>
      </c>
      <c r="AK93" s="40">
        <v>11.255841888323335</v>
      </c>
      <c r="AL93" s="40">
        <v>36.417075484407398</v>
      </c>
      <c r="AM93" s="40">
        <v>6.1172486555474634</v>
      </c>
      <c r="AN93" s="40">
        <v>0.61386283397374508</v>
      </c>
      <c r="AO93" s="40">
        <v>0</v>
      </c>
      <c r="AP93" s="40">
        <v>0</v>
      </c>
      <c r="AQ93" s="40">
        <v>6.7311114895212087</v>
      </c>
      <c r="AR93" s="40">
        <v>7.5853723698314077</v>
      </c>
      <c r="AS93" s="368">
        <v>0.8873804951609533</v>
      </c>
      <c r="AT93" s="40">
        <v>6.1172486555474634</v>
      </c>
      <c r="AU93" s="40">
        <v>0.72663075642115449</v>
      </c>
      <c r="AV93" s="40">
        <v>0</v>
      </c>
      <c r="AW93" s="40">
        <v>0</v>
      </c>
      <c r="AX93" s="40">
        <v>6.8438794119686177</v>
      </c>
      <c r="AY93" s="40">
        <v>17.575861226252655</v>
      </c>
      <c r="AZ93" s="368">
        <v>0.38939084258050888</v>
      </c>
      <c r="BA93" s="40">
        <v>6.1172486555474634</v>
      </c>
      <c r="BB93" s="40">
        <v>1.3404935903948996</v>
      </c>
      <c r="BC93" s="40">
        <v>0</v>
      </c>
      <c r="BD93" s="40">
        <v>0</v>
      </c>
      <c r="BE93" s="40">
        <v>7.457742245942363</v>
      </c>
      <c r="BF93" s="40">
        <v>25.161233596084063</v>
      </c>
      <c r="BG93" s="40">
        <v>147.50900122138898</v>
      </c>
      <c r="BH93" s="368">
        <v>0.29639811647005415</v>
      </c>
      <c r="BI93" s="40">
        <v>46.972121852592295</v>
      </c>
      <c r="BJ93" s="40">
        <v>108.83783352116978</v>
      </c>
      <c r="BK93" s="40">
        <v>0</v>
      </c>
      <c r="BL93" s="40">
        <v>69.701360850078785</v>
      </c>
      <c r="BM93" s="40">
        <v>225.51131622384085</v>
      </c>
      <c r="BN93" s="40">
        <v>6.1172486555474634</v>
      </c>
      <c r="BO93" s="40">
        <v>7.3693448302929312</v>
      </c>
      <c r="BP93" s="40">
        <v>1.3404935903948996</v>
      </c>
      <c r="BQ93" s="40">
        <v>0</v>
      </c>
      <c r="BR93" s="40">
        <v>0</v>
      </c>
      <c r="BS93" s="40">
        <v>0</v>
      </c>
      <c r="BT93" s="40">
        <v>0</v>
      </c>
      <c r="BU93" s="40">
        <v>0</v>
      </c>
      <c r="BV93" s="40">
        <v>0</v>
      </c>
      <c r="BW93" s="40">
        <v>0</v>
      </c>
      <c r="BX93" s="40">
        <v>29.417075484407398</v>
      </c>
      <c r="BY93" s="40">
        <v>7</v>
      </c>
      <c r="BZ93" s="40">
        <v>0</v>
      </c>
      <c r="CA93" s="40">
        <v>0</v>
      </c>
      <c r="CB93" s="40">
        <v>14.827087076235294</v>
      </c>
      <c r="CC93" s="40">
        <v>36.417075484407398</v>
      </c>
      <c r="CD93" s="368">
        <v>0.40714656185348458</v>
      </c>
      <c r="CE93" s="40">
        <v>171.57598231194331</v>
      </c>
      <c r="CF93" s="40">
        <v>0.11288457659258538</v>
      </c>
      <c r="CG93" s="40">
        <v>0.13060161725716701</v>
      </c>
      <c r="CH93" s="40">
        <v>0.2434861938497524</v>
      </c>
      <c r="CI93" s="40">
        <v>5.6441747377015796E-3</v>
      </c>
      <c r="CJ93" s="40">
        <v>6.5300808628583583E-3</v>
      </c>
      <c r="CK93" s="40">
        <v>1.2174255600559937E-2</v>
      </c>
      <c r="CL93" s="40"/>
      <c r="CM93" s="40">
        <v>1.1162531389501464</v>
      </c>
      <c r="CN93" s="40"/>
      <c r="CO93" s="40">
        <v>0</v>
      </c>
      <c r="CP93" s="40">
        <v>0</v>
      </c>
      <c r="CQ93" s="40">
        <v>7.3693448302929312</v>
      </c>
      <c r="CR93" s="40">
        <v>0</v>
      </c>
      <c r="CS93" s="40">
        <v>0</v>
      </c>
      <c r="CT93" s="40">
        <v>7.3693448302929312</v>
      </c>
      <c r="CU93" s="40">
        <v>0</v>
      </c>
      <c r="CV93" s="40">
        <v>0</v>
      </c>
      <c r="CW93" s="367">
        <v>9999</v>
      </c>
      <c r="CX93" s="19"/>
      <c r="CY93" s="19"/>
      <c r="CZ93" s="19"/>
      <c r="DA93" s="19"/>
      <c r="DB93" s="19"/>
      <c r="DC93" s="19"/>
      <c r="DD93" s="19"/>
      <c r="DE93" s="19"/>
      <c r="DF93" s="19"/>
      <c r="DG93" s="19"/>
      <c r="DH93" s="19"/>
      <c r="DI93" s="19"/>
      <c r="DJ93" s="19"/>
      <c r="DK93" s="19"/>
      <c r="DL93" s="19"/>
      <c r="DM93" s="19"/>
      <c r="DN93" s="19"/>
      <c r="DO93" s="19"/>
      <c r="DP93" s="19"/>
      <c r="DQ93" s="19"/>
      <c r="DR93" s="19"/>
      <c r="DS93" s="19"/>
      <c r="DT93" s="19"/>
      <c r="DU93" s="19"/>
      <c r="DV93" s="19"/>
      <c r="DW93" s="19"/>
      <c r="DX93" s="19"/>
      <c r="DY93" s="19"/>
      <c r="DZ93" s="19"/>
      <c r="EA93" s="19"/>
    </row>
    <row r="94" spans="1:131">
      <c r="A94" s="19" t="s">
        <v>518</v>
      </c>
      <c r="B94" s="19"/>
      <c r="C94" s="40">
        <v>30</v>
      </c>
      <c r="D94" s="40">
        <v>11.470456727406056</v>
      </c>
      <c r="E94" s="40">
        <v>0</v>
      </c>
      <c r="F94" s="40">
        <v>35</v>
      </c>
      <c r="G94" s="40">
        <v>0</v>
      </c>
      <c r="H94" s="40">
        <v>0</v>
      </c>
      <c r="I94" s="40"/>
      <c r="J94" s="40"/>
      <c r="K94" s="40"/>
      <c r="L94" s="40">
        <v>12.393859395459479</v>
      </c>
      <c r="M94" s="40">
        <v>9.4566747702901563E-3</v>
      </c>
      <c r="N94" s="40">
        <v>9.3884207325832716E-3</v>
      </c>
      <c r="O94" s="40">
        <v>0</v>
      </c>
      <c r="P94" s="40">
        <v>0</v>
      </c>
      <c r="Q94" s="40">
        <v>0</v>
      </c>
      <c r="R94" s="40">
        <v>5.4853723698314072</v>
      </c>
      <c r="S94" s="40">
        <v>12.675861226252655</v>
      </c>
      <c r="T94" s="40">
        <v>0</v>
      </c>
      <c r="U94" s="40">
        <v>11.255841888323335</v>
      </c>
      <c r="V94" s="40">
        <v>2.1</v>
      </c>
      <c r="W94" s="40">
        <v>4.9000000000000004</v>
      </c>
      <c r="X94" s="40">
        <v>0</v>
      </c>
      <c r="Y94" s="40">
        <v>0</v>
      </c>
      <c r="Z94" s="40">
        <v>0</v>
      </c>
      <c r="AA94" s="40">
        <v>0</v>
      </c>
      <c r="AB94" s="40">
        <v>0</v>
      </c>
      <c r="AC94" s="40">
        <v>0</v>
      </c>
      <c r="AD94" s="40">
        <v>0</v>
      </c>
      <c r="AE94" s="40">
        <v>0</v>
      </c>
      <c r="AF94" s="40">
        <v>0</v>
      </c>
      <c r="AG94" s="40">
        <v>0</v>
      </c>
      <c r="AH94" s="40">
        <v>7.5853723698314077</v>
      </c>
      <c r="AI94" s="40">
        <v>17.575861226252655</v>
      </c>
      <c r="AJ94" s="40">
        <v>0</v>
      </c>
      <c r="AK94" s="40">
        <v>11.255841888323335</v>
      </c>
      <c r="AL94" s="40">
        <v>36.417075484407398</v>
      </c>
      <c r="AM94" s="40">
        <v>6.7464537306755847</v>
      </c>
      <c r="AN94" s="40">
        <v>3.3415017029281033</v>
      </c>
      <c r="AO94" s="40">
        <v>0</v>
      </c>
      <c r="AP94" s="40">
        <v>0</v>
      </c>
      <c r="AQ94" s="40">
        <v>10.087955433603689</v>
      </c>
      <c r="AR94" s="40">
        <v>7.5853723698314077</v>
      </c>
      <c r="AS94" s="367">
        <v>1.3299222426740145</v>
      </c>
      <c r="AT94" s="40">
        <v>6.7464537306755847</v>
      </c>
      <c r="AU94" s="40">
        <v>3.9553427502096845</v>
      </c>
      <c r="AV94" s="40">
        <v>0</v>
      </c>
      <c r="AW94" s="40">
        <v>0</v>
      </c>
      <c r="AX94" s="40">
        <v>10.701796480885269</v>
      </c>
      <c r="AY94" s="40">
        <v>17.575861226252655</v>
      </c>
      <c r="AZ94" s="368">
        <v>0.60889172616476084</v>
      </c>
      <c r="BA94" s="40">
        <v>6.7464537306755847</v>
      </c>
      <c r="BB94" s="40">
        <v>7.2968444531377878</v>
      </c>
      <c r="BC94" s="40">
        <v>0</v>
      </c>
      <c r="BD94" s="40">
        <v>0</v>
      </c>
      <c r="BE94" s="40">
        <v>14.043298183813373</v>
      </c>
      <c r="BF94" s="40">
        <v>25.161233596084063</v>
      </c>
      <c r="BG94" s="40">
        <v>106.06002373815117</v>
      </c>
      <c r="BH94" s="368">
        <v>0.55813233998189116</v>
      </c>
      <c r="BI94" s="40">
        <v>45.033992887727301</v>
      </c>
      <c r="BJ94" s="40">
        <v>104.34704729945067</v>
      </c>
      <c r="BK94" s="40">
        <v>0</v>
      </c>
      <c r="BL94" s="40">
        <v>66.825394829680903</v>
      </c>
      <c r="BM94" s="40">
        <v>216.20643501685885</v>
      </c>
      <c r="BN94" s="40">
        <v>6.7464537306755847</v>
      </c>
      <c r="BO94" s="40">
        <v>0</v>
      </c>
      <c r="BP94" s="40">
        <v>7.2968444531377878</v>
      </c>
      <c r="BQ94" s="40">
        <v>0</v>
      </c>
      <c r="BR94" s="40">
        <v>0</v>
      </c>
      <c r="BS94" s="40">
        <v>0</v>
      </c>
      <c r="BT94" s="40">
        <v>0</v>
      </c>
      <c r="BU94" s="40">
        <v>0</v>
      </c>
      <c r="BV94" s="40">
        <v>0</v>
      </c>
      <c r="BW94" s="40">
        <v>0</v>
      </c>
      <c r="BX94" s="40">
        <v>29.417075484407398</v>
      </c>
      <c r="BY94" s="40">
        <v>7</v>
      </c>
      <c r="BZ94" s="40">
        <v>0</v>
      </c>
      <c r="CA94" s="40">
        <v>0</v>
      </c>
      <c r="CB94" s="40">
        <v>14.043298183813373</v>
      </c>
      <c r="CC94" s="40">
        <v>36.417075484407398</v>
      </c>
      <c r="CD94" s="368">
        <v>0.38562399635375044</v>
      </c>
      <c r="CE94" s="40">
        <v>172.88541856783209</v>
      </c>
      <c r="CF94" s="40">
        <v>0.11774312115970495</v>
      </c>
      <c r="CG94" s="40">
        <v>0</v>
      </c>
      <c r="CH94" s="40">
        <v>0.11774312115970495</v>
      </c>
      <c r="CI94" s="40">
        <v>5.887083212843253E-3</v>
      </c>
      <c r="CJ94" s="40">
        <v>0</v>
      </c>
      <c r="CK94" s="40">
        <v>5.887083212843253E-3</v>
      </c>
      <c r="CL94" s="40"/>
      <c r="CM94" s="40">
        <v>0</v>
      </c>
      <c r="CN94" s="40"/>
      <c r="CO94" s="40">
        <v>0</v>
      </c>
      <c r="CP94" s="40">
        <v>0</v>
      </c>
      <c r="CQ94" s="40">
        <v>0</v>
      </c>
      <c r="CR94" s="40">
        <v>0</v>
      </c>
      <c r="CS94" s="40">
        <v>0</v>
      </c>
      <c r="CT94" s="40">
        <v>0</v>
      </c>
      <c r="CU94" s="40">
        <v>0</v>
      </c>
      <c r="CV94" s="40">
        <v>9999</v>
      </c>
      <c r="CW94" s="367">
        <v>9999</v>
      </c>
      <c r="CX94" s="19"/>
      <c r="CY94" s="19"/>
      <c r="CZ94" s="19"/>
      <c r="DA94" s="19"/>
      <c r="DB94" s="19"/>
      <c r="DC94" s="19"/>
      <c r="DD94" s="19"/>
      <c r="DE94" s="19"/>
      <c r="DF94" s="19"/>
      <c r="DG94" s="19"/>
      <c r="DH94" s="19"/>
      <c r="DI94" s="19"/>
      <c r="DJ94" s="19"/>
      <c r="DK94" s="19"/>
      <c r="DL94" s="19"/>
      <c r="DM94" s="19"/>
      <c r="DN94" s="19"/>
      <c r="DO94" s="19"/>
      <c r="DP94" s="19"/>
      <c r="DQ94" s="19"/>
      <c r="DR94" s="19"/>
      <c r="DS94" s="19"/>
      <c r="DT94" s="19"/>
      <c r="DU94" s="19"/>
      <c r="DV94" s="19"/>
      <c r="DW94" s="19"/>
      <c r="DX94" s="19"/>
      <c r="DY94" s="19"/>
      <c r="DZ94" s="19"/>
      <c r="EA94" s="19"/>
    </row>
    <row r="95" spans="1:131">
      <c r="A95" s="19" t="s">
        <v>519</v>
      </c>
      <c r="B95" s="19"/>
      <c r="C95" s="40">
        <v>30</v>
      </c>
      <c r="D95" s="40">
        <v>10.277180081788707</v>
      </c>
      <c r="E95" s="40">
        <v>1.0642741931104147</v>
      </c>
      <c r="F95" s="40">
        <v>35</v>
      </c>
      <c r="G95" s="40">
        <v>0</v>
      </c>
      <c r="H95" s="40">
        <v>0</v>
      </c>
      <c r="I95" s="40"/>
      <c r="J95" s="40"/>
      <c r="K95" s="40"/>
      <c r="L95" s="40">
        <v>11.039026820345102</v>
      </c>
      <c r="M95" s="40">
        <v>1.6139573500773198E-3</v>
      </c>
      <c r="N95" s="40">
        <v>1.6023085296932706E-3</v>
      </c>
      <c r="O95" s="40">
        <v>1.0749169310371411</v>
      </c>
      <c r="P95" s="40">
        <v>0</v>
      </c>
      <c r="Q95" s="40">
        <v>0</v>
      </c>
      <c r="R95" s="40">
        <v>5.4853723698314072</v>
      </c>
      <c r="S95" s="40">
        <v>12.675861226252655</v>
      </c>
      <c r="T95" s="40">
        <v>0</v>
      </c>
      <c r="U95" s="40">
        <v>11.255841888323335</v>
      </c>
      <c r="V95" s="40">
        <v>2.1</v>
      </c>
      <c r="W95" s="40">
        <v>4.9000000000000004</v>
      </c>
      <c r="X95" s="40">
        <v>0</v>
      </c>
      <c r="Y95" s="40">
        <v>0</v>
      </c>
      <c r="Z95" s="40">
        <v>0</v>
      </c>
      <c r="AA95" s="40">
        <v>0</v>
      </c>
      <c r="AB95" s="40">
        <v>0</v>
      </c>
      <c r="AC95" s="40">
        <v>0</v>
      </c>
      <c r="AD95" s="40">
        <v>0</v>
      </c>
      <c r="AE95" s="40">
        <v>0</v>
      </c>
      <c r="AF95" s="40">
        <v>0</v>
      </c>
      <c r="AG95" s="40">
        <v>0</v>
      </c>
      <c r="AH95" s="40">
        <v>7.5853723698314077</v>
      </c>
      <c r="AI95" s="40">
        <v>17.575861226252655</v>
      </c>
      <c r="AJ95" s="40">
        <v>0</v>
      </c>
      <c r="AK95" s="40">
        <v>11.255841888323335</v>
      </c>
      <c r="AL95" s="40">
        <v>36.417075484407398</v>
      </c>
      <c r="AM95" s="40">
        <v>5.6830317413832319</v>
      </c>
      <c r="AN95" s="40">
        <v>0.57028938445466093</v>
      </c>
      <c r="AO95" s="40">
        <v>0</v>
      </c>
      <c r="AP95" s="40">
        <v>0</v>
      </c>
      <c r="AQ95" s="40">
        <v>6.2533211258378927</v>
      </c>
      <c r="AR95" s="40">
        <v>7.5853723698314077</v>
      </c>
      <c r="AS95" s="368">
        <v>0.82439210904248317</v>
      </c>
      <c r="AT95" s="40">
        <v>5.6830317413832319</v>
      </c>
      <c r="AU95" s="40">
        <v>0.67505277053956358</v>
      </c>
      <c r="AV95" s="40">
        <v>0</v>
      </c>
      <c r="AW95" s="40">
        <v>0</v>
      </c>
      <c r="AX95" s="40">
        <v>6.3580845119227956</v>
      </c>
      <c r="AY95" s="40">
        <v>17.575861226252655</v>
      </c>
      <c r="AZ95" s="368">
        <v>0.36175095092500348</v>
      </c>
      <c r="BA95" s="40">
        <v>5.6830317413832319</v>
      </c>
      <c r="BB95" s="40">
        <v>1.2453421549942245</v>
      </c>
      <c r="BC95" s="40">
        <v>0</v>
      </c>
      <c r="BD95" s="40">
        <v>0</v>
      </c>
      <c r="BE95" s="40">
        <v>6.9283738963774564</v>
      </c>
      <c r="BF95" s="40">
        <v>25.161233596084063</v>
      </c>
      <c r="BG95" s="40">
        <v>159.41379448970756</v>
      </c>
      <c r="BH95" s="368">
        <v>0.27535907052886888</v>
      </c>
      <c r="BI95" s="40">
        <v>50.561067107649762</v>
      </c>
      <c r="BJ95" s="40">
        <v>117.15368153443087</v>
      </c>
      <c r="BK95" s="40">
        <v>0</v>
      </c>
      <c r="BL95" s="40">
        <v>75.026953104117723</v>
      </c>
      <c r="BM95" s="40">
        <v>242.74170174619834</v>
      </c>
      <c r="BN95" s="40">
        <v>5.6830317413832319</v>
      </c>
      <c r="BO95" s="40">
        <v>7.096449051138281</v>
      </c>
      <c r="BP95" s="40">
        <v>1.2453421549942245</v>
      </c>
      <c r="BQ95" s="40">
        <v>0</v>
      </c>
      <c r="BR95" s="40">
        <v>0</v>
      </c>
      <c r="BS95" s="40">
        <v>0</v>
      </c>
      <c r="BT95" s="40">
        <v>0</v>
      </c>
      <c r="BU95" s="40">
        <v>0</v>
      </c>
      <c r="BV95" s="40">
        <v>0</v>
      </c>
      <c r="BW95" s="40">
        <v>0</v>
      </c>
      <c r="BX95" s="40">
        <v>29.417075484407398</v>
      </c>
      <c r="BY95" s="40">
        <v>7</v>
      </c>
      <c r="BZ95" s="40">
        <v>0</v>
      </c>
      <c r="CA95" s="40">
        <v>0</v>
      </c>
      <c r="CB95" s="40">
        <v>14.024822947515737</v>
      </c>
      <c r="CC95" s="40">
        <v>36.417075484407398</v>
      </c>
      <c r="CD95" s="368">
        <v>0.38511667290583806</v>
      </c>
      <c r="CE95" s="40">
        <v>187.13864834189428</v>
      </c>
      <c r="CF95" s="40">
        <v>0.10487175984034892</v>
      </c>
      <c r="CG95" s="40">
        <v>0.12576528093134554</v>
      </c>
      <c r="CH95" s="40">
        <v>0.23063704077169445</v>
      </c>
      <c r="CI95" s="40">
        <v>5.2435377396639225E-3</v>
      </c>
      <c r="CJ95" s="40">
        <v>6.2882640465672743E-3</v>
      </c>
      <c r="CK95" s="40">
        <v>1.1531801786231196E-2</v>
      </c>
      <c r="CL95" s="40"/>
      <c r="CM95" s="40">
        <v>1.0749169310371411</v>
      </c>
      <c r="CN95" s="40"/>
      <c r="CO95" s="40">
        <v>0</v>
      </c>
      <c r="CP95" s="40">
        <v>0</v>
      </c>
      <c r="CQ95" s="40">
        <v>7.096449051138281</v>
      </c>
      <c r="CR95" s="40">
        <v>0</v>
      </c>
      <c r="CS95" s="40">
        <v>0</v>
      </c>
      <c r="CT95" s="40">
        <v>7.096449051138281</v>
      </c>
      <c r="CU95" s="40">
        <v>0</v>
      </c>
      <c r="CV95" s="40">
        <v>0</v>
      </c>
      <c r="CW95" s="367">
        <v>9999</v>
      </c>
      <c r="CX95" s="19"/>
      <c r="CY95" s="19"/>
      <c r="CZ95" s="19"/>
      <c r="DA95" s="19"/>
      <c r="DB95" s="19"/>
      <c r="DC95" s="19"/>
      <c r="DD95" s="19"/>
      <c r="DE95" s="19"/>
      <c r="DF95" s="19"/>
      <c r="DG95" s="19"/>
      <c r="DH95" s="19"/>
      <c r="DI95" s="19"/>
      <c r="DJ95" s="19"/>
      <c r="DK95" s="19"/>
      <c r="DL95" s="19"/>
      <c r="DM95" s="19"/>
      <c r="DN95" s="19"/>
      <c r="DO95" s="19"/>
      <c r="DP95" s="19"/>
      <c r="DQ95" s="19"/>
      <c r="DR95" s="19"/>
      <c r="DS95" s="19"/>
      <c r="DT95" s="19"/>
      <c r="DU95" s="19"/>
      <c r="DV95" s="19"/>
      <c r="DW95" s="19"/>
      <c r="DX95" s="19"/>
      <c r="DY95" s="19"/>
      <c r="DZ95" s="19"/>
      <c r="EA95" s="19"/>
    </row>
    <row r="96" spans="1:131">
      <c r="A96" s="19" t="s">
        <v>520</v>
      </c>
      <c r="B96" s="19"/>
      <c r="C96" s="40">
        <v>29.999999999999996</v>
      </c>
      <c r="D96" s="40">
        <v>11.357201646090534</v>
      </c>
      <c r="E96" s="40">
        <v>0</v>
      </c>
      <c r="F96" s="40">
        <v>35</v>
      </c>
      <c r="G96" s="40">
        <v>0</v>
      </c>
      <c r="H96" s="40">
        <v>0</v>
      </c>
      <c r="I96" s="40"/>
      <c r="J96" s="40"/>
      <c r="K96" s="40"/>
      <c r="L96" s="40">
        <v>12.271486974988012</v>
      </c>
      <c r="M96" s="40">
        <v>9.3633030331800975E-3</v>
      </c>
      <c r="N96" s="40">
        <v>9.295722910799718E-3</v>
      </c>
      <c r="O96" s="40">
        <v>0</v>
      </c>
      <c r="P96" s="40">
        <v>0</v>
      </c>
      <c r="Q96" s="40">
        <v>0</v>
      </c>
      <c r="R96" s="40">
        <v>5.4853723698314072</v>
      </c>
      <c r="S96" s="40">
        <v>12.675861226252655</v>
      </c>
      <c r="T96" s="40">
        <v>0</v>
      </c>
      <c r="U96" s="40">
        <v>11.255841888323335</v>
      </c>
      <c r="V96" s="40">
        <v>2.1</v>
      </c>
      <c r="W96" s="40">
        <v>4.9000000000000004</v>
      </c>
      <c r="X96" s="40">
        <v>0</v>
      </c>
      <c r="Y96" s="40">
        <v>0</v>
      </c>
      <c r="Z96" s="40">
        <v>0</v>
      </c>
      <c r="AA96" s="40">
        <v>0</v>
      </c>
      <c r="AB96" s="40">
        <v>0</v>
      </c>
      <c r="AC96" s="40">
        <v>0</v>
      </c>
      <c r="AD96" s="40">
        <v>0</v>
      </c>
      <c r="AE96" s="40">
        <v>0</v>
      </c>
      <c r="AF96" s="40">
        <v>0</v>
      </c>
      <c r="AG96" s="40">
        <v>0</v>
      </c>
      <c r="AH96" s="40">
        <v>7.5853723698314077</v>
      </c>
      <c r="AI96" s="40">
        <v>17.575861226252655</v>
      </c>
      <c r="AJ96" s="40">
        <v>0</v>
      </c>
      <c r="AK96" s="40">
        <v>11.255841888323335</v>
      </c>
      <c r="AL96" s="40">
        <v>36.417075484407398</v>
      </c>
      <c r="AM96" s="40">
        <v>6.6798417217541379</v>
      </c>
      <c r="AN96" s="40">
        <v>3.308508941081326</v>
      </c>
      <c r="AO96" s="40">
        <v>0</v>
      </c>
      <c r="AP96" s="40">
        <v>0</v>
      </c>
      <c r="AQ96" s="40">
        <v>9.9883506628354635</v>
      </c>
      <c r="AR96" s="40">
        <v>7.5853723698314077</v>
      </c>
      <c r="AS96" s="367">
        <v>1.316791078386764</v>
      </c>
      <c r="AT96" s="40">
        <v>6.6798417217541379</v>
      </c>
      <c r="AU96" s="40">
        <v>3.9162891470749934</v>
      </c>
      <c r="AV96" s="40">
        <v>0</v>
      </c>
      <c r="AW96" s="40">
        <v>0</v>
      </c>
      <c r="AX96" s="40">
        <v>10.596130868829132</v>
      </c>
      <c r="AY96" s="40">
        <v>17.575861226252655</v>
      </c>
      <c r="AZ96" s="368">
        <v>0.60287975265769267</v>
      </c>
      <c r="BA96" s="40">
        <v>6.6798417217541379</v>
      </c>
      <c r="BB96" s="40">
        <v>7.2247980881563194</v>
      </c>
      <c r="BC96" s="40">
        <v>0</v>
      </c>
      <c r="BD96" s="40">
        <v>0</v>
      </c>
      <c r="BE96" s="40">
        <v>13.904639809910458</v>
      </c>
      <c r="BF96" s="40">
        <v>25.161233596084063</v>
      </c>
      <c r="BG96" s="40">
        <v>107.54966549855966</v>
      </c>
      <c r="BH96" s="368">
        <v>0.55262154603081504</v>
      </c>
      <c r="BI96" s="40">
        <v>45.483076093731469</v>
      </c>
      <c r="BJ96" s="40">
        <v>105.38760585385495</v>
      </c>
      <c r="BK96" s="40">
        <v>0</v>
      </c>
      <c r="BL96" s="40">
        <v>67.49178394217698</v>
      </c>
      <c r="BM96" s="40">
        <v>218.3624658897634</v>
      </c>
      <c r="BN96" s="40">
        <v>6.6798417217541379</v>
      </c>
      <c r="BO96" s="40">
        <v>0</v>
      </c>
      <c r="BP96" s="40">
        <v>7.2247980881563194</v>
      </c>
      <c r="BQ96" s="40">
        <v>0</v>
      </c>
      <c r="BR96" s="40">
        <v>0</v>
      </c>
      <c r="BS96" s="40">
        <v>0</v>
      </c>
      <c r="BT96" s="40">
        <v>0</v>
      </c>
      <c r="BU96" s="40">
        <v>0</v>
      </c>
      <c r="BV96" s="40">
        <v>0</v>
      </c>
      <c r="BW96" s="40">
        <v>0</v>
      </c>
      <c r="BX96" s="40">
        <v>29.417075484407398</v>
      </c>
      <c r="BY96" s="40">
        <v>7</v>
      </c>
      <c r="BZ96" s="40">
        <v>0</v>
      </c>
      <c r="CA96" s="40">
        <v>0</v>
      </c>
      <c r="CB96" s="40">
        <v>13.904639809910456</v>
      </c>
      <c r="CC96" s="40">
        <v>36.417075484407398</v>
      </c>
      <c r="CD96" s="368">
        <v>0.38181648649584637</v>
      </c>
      <c r="CE96" s="40">
        <v>175.04144944073664</v>
      </c>
      <c r="CF96" s="40">
        <v>0.11658056878030187</v>
      </c>
      <c r="CG96" s="40">
        <v>0</v>
      </c>
      <c r="CH96" s="40">
        <v>0.11658056878030187</v>
      </c>
      <c r="CI96" s="40">
        <v>5.8289563131193071E-3</v>
      </c>
      <c r="CJ96" s="40">
        <v>0</v>
      </c>
      <c r="CK96" s="40">
        <v>5.8289563131193071E-3</v>
      </c>
      <c r="CL96" s="40"/>
      <c r="CM96" s="40">
        <v>0</v>
      </c>
      <c r="CN96" s="40"/>
      <c r="CO96" s="40">
        <v>0</v>
      </c>
      <c r="CP96" s="40">
        <v>0</v>
      </c>
      <c r="CQ96" s="40">
        <v>0</v>
      </c>
      <c r="CR96" s="40">
        <v>0</v>
      </c>
      <c r="CS96" s="40">
        <v>0</v>
      </c>
      <c r="CT96" s="40">
        <v>0</v>
      </c>
      <c r="CU96" s="40">
        <v>0</v>
      </c>
      <c r="CV96" s="40">
        <v>9999</v>
      </c>
      <c r="CW96" s="367">
        <v>9999</v>
      </c>
      <c r="CX96" s="19"/>
      <c r="CY96" s="19"/>
      <c r="CZ96" s="19"/>
      <c r="DA96" s="19"/>
      <c r="DB96" s="19"/>
      <c r="DC96" s="19"/>
      <c r="DD96" s="19"/>
      <c r="DE96" s="19"/>
      <c r="DF96" s="19"/>
      <c r="DG96" s="19"/>
      <c r="DH96" s="19"/>
      <c r="DI96" s="19"/>
      <c r="DJ96" s="19"/>
      <c r="DK96" s="19"/>
      <c r="DL96" s="19"/>
      <c r="DM96" s="19"/>
      <c r="DN96" s="19"/>
      <c r="DO96" s="19"/>
      <c r="DP96" s="19"/>
      <c r="DQ96" s="19"/>
      <c r="DR96" s="19"/>
      <c r="DS96" s="19"/>
      <c r="DT96" s="19"/>
      <c r="DU96" s="19"/>
      <c r="DV96" s="19"/>
      <c r="DW96" s="19"/>
      <c r="DX96" s="19"/>
      <c r="DY96" s="19"/>
      <c r="DZ96" s="19"/>
      <c r="EA96" s="19"/>
    </row>
    <row r="97" spans="1:131">
      <c r="A97" s="19" t="s">
        <v>521</v>
      </c>
      <c r="B97" s="19"/>
      <c r="C97" s="40">
        <v>30.000000000000004</v>
      </c>
      <c r="D97" s="40">
        <v>6.892343697759947</v>
      </c>
      <c r="E97" s="40">
        <v>1.3704446673353394</v>
      </c>
      <c r="F97" s="40">
        <v>35</v>
      </c>
      <c r="G97" s="40">
        <v>0</v>
      </c>
      <c r="H97" s="40">
        <v>0</v>
      </c>
      <c r="I97" s="40"/>
      <c r="J97" s="40"/>
      <c r="K97" s="40"/>
      <c r="L97" s="40">
        <v>7.4032727196667265</v>
      </c>
      <c r="M97" s="40">
        <v>1.0823930963290735E-3</v>
      </c>
      <c r="N97" s="40">
        <v>1.0745808683520033E-3</v>
      </c>
      <c r="O97" s="40">
        <v>1.3841491088523352</v>
      </c>
      <c r="P97" s="40">
        <v>0</v>
      </c>
      <c r="Q97" s="40">
        <v>0</v>
      </c>
      <c r="R97" s="40">
        <v>5.4853723698314072</v>
      </c>
      <c r="S97" s="40">
        <v>12.675861226252655</v>
      </c>
      <c r="T97" s="40">
        <v>0</v>
      </c>
      <c r="U97" s="40">
        <v>11.255841888323335</v>
      </c>
      <c r="V97" s="40">
        <v>2.1</v>
      </c>
      <c r="W97" s="40">
        <v>4.9000000000000004</v>
      </c>
      <c r="X97" s="40">
        <v>0</v>
      </c>
      <c r="Y97" s="40">
        <v>0</v>
      </c>
      <c r="Z97" s="40">
        <v>0</v>
      </c>
      <c r="AA97" s="40">
        <v>0</v>
      </c>
      <c r="AB97" s="40">
        <v>0</v>
      </c>
      <c r="AC97" s="40">
        <v>0</v>
      </c>
      <c r="AD97" s="40">
        <v>0</v>
      </c>
      <c r="AE97" s="40">
        <v>0</v>
      </c>
      <c r="AF97" s="40">
        <v>0</v>
      </c>
      <c r="AG97" s="40">
        <v>0</v>
      </c>
      <c r="AH97" s="40">
        <v>7.5853723698314077</v>
      </c>
      <c r="AI97" s="40">
        <v>17.575861226252655</v>
      </c>
      <c r="AJ97" s="40">
        <v>0</v>
      </c>
      <c r="AK97" s="40">
        <v>11.255841888323335</v>
      </c>
      <c r="AL97" s="40">
        <v>36.417075484407398</v>
      </c>
      <c r="AM97" s="40">
        <v>3.8112991788770132</v>
      </c>
      <c r="AN97" s="40">
        <v>0.382461960728956</v>
      </c>
      <c r="AO97" s="40">
        <v>0</v>
      </c>
      <c r="AP97" s="40">
        <v>0</v>
      </c>
      <c r="AQ97" s="40">
        <v>4.1937611396059689</v>
      </c>
      <c r="AR97" s="40">
        <v>7.5853723698314077</v>
      </c>
      <c r="AS97" s="368">
        <v>0.55287478783314881</v>
      </c>
      <c r="AT97" s="40">
        <v>3.8112991788770132</v>
      </c>
      <c r="AU97" s="40">
        <v>0.45272104523383699</v>
      </c>
      <c r="AV97" s="40">
        <v>0</v>
      </c>
      <c r="AW97" s="40">
        <v>0</v>
      </c>
      <c r="AX97" s="40">
        <v>4.2640202241108502</v>
      </c>
      <c r="AY97" s="40">
        <v>17.575861226252655</v>
      </c>
      <c r="AZ97" s="368">
        <v>0.24260661649636733</v>
      </c>
      <c r="BA97" s="40">
        <v>3.8112991788770132</v>
      </c>
      <c r="BB97" s="40">
        <v>0.83518300596279293</v>
      </c>
      <c r="BC97" s="40">
        <v>0</v>
      </c>
      <c r="BD97" s="40">
        <v>0</v>
      </c>
      <c r="BE97" s="40">
        <v>4.6464821848398064</v>
      </c>
      <c r="BF97" s="40">
        <v>25.161233596084063</v>
      </c>
      <c r="BG97" s="40">
        <v>241.77866313757465</v>
      </c>
      <c r="BH97" s="368">
        <v>0.18466829804254731</v>
      </c>
      <c r="BI97" s="40">
        <v>75.391654069950349</v>
      </c>
      <c r="BJ97" s="40">
        <v>174.68796321999739</v>
      </c>
      <c r="BK97" s="40">
        <v>0</v>
      </c>
      <c r="BL97" s="40">
        <v>111.87275937639835</v>
      </c>
      <c r="BM97" s="40">
        <v>361.95237666634608</v>
      </c>
      <c r="BN97" s="40">
        <v>3.8112991788770132</v>
      </c>
      <c r="BO97" s="40">
        <v>9.1379560099325126</v>
      </c>
      <c r="BP97" s="40">
        <v>0.83518300596279293</v>
      </c>
      <c r="BQ97" s="40">
        <v>0</v>
      </c>
      <c r="BR97" s="40">
        <v>0</v>
      </c>
      <c r="BS97" s="40">
        <v>0</v>
      </c>
      <c r="BT97" s="40">
        <v>0</v>
      </c>
      <c r="BU97" s="40">
        <v>0</v>
      </c>
      <c r="BV97" s="40">
        <v>0</v>
      </c>
      <c r="BW97" s="40">
        <v>0</v>
      </c>
      <c r="BX97" s="40">
        <v>29.417075484407398</v>
      </c>
      <c r="BY97" s="40">
        <v>7</v>
      </c>
      <c r="BZ97" s="40">
        <v>0</v>
      </c>
      <c r="CA97" s="40">
        <v>0</v>
      </c>
      <c r="CB97" s="40">
        <v>13.784438194772317</v>
      </c>
      <c r="CC97" s="40">
        <v>36.417075484407398</v>
      </c>
      <c r="CD97" s="368">
        <v>0.3785157926993441</v>
      </c>
      <c r="CE97" s="40">
        <v>262.82850904076571</v>
      </c>
      <c r="CF97" s="40">
        <v>7.0331764867043151E-2</v>
      </c>
      <c r="CG97" s="40">
        <v>0.1619454457357232</v>
      </c>
      <c r="CH97" s="40">
        <v>0.23227721060276635</v>
      </c>
      <c r="CI97" s="40">
        <v>3.5165545418416938E-3</v>
      </c>
      <c r="CJ97" s="40">
        <v>8.0972722867861616E-3</v>
      </c>
      <c r="CK97" s="40">
        <v>1.1613826828627855E-2</v>
      </c>
      <c r="CL97" s="40"/>
      <c r="CM97" s="40">
        <v>1.3841491088523352</v>
      </c>
      <c r="CN97" s="40"/>
      <c r="CO97" s="40">
        <v>0</v>
      </c>
      <c r="CP97" s="40">
        <v>0</v>
      </c>
      <c r="CQ97" s="40">
        <v>9.1379560099325126</v>
      </c>
      <c r="CR97" s="40">
        <v>0</v>
      </c>
      <c r="CS97" s="40">
        <v>0</v>
      </c>
      <c r="CT97" s="40">
        <v>9.1379560099325126</v>
      </c>
      <c r="CU97" s="40">
        <v>0</v>
      </c>
      <c r="CV97" s="40">
        <v>0</v>
      </c>
      <c r="CW97" s="367">
        <v>9999</v>
      </c>
      <c r="CX97" s="19"/>
      <c r="CY97" s="19"/>
      <c r="CZ97" s="19"/>
      <c r="DA97" s="19"/>
      <c r="DB97" s="19"/>
      <c r="DC97" s="19"/>
      <c r="DD97" s="19"/>
      <c r="DE97" s="19"/>
      <c r="DF97" s="19"/>
      <c r="DG97" s="19"/>
      <c r="DH97" s="19"/>
      <c r="DI97" s="19"/>
      <c r="DJ97" s="19"/>
      <c r="DK97" s="19"/>
      <c r="DL97" s="19"/>
      <c r="DM97" s="19"/>
      <c r="DN97" s="19"/>
      <c r="DO97" s="19"/>
      <c r="DP97" s="19"/>
      <c r="DQ97" s="19"/>
      <c r="DR97" s="19"/>
      <c r="DS97" s="19"/>
      <c r="DT97" s="19"/>
      <c r="DU97" s="19"/>
      <c r="DV97" s="19"/>
      <c r="DW97" s="19"/>
      <c r="DX97" s="19"/>
      <c r="DY97" s="19"/>
      <c r="DZ97" s="19"/>
      <c r="EA97" s="19"/>
    </row>
    <row r="98" spans="1:131">
      <c r="A98" s="19" t="s">
        <v>522</v>
      </c>
      <c r="B98" s="19"/>
      <c r="C98" s="40">
        <v>30</v>
      </c>
      <c r="D98" s="40">
        <v>9.7257743044429841</v>
      </c>
      <c r="E98" s="40">
        <v>0.70805341790988041</v>
      </c>
      <c r="F98" s="40">
        <v>35</v>
      </c>
      <c r="G98" s="40">
        <v>0</v>
      </c>
      <c r="H98" s="40">
        <v>0</v>
      </c>
      <c r="I98" s="40"/>
      <c r="J98" s="40"/>
      <c r="K98" s="40"/>
      <c r="L98" s="40">
        <v>10.446745366038499</v>
      </c>
      <c r="M98" s="40">
        <v>1.5273630313887504E-3</v>
      </c>
      <c r="N98" s="40">
        <v>1.5163392099643294E-3</v>
      </c>
      <c r="O98" s="40">
        <v>0.7151339494248975</v>
      </c>
      <c r="P98" s="40">
        <v>0</v>
      </c>
      <c r="Q98" s="40">
        <v>0</v>
      </c>
      <c r="R98" s="40">
        <v>5.4853723698314072</v>
      </c>
      <c r="S98" s="40">
        <v>12.675861226252655</v>
      </c>
      <c r="T98" s="40">
        <v>0</v>
      </c>
      <c r="U98" s="40">
        <v>11.255841888323335</v>
      </c>
      <c r="V98" s="40">
        <v>2.1</v>
      </c>
      <c r="W98" s="40">
        <v>4.9000000000000004</v>
      </c>
      <c r="X98" s="40">
        <v>0</v>
      </c>
      <c r="Y98" s="40">
        <v>0</v>
      </c>
      <c r="Z98" s="40">
        <v>0</v>
      </c>
      <c r="AA98" s="40">
        <v>0</v>
      </c>
      <c r="AB98" s="40">
        <v>0</v>
      </c>
      <c r="AC98" s="40">
        <v>0</v>
      </c>
      <c r="AD98" s="40">
        <v>0</v>
      </c>
      <c r="AE98" s="40">
        <v>0</v>
      </c>
      <c r="AF98" s="40">
        <v>0</v>
      </c>
      <c r="AG98" s="40">
        <v>0</v>
      </c>
      <c r="AH98" s="40">
        <v>7.5853723698314077</v>
      </c>
      <c r="AI98" s="40">
        <v>17.575861226252655</v>
      </c>
      <c r="AJ98" s="40">
        <v>0</v>
      </c>
      <c r="AK98" s="40">
        <v>11.255841888323335</v>
      </c>
      <c r="AL98" s="40">
        <v>36.417075484407398</v>
      </c>
      <c r="AM98" s="40">
        <v>5.3781176978324421</v>
      </c>
      <c r="AN98" s="40">
        <v>0.53969141313911806</v>
      </c>
      <c r="AO98" s="40">
        <v>0</v>
      </c>
      <c r="AP98" s="40">
        <v>0</v>
      </c>
      <c r="AQ98" s="40">
        <v>5.91780911097156</v>
      </c>
      <c r="AR98" s="40">
        <v>7.5853723698314077</v>
      </c>
      <c r="AS98" s="368">
        <v>0.78016065954888503</v>
      </c>
      <c r="AT98" s="40">
        <v>5.3781176978324421</v>
      </c>
      <c r="AU98" s="40">
        <v>0.63883388610565683</v>
      </c>
      <c r="AV98" s="40">
        <v>0</v>
      </c>
      <c r="AW98" s="40">
        <v>0</v>
      </c>
      <c r="AX98" s="40">
        <v>6.0169515839380985</v>
      </c>
      <c r="AY98" s="40">
        <v>17.575861226252655</v>
      </c>
      <c r="AZ98" s="368">
        <v>0.34234177810591254</v>
      </c>
      <c r="BA98" s="40">
        <v>5.3781176978324421</v>
      </c>
      <c r="BB98" s="40">
        <v>1.1785252992447748</v>
      </c>
      <c r="BC98" s="40">
        <v>0</v>
      </c>
      <c r="BD98" s="40">
        <v>0</v>
      </c>
      <c r="BE98" s="40">
        <v>6.5566429970772164</v>
      </c>
      <c r="BF98" s="40">
        <v>25.161233596084063</v>
      </c>
      <c r="BG98" s="40">
        <v>168.9224339514605</v>
      </c>
      <c r="BH98" s="368">
        <v>0.26058511686397012</v>
      </c>
      <c r="BI98" s="40">
        <v>53.427642419724066</v>
      </c>
      <c r="BJ98" s="40">
        <v>123.79574568410948</v>
      </c>
      <c r="BK98" s="40">
        <v>0</v>
      </c>
      <c r="BL98" s="40">
        <v>79.28062937741538</v>
      </c>
      <c r="BM98" s="40">
        <v>256.50401748124892</v>
      </c>
      <c r="BN98" s="40">
        <v>5.3781176978324421</v>
      </c>
      <c r="BO98" s="40">
        <v>4.7212128586871582</v>
      </c>
      <c r="BP98" s="40">
        <v>1.1785252992447748</v>
      </c>
      <c r="BQ98" s="40">
        <v>0</v>
      </c>
      <c r="BR98" s="40">
        <v>0</v>
      </c>
      <c r="BS98" s="40">
        <v>0</v>
      </c>
      <c r="BT98" s="40">
        <v>0</v>
      </c>
      <c r="BU98" s="40">
        <v>0</v>
      </c>
      <c r="BV98" s="40">
        <v>0</v>
      </c>
      <c r="BW98" s="40">
        <v>0</v>
      </c>
      <c r="BX98" s="40">
        <v>29.417075484407398</v>
      </c>
      <c r="BY98" s="40">
        <v>7</v>
      </c>
      <c r="BZ98" s="40">
        <v>0</v>
      </c>
      <c r="CA98" s="40">
        <v>0</v>
      </c>
      <c r="CB98" s="40">
        <v>11.277855855764376</v>
      </c>
      <c r="CC98" s="40">
        <v>36.417075484407398</v>
      </c>
      <c r="CD98" s="368">
        <v>0.30968592907997744</v>
      </c>
      <c r="CE98" s="40">
        <v>214.94915566251467</v>
      </c>
      <c r="CF98" s="40">
        <v>9.9245032100231362E-2</v>
      </c>
      <c r="CG98" s="40">
        <v>8.3670672082713032E-2</v>
      </c>
      <c r="CH98" s="40">
        <v>0.18291570418294439</v>
      </c>
      <c r="CI98" s="40">
        <v>4.9622040488682866E-3</v>
      </c>
      <c r="CJ98" s="40">
        <v>4.1835336041356518E-3</v>
      </c>
      <c r="CK98" s="40">
        <v>9.1457376530039384E-3</v>
      </c>
      <c r="CL98" s="40"/>
      <c r="CM98" s="40">
        <v>0.7151339494248975</v>
      </c>
      <c r="CN98" s="40"/>
      <c r="CO98" s="40">
        <v>0</v>
      </c>
      <c r="CP98" s="40">
        <v>0</v>
      </c>
      <c r="CQ98" s="40">
        <v>4.7212128586871582</v>
      </c>
      <c r="CR98" s="40">
        <v>0</v>
      </c>
      <c r="CS98" s="40">
        <v>0</v>
      </c>
      <c r="CT98" s="40">
        <v>4.7212128586871582</v>
      </c>
      <c r="CU98" s="40">
        <v>0</v>
      </c>
      <c r="CV98" s="40">
        <v>0</v>
      </c>
      <c r="CW98" s="367">
        <v>9999</v>
      </c>
      <c r="CX98" s="19"/>
      <c r="CY98" s="19"/>
      <c r="CZ98" s="19"/>
      <c r="DA98" s="19"/>
      <c r="DB98" s="19"/>
      <c r="DC98" s="19"/>
      <c r="DD98" s="19"/>
      <c r="DE98" s="19"/>
      <c r="DF98" s="19"/>
      <c r="DG98" s="19"/>
      <c r="DH98" s="19"/>
      <c r="DI98" s="19"/>
      <c r="DJ98" s="19"/>
      <c r="DK98" s="19"/>
      <c r="DL98" s="19"/>
      <c r="DM98" s="19"/>
      <c r="DN98" s="19"/>
      <c r="DO98" s="19"/>
      <c r="DP98" s="19"/>
      <c r="DQ98" s="19"/>
      <c r="DR98" s="19"/>
      <c r="DS98" s="19"/>
      <c r="DT98" s="19"/>
      <c r="DU98" s="19"/>
      <c r="DV98" s="19"/>
      <c r="DW98" s="19"/>
      <c r="DX98" s="19"/>
      <c r="DY98" s="19"/>
      <c r="DZ98" s="19"/>
      <c r="EA98" s="19"/>
    </row>
    <row r="99" spans="1:131">
      <c r="A99" s="19" t="s">
        <v>523</v>
      </c>
      <c r="B99" s="19"/>
      <c r="C99" s="40">
        <v>30</v>
      </c>
      <c r="D99" s="40">
        <v>9.1407407407407426</v>
      </c>
      <c r="E99" s="40">
        <v>0</v>
      </c>
      <c r="F99" s="40">
        <v>35</v>
      </c>
      <c r="G99" s="40">
        <v>0</v>
      </c>
      <c r="H99" s="40">
        <v>0</v>
      </c>
      <c r="I99" s="40"/>
      <c r="J99" s="40"/>
      <c r="K99" s="40"/>
      <c r="L99" s="40">
        <v>9.8765949955951093</v>
      </c>
      <c r="M99" s="40">
        <v>7.5359695257988402E-3</v>
      </c>
      <c r="N99" s="40">
        <v>7.4815782772187618E-3</v>
      </c>
      <c r="O99" s="40">
        <v>0</v>
      </c>
      <c r="P99" s="40">
        <v>0</v>
      </c>
      <c r="Q99" s="40">
        <v>0</v>
      </c>
      <c r="R99" s="40">
        <v>5.4853723698314072</v>
      </c>
      <c r="S99" s="40">
        <v>12.675861226252655</v>
      </c>
      <c r="T99" s="40">
        <v>0</v>
      </c>
      <c r="U99" s="40">
        <v>11.255841888323335</v>
      </c>
      <c r="V99" s="40">
        <v>2.1</v>
      </c>
      <c r="W99" s="40">
        <v>4.9000000000000004</v>
      </c>
      <c r="X99" s="40">
        <v>0</v>
      </c>
      <c r="Y99" s="40">
        <v>0</v>
      </c>
      <c r="Z99" s="40">
        <v>0</v>
      </c>
      <c r="AA99" s="40">
        <v>0</v>
      </c>
      <c r="AB99" s="40">
        <v>0</v>
      </c>
      <c r="AC99" s="40">
        <v>0</v>
      </c>
      <c r="AD99" s="40">
        <v>0</v>
      </c>
      <c r="AE99" s="40">
        <v>0</v>
      </c>
      <c r="AF99" s="40">
        <v>0</v>
      </c>
      <c r="AG99" s="40">
        <v>0</v>
      </c>
      <c r="AH99" s="40">
        <v>7.5853723698314077</v>
      </c>
      <c r="AI99" s="40">
        <v>17.575861226252655</v>
      </c>
      <c r="AJ99" s="40">
        <v>0</v>
      </c>
      <c r="AK99" s="40">
        <v>11.255841888323335</v>
      </c>
      <c r="AL99" s="40">
        <v>36.417075484407398</v>
      </c>
      <c r="AM99" s="40">
        <v>5.3762100269440838</v>
      </c>
      <c r="AN99" s="40">
        <v>2.6628234147147785</v>
      </c>
      <c r="AO99" s="40">
        <v>0</v>
      </c>
      <c r="AP99" s="40">
        <v>0</v>
      </c>
      <c r="AQ99" s="40">
        <v>8.0390334416588622</v>
      </c>
      <c r="AR99" s="40">
        <v>7.5853723698314077</v>
      </c>
      <c r="AS99" s="367">
        <v>1.059807356805812</v>
      </c>
      <c r="AT99" s="40">
        <v>5.3762100269440838</v>
      </c>
      <c r="AU99" s="40">
        <v>3.1519898012475465</v>
      </c>
      <c r="AV99" s="40">
        <v>0</v>
      </c>
      <c r="AW99" s="40">
        <v>0</v>
      </c>
      <c r="AX99" s="40">
        <v>8.5281998281916298</v>
      </c>
      <c r="AY99" s="40">
        <v>17.575861226252655</v>
      </c>
      <c r="AZ99" s="368">
        <v>0.48522230110995962</v>
      </c>
      <c r="BA99" s="40">
        <v>5.3762100269440838</v>
      </c>
      <c r="BB99" s="40">
        <v>5.8148132159623245</v>
      </c>
      <c r="BC99" s="40">
        <v>0</v>
      </c>
      <c r="BD99" s="40">
        <v>0</v>
      </c>
      <c r="BE99" s="40">
        <v>11.191023242906407</v>
      </c>
      <c r="BF99" s="40">
        <v>25.161233596084063</v>
      </c>
      <c r="BG99" s="40">
        <v>144.13302102573857</v>
      </c>
      <c r="BH99" s="368">
        <v>0.44477243932301108</v>
      </c>
      <c r="BI99" s="40">
        <v>56.511882497514883</v>
      </c>
      <c r="BJ99" s="40">
        <v>130.94215497725045</v>
      </c>
      <c r="BK99" s="40">
        <v>0</v>
      </c>
      <c r="BL99" s="40">
        <v>83.857295751674755</v>
      </c>
      <c r="BM99" s="40">
        <v>271.31133322644007</v>
      </c>
      <c r="BN99" s="40">
        <v>5.3762100269440838</v>
      </c>
      <c r="BO99" s="40">
        <v>0</v>
      </c>
      <c r="BP99" s="40">
        <v>5.8148132159623245</v>
      </c>
      <c r="BQ99" s="40">
        <v>0</v>
      </c>
      <c r="BR99" s="40">
        <v>0</v>
      </c>
      <c r="BS99" s="40">
        <v>0</v>
      </c>
      <c r="BT99" s="40">
        <v>0</v>
      </c>
      <c r="BU99" s="40">
        <v>0</v>
      </c>
      <c r="BV99" s="40">
        <v>0</v>
      </c>
      <c r="BW99" s="40">
        <v>0</v>
      </c>
      <c r="BX99" s="40">
        <v>29.417075484407398</v>
      </c>
      <c r="BY99" s="40">
        <v>7</v>
      </c>
      <c r="BZ99" s="40">
        <v>0</v>
      </c>
      <c r="CA99" s="40">
        <v>0</v>
      </c>
      <c r="CB99" s="40">
        <v>11.191023242906409</v>
      </c>
      <c r="CC99" s="40">
        <v>36.417075484407398</v>
      </c>
      <c r="CD99" s="368">
        <v>0.30730153627240164</v>
      </c>
      <c r="CE99" s="40">
        <v>227.99031677741331</v>
      </c>
      <c r="CF99" s="40">
        <v>9.3828813455615237E-2</v>
      </c>
      <c r="CG99" s="40">
        <v>0</v>
      </c>
      <c r="CH99" s="40">
        <v>9.3828813455615237E-2</v>
      </c>
      <c r="CI99" s="40">
        <v>4.6913826229076777E-3</v>
      </c>
      <c r="CJ99" s="40">
        <v>0</v>
      </c>
      <c r="CK99" s="40">
        <v>4.6913826229076777E-3</v>
      </c>
      <c r="CL99" s="40"/>
      <c r="CM99" s="40">
        <v>0</v>
      </c>
      <c r="CN99" s="40"/>
      <c r="CO99" s="40">
        <v>0</v>
      </c>
      <c r="CP99" s="40">
        <v>0</v>
      </c>
      <c r="CQ99" s="40">
        <v>0</v>
      </c>
      <c r="CR99" s="40">
        <v>0</v>
      </c>
      <c r="CS99" s="40">
        <v>0</v>
      </c>
      <c r="CT99" s="40">
        <v>0</v>
      </c>
      <c r="CU99" s="40">
        <v>0</v>
      </c>
      <c r="CV99" s="40">
        <v>9999</v>
      </c>
      <c r="CW99" s="367">
        <v>9999</v>
      </c>
      <c r="CX99" s="19"/>
      <c r="CY99" s="19"/>
      <c r="CZ99" s="19"/>
      <c r="DA99" s="19"/>
      <c r="DB99" s="19"/>
      <c r="DC99" s="19"/>
      <c r="DD99" s="19"/>
      <c r="DE99" s="19"/>
      <c r="DF99" s="19"/>
      <c r="DG99" s="19"/>
      <c r="DH99" s="19"/>
      <c r="DI99" s="19"/>
      <c r="DJ99" s="19"/>
      <c r="DK99" s="19"/>
      <c r="DL99" s="19"/>
      <c r="DM99" s="19"/>
      <c r="DN99" s="19"/>
      <c r="DO99" s="19"/>
      <c r="DP99" s="19"/>
      <c r="DQ99" s="19"/>
      <c r="DR99" s="19"/>
      <c r="DS99" s="19"/>
      <c r="DT99" s="19"/>
      <c r="DU99" s="19"/>
      <c r="DV99" s="19"/>
      <c r="DW99" s="19"/>
      <c r="DX99" s="19"/>
      <c r="DY99" s="19"/>
      <c r="DZ99" s="19"/>
      <c r="EA99" s="19"/>
    </row>
    <row r="100" spans="1:131">
      <c r="A100" s="19" t="s">
        <v>524</v>
      </c>
      <c r="B100" s="19"/>
      <c r="C100" s="40">
        <v>30</v>
      </c>
      <c r="D100" s="40">
        <v>6.4607154797726496</v>
      </c>
      <c r="E100" s="40">
        <v>0.8946840521564694</v>
      </c>
      <c r="F100" s="40">
        <v>35</v>
      </c>
      <c r="G100" s="40">
        <v>0</v>
      </c>
      <c r="H100" s="40">
        <v>0</v>
      </c>
      <c r="I100" s="40"/>
      <c r="J100" s="40"/>
      <c r="K100" s="40"/>
      <c r="L100" s="40">
        <v>6.9396479279573011</v>
      </c>
      <c r="M100" s="40">
        <v>1.0146089834325981E-3</v>
      </c>
      <c r="N100" s="40">
        <v>1.0072859907850646E-3</v>
      </c>
      <c r="O100" s="40">
        <v>0.90363088931174651</v>
      </c>
      <c r="P100" s="40">
        <v>0</v>
      </c>
      <c r="Q100" s="40">
        <v>0</v>
      </c>
      <c r="R100" s="40">
        <v>5.4853723698314072</v>
      </c>
      <c r="S100" s="40">
        <v>12.675861226252655</v>
      </c>
      <c r="T100" s="40">
        <v>0</v>
      </c>
      <c r="U100" s="40">
        <v>11.255841888323335</v>
      </c>
      <c r="V100" s="40">
        <v>2.1</v>
      </c>
      <c r="W100" s="40">
        <v>4.9000000000000004</v>
      </c>
      <c r="X100" s="40">
        <v>0</v>
      </c>
      <c r="Y100" s="40">
        <v>0</v>
      </c>
      <c r="Z100" s="40">
        <v>0</v>
      </c>
      <c r="AA100" s="40">
        <v>0</v>
      </c>
      <c r="AB100" s="40">
        <v>0</v>
      </c>
      <c r="AC100" s="40">
        <v>0</v>
      </c>
      <c r="AD100" s="40">
        <v>0</v>
      </c>
      <c r="AE100" s="40">
        <v>0</v>
      </c>
      <c r="AF100" s="40">
        <v>0</v>
      </c>
      <c r="AG100" s="40">
        <v>0</v>
      </c>
      <c r="AH100" s="40">
        <v>7.5853723698314077</v>
      </c>
      <c r="AI100" s="40">
        <v>17.575861226252655</v>
      </c>
      <c r="AJ100" s="40">
        <v>0</v>
      </c>
      <c r="AK100" s="40">
        <v>11.255841888323335</v>
      </c>
      <c r="AL100" s="40">
        <v>36.417075484407398</v>
      </c>
      <c r="AM100" s="40">
        <v>3.5726192254484341</v>
      </c>
      <c r="AN100" s="40">
        <v>0.35851054713200781</v>
      </c>
      <c r="AO100" s="40">
        <v>0</v>
      </c>
      <c r="AP100" s="40">
        <v>0</v>
      </c>
      <c r="AQ100" s="40">
        <v>3.9311297725804417</v>
      </c>
      <c r="AR100" s="40">
        <v>7.5853723698314077</v>
      </c>
      <c r="AS100" s="368">
        <v>0.51825138976899232</v>
      </c>
      <c r="AT100" s="40">
        <v>3.5726192254484341</v>
      </c>
      <c r="AU100" s="40">
        <v>0.42436970546197728</v>
      </c>
      <c r="AV100" s="40">
        <v>0</v>
      </c>
      <c r="AW100" s="40">
        <v>0</v>
      </c>
      <c r="AX100" s="40">
        <v>3.9969889309104114</v>
      </c>
      <c r="AY100" s="40">
        <v>17.575861226252655</v>
      </c>
      <c r="AZ100" s="368">
        <v>0.22741354630976501</v>
      </c>
      <c r="BA100" s="40">
        <v>3.5726192254484341</v>
      </c>
      <c r="BB100" s="40">
        <v>0.78288025259398508</v>
      </c>
      <c r="BC100" s="40">
        <v>0</v>
      </c>
      <c r="BD100" s="40">
        <v>0</v>
      </c>
      <c r="BE100" s="40">
        <v>4.355499478042419</v>
      </c>
      <c r="BF100" s="40">
        <v>25.161233596084063</v>
      </c>
      <c r="BG100" s="40">
        <v>258.48601078409325</v>
      </c>
      <c r="BH100" s="368">
        <v>0.17310357464827486</v>
      </c>
      <c r="BI100" s="40">
        <v>80.42842830946114</v>
      </c>
      <c r="BJ100" s="40">
        <v>186.35853662700518</v>
      </c>
      <c r="BK100" s="40">
        <v>0</v>
      </c>
      <c r="BL100" s="40">
        <v>119.3467674676285</v>
      </c>
      <c r="BM100" s="40">
        <v>386.13373240409481</v>
      </c>
      <c r="BN100" s="40">
        <v>3.5726192254484341</v>
      </c>
      <c r="BO100" s="40">
        <v>5.9656429086556235</v>
      </c>
      <c r="BP100" s="40">
        <v>0.78288025259398508</v>
      </c>
      <c r="BQ100" s="40">
        <v>0</v>
      </c>
      <c r="BR100" s="40">
        <v>0</v>
      </c>
      <c r="BS100" s="40">
        <v>0</v>
      </c>
      <c r="BT100" s="40">
        <v>0</v>
      </c>
      <c r="BU100" s="40">
        <v>0</v>
      </c>
      <c r="BV100" s="40">
        <v>0</v>
      </c>
      <c r="BW100" s="40">
        <v>0</v>
      </c>
      <c r="BX100" s="40">
        <v>29.417075484407398</v>
      </c>
      <c r="BY100" s="40">
        <v>7</v>
      </c>
      <c r="BZ100" s="40">
        <v>0</v>
      </c>
      <c r="CA100" s="40">
        <v>0</v>
      </c>
      <c r="CB100" s="40">
        <v>10.321142386698043</v>
      </c>
      <c r="CC100" s="40">
        <v>36.417075484407398</v>
      </c>
      <c r="CD100" s="368">
        <v>0.28341491592638235</v>
      </c>
      <c r="CE100" s="40">
        <v>314.57849624614124</v>
      </c>
      <c r="CF100" s="40">
        <v>6.5927287135131796E-2</v>
      </c>
      <c r="CG100" s="40">
        <v>0.10572481404947438</v>
      </c>
      <c r="CH100" s="40">
        <v>0.17165210118460617</v>
      </c>
      <c r="CI100" s="40">
        <v>3.2963327657797186E-3</v>
      </c>
      <c r="CJ100" s="40">
        <v>5.2862407024737174E-3</v>
      </c>
      <c r="CK100" s="40">
        <v>8.5825734682534356E-3</v>
      </c>
      <c r="CL100" s="40"/>
      <c r="CM100" s="40">
        <v>0.90363088931174651</v>
      </c>
      <c r="CN100" s="40"/>
      <c r="CO100" s="40">
        <v>0</v>
      </c>
      <c r="CP100" s="40">
        <v>0</v>
      </c>
      <c r="CQ100" s="40">
        <v>5.9656429086556235</v>
      </c>
      <c r="CR100" s="40">
        <v>0</v>
      </c>
      <c r="CS100" s="40">
        <v>0</v>
      </c>
      <c r="CT100" s="40">
        <v>5.9656429086556235</v>
      </c>
      <c r="CU100" s="40">
        <v>0</v>
      </c>
      <c r="CV100" s="40">
        <v>0</v>
      </c>
      <c r="CW100" s="367">
        <v>9999</v>
      </c>
      <c r="CX100" s="19"/>
      <c r="CY100" s="19"/>
      <c r="CZ100" s="19"/>
      <c r="DA100" s="19"/>
      <c r="DB100" s="19"/>
      <c r="DC100" s="19"/>
      <c r="DD100" s="19"/>
      <c r="DE100" s="19"/>
      <c r="DF100" s="19"/>
      <c r="DG100" s="19"/>
      <c r="DH100" s="19"/>
      <c r="DI100" s="19"/>
      <c r="DJ100" s="19"/>
      <c r="DK100" s="19"/>
      <c r="DL100" s="19"/>
      <c r="DM100" s="19"/>
      <c r="DN100" s="19"/>
      <c r="DO100" s="19"/>
      <c r="DP100" s="19"/>
      <c r="DQ100" s="19"/>
      <c r="DR100" s="19"/>
      <c r="DS100" s="19"/>
      <c r="DT100" s="19"/>
      <c r="DU100" s="19"/>
      <c r="DV100" s="19"/>
      <c r="DW100" s="19"/>
      <c r="DX100" s="19"/>
      <c r="DY100" s="19"/>
      <c r="DZ100" s="19"/>
      <c r="EA100" s="19"/>
    </row>
    <row r="101" spans="1:131">
      <c r="A101" s="19" t="s">
        <v>525</v>
      </c>
      <c r="B101" s="19"/>
      <c r="C101" s="40">
        <v>30</v>
      </c>
      <c r="D101" s="40">
        <v>8.3753086419753089</v>
      </c>
      <c r="E101" s="40">
        <v>0.40740740740740744</v>
      </c>
      <c r="F101" s="40">
        <v>35</v>
      </c>
      <c r="G101" s="40">
        <v>0</v>
      </c>
      <c r="H101" s="40">
        <v>0</v>
      </c>
      <c r="I101" s="40"/>
      <c r="J101" s="40"/>
      <c r="K101" s="40"/>
      <c r="L101" s="40">
        <v>8.984482750943469</v>
      </c>
      <c r="M101" s="40">
        <v>1.1415598038884904E-3</v>
      </c>
      <c r="N101" s="40">
        <v>1.1333205371491864E-3</v>
      </c>
      <c r="O101" s="40">
        <v>0.41148147994859346</v>
      </c>
      <c r="P101" s="40">
        <v>0</v>
      </c>
      <c r="Q101" s="40">
        <v>0</v>
      </c>
      <c r="R101" s="40">
        <v>5.4853723698314072</v>
      </c>
      <c r="S101" s="40">
        <v>12.675861226252655</v>
      </c>
      <c r="T101" s="40">
        <v>0</v>
      </c>
      <c r="U101" s="40">
        <v>11.255841888323335</v>
      </c>
      <c r="V101" s="40">
        <v>2.1</v>
      </c>
      <c r="W101" s="40">
        <v>4.9000000000000004</v>
      </c>
      <c r="X101" s="40">
        <v>0</v>
      </c>
      <c r="Y101" s="40">
        <v>0</v>
      </c>
      <c r="Z101" s="40">
        <v>0</v>
      </c>
      <c r="AA101" s="40">
        <v>0</v>
      </c>
      <c r="AB101" s="40">
        <v>0</v>
      </c>
      <c r="AC101" s="40">
        <v>0</v>
      </c>
      <c r="AD101" s="40">
        <v>0</v>
      </c>
      <c r="AE101" s="40">
        <v>0</v>
      </c>
      <c r="AF101" s="40">
        <v>0</v>
      </c>
      <c r="AG101" s="40">
        <v>0</v>
      </c>
      <c r="AH101" s="40">
        <v>7.5853723698314077</v>
      </c>
      <c r="AI101" s="40">
        <v>17.575861226252655</v>
      </c>
      <c r="AJ101" s="40">
        <v>0</v>
      </c>
      <c r="AK101" s="40">
        <v>11.255841888323335</v>
      </c>
      <c r="AL101" s="40">
        <v>36.417075484407398</v>
      </c>
      <c r="AM101" s="40">
        <v>4.6867031883484689</v>
      </c>
      <c r="AN101" s="40">
        <v>0.40336842720568927</v>
      </c>
      <c r="AO101" s="40">
        <v>0</v>
      </c>
      <c r="AP101" s="40">
        <v>0</v>
      </c>
      <c r="AQ101" s="40">
        <v>5.0900716155541579</v>
      </c>
      <c r="AR101" s="40">
        <v>7.5853723698314077</v>
      </c>
      <c r="AS101" s="368">
        <v>0.67103780373372623</v>
      </c>
      <c r="AT101" s="40">
        <v>4.6867031883484689</v>
      </c>
      <c r="AU101" s="40">
        <v>0.47746807455265694</v>
      </c>
      <c r="AV101" s="40">
        <v>0</v>
      </c>
      <c r="AW101" s="40">
        <v>0</v>
      </c>
      <c r="AX101" s="40">
        <v>5.1641712629011263</v>
      </c>
      <c r="AY101" s="40">
        <v>17.575861226252655</v>
      </c>
      <c r="AZ101" s="368">
        <v>0.29382180460025048</v>
      </c>
      <c r="BA101" s="40">
        <v>4.6867031883484689</v>
      </c>
      <c r="BB101" s="40">
        <v>0.88083650175834616</v>
      </c>
      <c r="BC101" s="40">
        <v>0</v>
      </c>
      <c r="BD101" s="40">
        <v>0</v>
      </c>
      <c r="BE101" s="40">
        <v>5.5675396901068153</v>
      </c>
      <c r="BF101" s="40">
        <v>25.161233596084063</v>
      </c>
      <c r="BG101" s="40">
        <v>198.85330813140334</v>
      </c>
      <c r="BH101" s="368">
        <v>0.22127451219137809</v>
      </c>
      <c r="BI101" s="40">
        <v>62.123217478268629</v>
      </c>
      <c r="BJ101" s="40">
        <v>143.94402754292611</v>
      </c>
      <c r="BK101" s="40">
        <v>0</v>
      </c>
      <c r="BL101" s="40">
        <v>92.18388754524095</v>
      </c>
      <c r="BM101" s="40">
        <v>298.25113256643567</v>
      </c>
      <c r="BN101" s="40">
        <v>4.6867031883484689</v>
      </c>
      <c r="BO101" s="40">
        <v>2.7165423426019859</v>
      </c>
      <c r="BP101" s="40">
        <v>0.88083650175834616</v>
      </c>
      <c r="BQ101" s="40">
        <v>0</v>
      </c>
      <c r="BR101" s="40">
        <v>0</v>
      </c>
      <c r="BS101" s="40">
        <v>0</v>
      </c>
      <c r="BT101" s="40">
        <v>0</v>
      </c>
      <c r="BU101" s="40">
        <v>0</v>
      </c>
      <c r="BV101" s="40">
        <v>0</v>
      </c>
      <c r="BW101" s="40">
        <v>0</v>
      </c>
      <c r="BX101" s="40">
        <v>29.417075484407398</v>
      </c>
      <c r="BY101" s="40">
        <v>7</v>
      </c>
      <c r="BZ101" s="40">
        <v>0</v>
      </c>
      <c r="CA101" s="40">
        <v>0</v>
      </c>
      <c r="CB101" s="40">
        <v>8.2840820327088007</v>
      </c>
      <c r="CC101" s="40">
        <v>36.417075484407398</v>
      </c>
      <c r="CD101" s="368">
        <v>0.22747795978992805</v>
      </c>
      <c r="CE101" s="40">
        <v>268.78906565608219</v>
      </c>
      <c r="CF101" s="40">
        <v>8.5354205381986153E-2</v>
      </c>
      <c r="CG101" s="40">
        <v>4.8143333153985411E-2</v>
      </c>
      <c r="CH101" s="40">
        <v>0.13349753853597157</v>
      </c>
      <c r="CI101" s="40">
        <v>4.2676293066981454E-3</v>
      </c>
      <c r="CJ101" s="40">
        <v>2.4071666576992714E-3</v>
      </c>
      <c r="CK101" s="40">
        <v>6.6747959643974168E-3</v>
      </c>
      <c r="CL101" s="40"/>
      <c r="CM101" s="40">
        <v>0.41148147994859346</v>
      </c>
      <c r="CN101" s="40"/>
      <c r="CO101" s="40">
        <v>0</v>
      </c>
      <c r="CP101" s="40">
        <v>0</v>
      </c>
      <c r="CQ101" s="40">
        <v>2.7165423426019859</v>
      </c>
      <c r="CR101" s="40">
        <v>0</v>
      </c>
      <c r="CS101" s="40">
        <v>0</v>
      </c>
      <c r="CT101" s="40">
        <v>2.7165423426019859</v>
      </c>
      <c r="CU101" s="40">
        <v>0</v>
      </c>
      <c r="CV101" s="40">
        <v>0</v>
      </c>
      <c r="CW101" s="367">
        <v>9999</v>
      </c>
      <c r="CX101" s="19"/>
      <c r="CY101" s="19"/>
      <c r="CZ101" s="19"/>
      <c r="DA101" s="19"/>
      <c r="DB101" s="19"/>
      <c r="DC101" s="19"/>
      <c r="DD101" s="19"/>
      <c r="DE101" s="19"/>
      <c r="DF101" s="19"/>
      <c r="DG101" s="19"/>
      <c r="DH101" s="19"/>
      <c r="DI101" s="19"/>
      <c r="DJ101" s="19"/>
      <c r="DK101" s="19"/>
      <c r="DL101" s="19"/>
      <c r="DM101" s="19"/>
      <c r="DN101" s="19"/>
      <c r="DO101" s="19"/>
      <c r="DP101" s="19"/>
      <c r="DQ101" s="19"/>
      <c r="DR101" s="19"/>
      <c r="DS101" s="19"/>
      <c r="DT101" s="19"/>
      <c r="DU101" s="19"/>
      <c r="DV101" s="19"/>
      <c r="DW101" s="19"/>
      <c r="DX101" s="19"/>
      <c r="DY101" s="19"/>
      <c r="DZ101" s="19"/>
      <c r="EA101" s="19"/>
    </row>
    <row r="102" spans="1:131">
      <c r="A102" s="19" t="s">
        <v>526</v>
      </c>
      <c r="B102" s="19"/>
      <c r="C102" s="40">
        <v>30</v>
      </c>
      <c r="D102" s="40">
        <v>7.5703703703703713</v>
      </c>
      <c r="E102" s="40">
        <v>0.3646090534979427</v>
      </c>
      <c r="F102" s="40">
        <v>35</v>
      </c>
      <c r="G102" s="40">
        <v>0</v>
      </c>
      <c r="H102" s="40">
        <v>0</v>
      </c>
      <c r="I102" s="40"/>
      <c r="J102" s="40"/>
      <c r="K102" s="40"/>
      <c r="L102" s="40">
        <v>8.1209976752336903</v>
      </c>
      <c r="M102" s="40">
        <v>1.0318462142459056E-3</v>
      </c>
      <c r="N102" s="40">
        <v>1.024398810996287E-3</v>
      </c>
      <c r="O102" s="40">
        <v>0.36825514266106474</v>
      </c>
      <c r="P102" s="40">
        <v>0</v>
      </c>
      <c r="Q102" s="40">
        <v>0</v>
      </c>
      <c r="R102" s="40">
        <v>5.4853723698314072</v>
      </c>
      <c r="S102" s="40">
        <v>12.675861226252655</v>
      </c>
      <c r="T102" s="40">
        <v>0</v>
      </c>
      <c r="U102" s="40">
        <v>11.255841888323335</v>
      </c>
      <c r="V102" s="40">
        <v>2.1</v>
      </c>
      <c r="W102" s="40">
        <v>4.9000000000000004</v>
      </c>
      <c r="X102" s="40">
        <v>0</v>
      </c>
      <c r="Y102" s="40">
        <v>0</v>
      </c>
      <c r="Z102" s="40">
        <v>0</v>
      </c>
      <c r="AA102" s="40">
        <v>0</v>
      </c>
      <c r="AB102" s="40">
        <v>0</v>
      </c>
      <c r="AC102" s="40">
        <v>0</v>
      </c>
      <c r="AD102" s="40">
        <v>0</v>
      </c>
      <c r="AE102" s="40">
        <v>0</v>
      </c>
      <c r="AF102" s="40">
        <v>0</v>
      </c>
      <c r="AG102" s="40">
        <v>0</v>
      </c>
      <c r="AH102" s="40">
        <v>7.5853723698314077</v>
      </c>
      <c r="AI102" s="40">
        <v>17.575861226252655</v>
      </c>
      <c r="AJ102" s="40">
        <v>0</v>
      </c>
      <c r="AK102" s="40">
        <v>11.255841888323335</v>
      </c>
      <c r="AL102" s="40">
        <v>36.417075484407398</v>
      </c>
      <c r="AM102" s="40">
        <v>4.2362712191852561</v>
      </c>
      <c r="AN102" s="40">
        <v>0.36460129652495382</v>
      </c>
      <c r="AO102" s="40">
        <v>0</v>
      </c>
      <c r="AP102" s="40">
        <v>0</v>
      </c>
      <c r="AQ102" s="40">
        <v>4.6008725157102095</v>
      </c>
      <c r="AR102" s="40">
        <v>7.5853723698314077</v>
      </c>
      <c r="AS102" s="368">
        <v>0.60654537330412805</v>
      </c>
      <c r="AT102" s="40">
        <v>4.2362712191852561</v>
      </c>
      <c r="AU102" s="40">
        <v>0.43157933861392878</v>
      </c>
      <c r="AV102" s="40">
        <v>0</v>
      </c>
      <c r="AW102" s="40">
        <v>0</v>
      </c>
      <c r="AX102" s="40">
        <v>4.6678505577991851</v>
      </c>
      <c r="AY102" s="40">
        <v>17.575861226252655</v>
      </c>
      <c r="AZ102" s="368">
        <v>0.26558303446473081</v>
      </c>
      <c r="BA102" s="40">
        <v>4.2362712191852561</v>
      </c>
      <c r="BB102" s="40">
        <v>0.7961806351388826</v>
      </c>
      <c r="BC102" s="40">
        <v>0</v>
      </c>
      <c r="BD102" s="40">
        <v>0</v>
      </c>
      <c r="BE102" s="40">
        <v>5.0324518543241386</v>
      </c>
      <c r="BF102" s="40">
        <v>25.161233596084063</v>
      </c>
      <c r="BG102" s="40">
        <v>220.76391539719245</v>
      </c>
      <c r="BH102" s="368">
        <v>0.20000815282392823</v>
      </c>
      <c r="BI102" s="40">
        <v>68.728621554562025</v>
      </c>
      <c r="BJ102" s="40">
        <v>159.24923073242184</v>
      </c>
      <c r="BK102" s="40">
        <v>0</v>
      </c>
      <c r="BL102" s="40">
        <v>101.98556639056011</v>
      </c>
      <c r="BM102" s="40">
        <v>329.96341867754393</v>
      </c>
      <c r="BN102" s="40">
        <v>4.2362712191852561</v>
      </c>
      <c r="BO102" s="40">
        <v>2.4311681975205675</v>
      </c>
      <c r="BP102" s="40">
        <v>0.7961806351388826</v>
      </c>
      <c r="BQ102" s="40">
        <v>0</v>
      </c>
      <c r="BR102" s="40">
        <v>0</v>
      </c>
      <c r="BS102" s="40">
        <v>0</v>
      </c>
      <c r="BT102" s="40">
        <v>0</v>
      </c>
      <c r="BU102" s="40">
        <v>0</v>
      </c>
      <c r="BV102" s="40">
        <v>0</v>
      </c>
      <c r="BW102" s="40">
        <v>0</v>
      </c>
      <c r="BX102" s="40">
        <v>29.417075484407398</v>
      </c>
      <c r="BY102" s="40">
        <v>7</v>
      </c>
      <c r="BZ102" s="40">
        <v>0</v>
      </c>
      <c r="CA102" s="40">
        <v>0</v>
      </c>
      <c r="CB102" s="40">
        <v>7.463620051844706</v>
      </c>
      <c r="CC102" s="40">
        <v>36.417075484407398</v>
      </c>
      <c r="CD102" s="368">
        <v>0.20494836426501037</v>
      </c>
      <c r="CE102" s="40">
        <v>300.72144798318516</v>
      </c>
      <c r="CF102" s="40">
        <v>7.7150941539259901E-2</v>
      </c>
      <c r="CG102" s="40">
        <v>4.3085851691344587E-2</v>
      </c>
      <c r="CH102" s="40">
        <v>0.12023679323060449</v>
      </c>
      <c r="CI102" s="40">
        <v>3.857473895736002E-3</v>
      </c>
      <c r="CJ102" s="40">
        <v>2.1542925845672292E-3</v>
      </c>
      <c r="CK102" s="40">
        <v>6.0117664803032312E-3</v>
      </c>
      <c r="CL102" s="40"/>
      <c r="CM102" s="40">
        <v>0.36825514266106474</v>
      </c>
      <c r="CN102" s="40"/>
      <c r="CO102" s="40">
        <v>0</v>
      </c>
      <c r="CP102" s="40">
        <v>0</v>
      </c>
      <c r="CQ102" s="40">
        <v>2.4311681975205675</v>
      </c>
      <c r="CR102" s="40">
        <v>0</v>
      </c>
      <c r="CS102" s="40">
        <v>0</v>
      </c>
      <c r="CT102" s="40">
        <v>2.4311681975205675</v>
      </c>
      <c r="CU102" s="40">
        <v>0</v>
      </c>
      <c r="CV102" s="40">
        <v>0</v>
      </c>
      <c r="CW102" s="367">
        <v>9999</v>
      </c>
      <c r="CX102" s="19"/>
      <c r="CY102" s="19"/>
      <c r="CZ102" s="19"/>
      <c r="DA102" s="19"/>
      <c r="DB102" s="19"/>
      <c r="DC102" s="19"/>
      <c r="DD102" s="19"/>
      <c r="DE102" s="19"/>
      <c r="DF102" s="19"/>
      <c r="DG102" s="19"/>
      <c r="DH102" s="19"/>
      <c r="DI102" s="19"/>
      <c r="DJ102" s="19"/>
      <c r="DK102" s="19"/>
      <c r="DL102" s="19"/>
      <c r="DM102" s="19"/>
      <c r="DN102" s="19"/>
      <c r="DO102" s="19"/>
      <c r="DP102" s="19"/>
      <c r="DQ102" s="19"/>
      <c r="DR102" s="19"/>
      <c r="DS102" s="19"/>
      <c r="DT102" s="19"/>
      <c r="DU102" s="19"/>
      <c r="DV102" s="19"/>
      <c r="DW102" s="19"/>
      <c r="DX102" s="19"/>
      <c r="DY102" s="19"/>
      <c r="DZ102" s="19"/>
      <c r="EA102" s="19"/>
    </row>
    <row r="103" spans="1:131">
      <c r="A103" s="19" t="s">
        <v>527</v>
      </c>
      <c r="B103" s="19"/>
      <c r="C103" s="40">
        <v>30</v>
      </c>
      <c r="D103" s="40">
        <v>7.1670781893004101</v>
      </c>
      <c r="E103" s="40">
        <v>0.18353909465020579</v>
      </c>
      <c r="F103" s="40">
        <v>35</v>
      </c>
      <c r="G103" s="40">
        <v>0</v>
      </c>
      <c r="H103" s="40">
        <v>0</v>
      </c>
      <c r="I103" s="40"/>
      <c r="J103" s="40"/>
      <c r="K103" s="40"/>
      <c r="L103" s="40">
        <v>7.6883722283034297</v>
      </c>
      <c r="M103" s="40">
        <v>9.7687723784011123E-4</v>
      </c>
      <c r="N103" s="40">
        <v>9.6982657601170526E-4</v>
      </c>
      <c r="O103" s="40">
        <v>0.18537448490613403</v>
      </c>
      <c r="P103" s="40">
        <v>0</v>
      </c>
      <c r="Q103" s="40">
        <v>0</v>
      </c>
      <c r="R103" s="40">
        <v>5.4853723698314072</v>
      </c>
      <c r="S103" s="40">
        <v>12.675861226252655</v>
      </c>
      <c r="T103" s="40">
        <v>0</v>
      </c>
      <c r="U103" s="40">
        <v>11.255841888323335</v>
      </c>
      <c r="V103" s="40">
        <v>2.1</v>
      </c>
      <c r="W103" s="40">
        <v>4.9000000000000004</v>
      </c>
      <c r="X103" s="40">
        <v>0</v>
      </c>
      <c r="Y103" s="40">
        <v>0</v>
      </c>
      <c r="Z103" s="40">
        <v>0</v>
      </c>
      <c r="AA103" s="40">
        <v>0</v>
      </c>
      <c r="AB103" s="40">
        <v>0</v>
      </c>
      <c r="AC103" s="40">
        <v>0</v>
      </c>
      <c r="AD103" s="40">
        <v>0</v>
      </c>
      <c r="AE103" s="40">
        <v>0</v>
      </c>
      <c r="AF103" s="40">
        <v>0</v>
      </c>
      <c r="AG103" s="40">
        <v>0</v>
      </c>
      <c r="AH103" s="40">
        <v>7.5853723698314077</v>
      </c>
      <c r="AI103" s="40">
        <v>17.575861226252655</v>
      </c>
      <c r="AJ103" s="40">
        <v>0</v>
      </c>
      <c r="AK103" s="40">
        <v>11.255841888323335</v>
      </c>
      <c r="AL103" s="40">
        <v>36.417075484407398</v>
      </c>
      <c r="AM103" s="40">
        <v>4.0105946702180031</v>
      </c>
      <c r="AN103" s="40">
        <v>0.34517809199166088</v>
      </c>
      <c r="AO103" s="40">
        <v>0</v>
      </c>
      <c r="AP103" s="40">
        <v>0</v>
      </c>
      <c r="AQ103" s="40">
        <v>4.3557727622096643</v>
      </c>
      <c r="AR103" s="40">
        <v>7.5853723698314077</v>
      </c>
      <c r="AS103" s="368">
        <v>0.57423321490893076</v>
      </c>
      <c r="AT103" s="40">
        <v>4.0105946702180031</v>
      </c>
      <c r="AU103" s="40">
        <v>0.40858804964667222</v>
      </c>
      <c r="AV103" s="40">
        <v>0</v>
      </c>
      <c r="AW103" s="40">
        <v>0</v>
      </c>
      <c r="AX103" s="40">
        <v>4.4191827198646756</v>
      </c>
      <c r="AY103" s="40">
        <v>17.575861226252655</v>
      </c>
      <c r="AZ103" s="368">
        <v>0.25143477539887749</v>
      </c>
      <c r="BA103" s="40">
        <v>4.0105946702180031</v>
      </c>
      <c r="BB103" s="40">
        <v>0.75376614163833311</v>
      </c>
      <c r="BC103" s="40">
        <v>0</v>
      </c>
      <c r="BD103" s="40">
        <v>0</v>
      </c>
      <c r="BE103" s="40">
        <v>4.7643608118563368</v>
      </c>
      <c r="BF103" s="40">
        <v>25.161233596084063</v>
      </c>
      <c r="BG103" s="40">
        <v>233.59225113681387</v>
      </c>
      <c r="BH103" s="368">
        <v>0.18935322839647387</v>
      </c>
      <c r="BI103" s="40">
        <v>72.595987719207841</v>
      </c>
      <c r="BJ103" s="40">
        <v>168.2102003073974</v>
      </c>
      <c r="BK103" s="40">
        <v>0</v>
      </c>
      <c r="BL103" s="40">
        <v>107.72430404919297</v>
      </c>
      <c r="BM103" s="40">
        <v>348.53049207579818</v>
      </c>
      <c r="BN103" s="40">
        <v>4.0105946702180031</v>
      </c>
      <c r="BO103" s="40">
        <v>1.2238160452530153</v>
      </c>
      <c r="BP103" s="40">
        <v>0.75376614163833311</v>
      </c>
      <c r="BQ103" s="40">
        <v>0</v>
      </c>
      <c r="BR103" s="40">
        <v>0</v>
      </c>
      <c r="BS103" s="40">
        <v>0</v>
      </c>
      <c r="BT103" s="40">
        <v>0</v>
      </c>
      <c r="BU103" s="40">
        <v>0</v>
      </c>
      <c r="BV103" s="40">
        <v>0</v>
      </c>
      <c r="BW103" s="40">
        <v>0</v>
      </c>
      <c r="BX103" s="40">
        <v>29.417075484407398</v>
      </c>
      <c r="BY103" s="40">
        <v>7</v>
      </c>
      <c r="BZ103" s="40">
        <v>0</v>
      </c>
      <c r="CA103" s="40">
        <v>0</v>
      </c>
      <c r="CB103" s="40">
        <v>5.9881768571093517</v>
      </c>
      <c r="CC103" s="40">
        <v>36.417075484407398</v>
      </c>
      <c r="CD103" s="368">
        <v>0.16443321649134876</v>
      </c>
      <c r="CE103" s="40">
        <v>329.60399444935678</v>
      </c>
      <c r="CF103" s="40">
        <v>7.3040921822556559E-2</v>
      </c>
      <c r="CG103" s="40">
        <v>2.168881473401767E-2</v>
      </c>
      <c r="CH103" s="40">
        <v>9.4729736556574226E-2</v>
      </c>
      <c r="CI103" s="40">
        <v>3.6519768084441271E-3</v>
      </c>
      <c r="CJ103" s="40">
        <v>1.0844407367008844E-3</v>
      </c>
      <c r="CK103" s="40">
        <v>4.7364175451450113E-3</v>
      </c>
      <c r="CL103" s="40"/>
      <c r="CM103" s="40">
        <v>0.18537448490613403</v>
      </c>
      <c r="CN103" s="40"/>
      <c r="CO103" s="40">
        <v>0</v>
      </c>
      <c r="CP103" s="40">
        <v>0</v>
      </c>
      <c r="CQ103" s="40">
        <v>1.2238160452530153</v>
      </c>
      <c r="CR103" s="40">
        <v>0</v>
      </c>
      <c r="CS103" s="40">
        <v>0</v>
      </c>
      <c r="CT103" s="40">
        <v>1.2238160452530153</v>
      </c>
      <c r="CU103" s="40">
        <v>0</v>
      </c>
      <c r="CV103" s="40">
        <v>0</v>
      </c>
      <c r="CW103" s="367">
        <v>9999</v>
      </c>
      <c r="CX103" s="19"/>
      <c r="CY103" s="19"/>
      <c r="CZ103" s="19"/>
      <c r="DA103" s="19"/>
      <c r="DB103" s="19"/>
      <c r="DC103" s="19"/>
      <c r="DD103" s="19"/>
      <c r="DE103" s="19"/>
      <c r="DF103" s="19"/>
      <c r="DG103" s="19"/>
      <c r="DH103" s="19"/>
      <c r="DI103" s="19"/>
      <c r="DJ103" s="19"/>
      <c r="DK103" s="19"/>
      <c r="DL103" s="19"/>
      <c r="DM103" s="19"/>
      <c r="DN103" s="19"/>
      <c r="DO103" s="19"/>
      <c r="DP103" s="19"/>
      <c r="DQ103" s="19"/>
      <c r="DR103" s="19"/>
      <c r="DS103" s="19"/>
      <c r="DT103" s="19"/>
      <c r="DU103" s="19"/>
      <c r="DV103" s="19"/>
      <c r="DW103" s="19"/>
      <c r="DX103" s="19"/>
      <c r="DY103" s="19"/>
      <c r="DZ103" s="19"/>
      <c r="EA103" s="19"/>
    </row>
    <row r="104" spans="1:131">
      <c r="A104" s="19"/>
      <c r="B104" s="19"/>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19"/>
      <c r="CY104" s="19"/>
      <c r="CZ104" s="19"/>
      <c r="DA104" s="19"/>
      <c r="DB104" s="19"/>
      <c r="DC104" s="19"/>
      <c r="DD104" s="19"/>
      <c r="DE104" s="19"/>
      <c r="DF104" s="19"/>
      <c r="DG104" s="19"/>
      <c r="DH104" s="19"/>
      <c r="DI104" s="19"/>
      <c r="DJ104" s="19"/>
      <c r="DK104" s="19"/>
      <c r="DL104" s="19"/>
      <c r="DM104" s="19"/>
      <c r="DN104" s="19"/>
      <c r="DO104" s="19"/>
      <c r="DP104" s="19"/>
      <c r="DQ104" s="19"/>
      <c r="DR104" s="19"/>
      <c r="DS104" s="19"/>
      <c r="DT104" s="19"/>
      <c r="DU104" s="19"/>
      <c r="DV104" s="19"/>
      <c r="DW104" s="19"/>
      <c r="DX104" s="19"/>
      <c r="DY104" s="19"/>
      <c r="DZ104" s="19"/>
      <c r="EA104" s="19"/>
    </row>
    <row r="105" spans="1:131">
      <c r="A105" s="19"/>
      <c r="B105" s="19"/>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19"/>
      <c r="CY105" s="19"/>
      <c r="CZ105" s="19"/>
      <c r="DA105" s="19"/>
      <c r="DB105" s="19"/>
      <c r="DC105" s="19"/>
      <c r="DD105" s="19"/>
      <c r="DE105" s="19"/>
      <c r="DF105" s="19"/>
      <c r="DG105" s="19"/>
      <c r="DH105" s="19"/>
      <c r="DI105" s="19"/>
      <c r="DJ105" s="19"/>
      <c r="DK105" s="19"/>
      <c r="DL105" s="19"/>
      <c r="DM105" s="19"/>
      <c r="DN105" s="19"/>
      <c r="DO105" s="19"/>
      <c r="DP105" s="19"/>
      <c r="DQ105" s="19"/>
      <c r="DR105" s="19"/>
      <c r="DS105" s="19"/>
      <c r="DT105" s="19"/>
      <c r="DU105" s="19"/>
      <c r="DV105" s="19"/>
      <c r="DW105" s="19"/>
      <c r="DX105" s="19"/>
      <c r="DY105" s="19"/>
      <c r="DZ105" s="19"/>
      <c r="EA105" s="19"/>
    </row>
    <row r="106" spans="1:131" ht="13.5" thickBot="1">
      <c r="A106" s="361" t="s">
        <v>699</v>
      </c>
      <c r="B106" s="362"/>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19"/>
      <c r="CY106" s="19"/>
      <c r="CZ106" s="19"/>
      <c r="DA106" s="19"/>
      <c r="DB106" s="19"/>
      <c r="DC106" s="19"/>
      <c r="DD106" s="19"/>
      <c r="DE106" s="19"/>
      <c r="DF106" s="19"/>
      <c r="DG106" s="19"/>
      <c r="DH106" s="19"/>
      <c r="DI106" s="19"/>
      <c r="DJ106" s="19"/>
      <c r="DK106" s="19"/>
      <c r="DL106" s="19"/>
      <c r="DM106" s="19"/>
      <c r="DN106" s="19"/>
      <c r="DO106" s="19"/>
      <c r="DP106" s="19"/>
      <c r="DQ106" s="19"/>
      <c r="DR106" s="19"/>
      <c r="DS106" s="19"/>
      <c r="DT106" s="19"/>
      <c r="DU106" s="19"/>
      <c r="DV106" s="19"/>
      <c r="DW106" s="19"/>
      <c r="DX106" s="19"/>
      <c r="DY106" s="19"/>
      <c r="DZ106" s="19"/>
      <c r="EA106" s="19"/>
    </row>
    <row r="107" spans="1:131" ht="13.5" thickBot="1">
      <c r="A107" s="388" t="s">
        <v>700</v>
      </c>
      <c r="B107" s="389"/>
      <c r="C107" s="390"/>
      <c r="D107" s="390"/>
      <c r="E107" s="390"/>
      <c r="F107" s="390"/>
      <c r="G107" s="390"/>
      <c r="H107" s="390"/>
      <c r="I107" s="390"/>
      <c r="J107" s="390"/>
      <c r="K107" s="390"/>
      <c r="L107" s="95"/>
      <c r="M107" s="391"/>
      <c r="N107" s="392" t="s">
        <v>701</v>
      </c>
      <c r="O107" s="390"/>
      <c r="P107" s="390"/>
      <c r="Q107" s="390"/>
      <c r="R107" s="390"/>
      <c r="S107" s="390"/>
      <c r="T107" s="390"/>
      <c r="U107" s="390"/>
      <c r="V107" s="390"/>
      <c r="W107" s="390"/>
      <c r="X107" s="390"/>
      <c r="Y107" s="95"/>
      <c r="Z107" s="391"/>
      <c r="AA107" s="392" t="s">
        <v>702</v>
      </c>
      <c r="AB107" s="390"/>
      <c r="AC107" s="390"/>
      <c r="AD107" s="390"/>
      <c r="AE107" s="390"/>
      <c r="AF107" s="390"/>
      <c r="AG107" s="390"/>
      <c r="AH107" s="390"/>
      <c r="AI107" s="390"/>
      <c r="AJ107" s="390"/>
      <c r="AK107" s="390"/>
      <c r="AL107" s="95"/>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19"/>
      <c r="CY107" s="19"/>
      <c r="CZ107" s="19"/>
      <c r="DA107" s="19"/>
      <c r="DB107" s="19"/>
      <c r="DC107" s="19"/>
      <c r="DD107" s="19"/>
      <c r="DE107" s="19"/>
      <c r="DF107" s="19"/>
      <c r="DG107" s="19"/>
      <c r="DH107" s="19"/>
      <c r="DI107" s="19"/>
      <c r="DJ107" s="19"/>
      <c r="DK107" s="19"/>
      <c r="DL107" s="19"/>
      <c r="DM107" s="19"/>
      <c r="DN107" s="19"/>
      <c r="DO107" s="19"/>
      <c r="DP107" s="19"/>
      <c r="DQ107" s="19"/>
      <c r="DR107" s="19"/>
      <c r="DS107" s="19"/>
      <c r="DT107" s="19"/>
      <c r="DU107" s="19"/>
      <c r="DV107" s="19"/>
      <c r="DW107" s="19"/>
      <c r="DX107" s="19"/>
      <c r="DY107" s="19"/>
      <c r="DZ107" s="19"/>
      <c r="EA107" s="19"/>
    </row>
    <row r="108" spans="1:131" ht="102">
      <c r="A108" s="365"/>
      <c r="B108" s="366" t="s">
        <v>703</v>
      </c>
      <c r="C108" s="98" t="s">
        <v>704</v>
      </c>
      <c r="D108" s="98" t="s">
        <v>498</v>
      </c>
      <c r="E108" s="98" t="s">
        <v>499</v>
      </c>
      <c r="F108" s="98" t="s">
        <v>500</v>
      </c>
      <c r="G108" s="98" t="s">
        <v>501</v>
      </c>
      <c r="H108" s="98" t="s">
        <v>502</v>
      </c>
      <c r="I108" s="98" t="s">
        <v>503</v>
      </c>
      <c r="J108" s="98" t="s">
        <v>504</v>
      </c>
      <c r="K108" s="98" t="s">
        <v>74</v>
      </c>
      <c r="L108" s="98" t="s">
        <v>505</v>
      </c>
      <c r="M108" s="98" t="s">
        <v>506</v>
      </c>
      <c r="N108" s="98" t="s">
        <v>206</v>
      </c>
      <c r="O108" s="98" t="s">
        <v>207</v>
      </c>
      <c r="P108" s="98" t="s">
        <v>208</v>
      </c>
      <c r="Q108" s="98" t="s">
        <v>209</v>
      </c>
      <c r="R108" s="98" t="s">
        <v>210</v>
      </c>
      <c r="S108" s="98" t="s">
        <v>211</v>
      </c>
      <c r="T108" s="98" t="s">
        <v>212</v>
      </c>
      <c r="U108" s="98" t="s">
        <v>213</v>
      </c>
      <c r="V108" s="98" t="s">
        <v>214</v>
      </c>
      <c r="W108" s="98" t="s">
        <v>215</v>
      </c>
      <c r="X108" s="98" t="s">
        <v>216</v>
      </c>
      <c r="Y108" s="98" t="s">
        <v>217</v>
      </c>
      <c r="Z108" s="98"/>
      <c r="AA108" s="98" t="s">
        <v>206</v>
      </c>
      <c r="AB108" s="98" t="s">
        <v>207</v>
      </c>
      <c r="AC108" s="98" t="s">
        <v>208</v>
      </c>
      <c r="AD108" s="98" t="s">
        <v>209</v>
      </c>
      <c r="AE108" s="98" t="s">
        <v>210</v>
      </c>
      <c r="AF108" s="98" t="s">
        <v>211</v>
      </c>
      <c r="AG108" s="98" t="s">
        <v>212</v>
      </c>
      <c r="AH108" s="98" t="s">
        <v>213</v>
      </c>
      <c r="AI108" s="98" t="s">
        <v>214</v>
      </c>
      <c r="AJ108" s="98" t="s">
        <v>215</v>
      </c>
      <c r="AK108" s="98" t="s">
        <v>216</v>
      </c>
      <c r="AL108" s="98" t="s">
        <v>217</v>
      </c>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19"/>
      <c r="CY108" s="19"/>
      <c r="CZ108" s="19"/>
      <c r="DA108" s="19"/>
      <c r="DB108" s="19"/>
      <c r="DC108" s="19"/>
      <c r="DD108" s="19"/>
      <c r="DE108" s="19"/>
      <c r="DF108" s="19"/>
      <c r="DG108" s="19"/>
      <c r="DH108" s="19"/>
      <c r="DI108" s="19"/>
      <c r="DJ108" s="19"/>
      <c r="DK108" s="19"/>
      <c r="DL108" s="19"/>
      <c r="DM108" s="19"/>
      <c r="DN108" s="19"/>
      <c r="DO108" s="19"/>
      <c r="DP108" s="19"/>
      <c r="DQ108" s="19"/>
      <c r="DR108" s="19"/>
      <c r="DS108" s="19"/>
      <c r="DT108" s="19"/>
      <c r="DU108" s="19"/>
      <c r="DV108" s="19"/>
      <c r="DW108" s="19"/>
      <c r="DX108" s="19"/>
      <c r="DY108" s="19"/>
      <c r="DZ108" s="19"/>
      <c r="EA108" s="19"/>
    </row>
    <row r="109" spans="1:131">
      <c r="A109" s="19"/>
      <c r="B109" s="393" t="s">
        <v>705</v>
      </c>
      <c r="C109" s="394">
        <v>230.87160442665385</v>
      </c>
      <c r="D109" s="394">
        <v>210</v>
      </c>
      <c r="E109" s="394">
        <v>0</v>
      </c>
      <c r="F109" s="394">
        <v>210</v>
      </c>
      <c r="G109" s="394">
        <v>176.5024529064444</v>
      </c>
      <c r="H109" s="394">
        <v>261.34750624579533</v>
      </c>
      <c r="I109" s="394">
        <v>7968.0652134265692</v>
      </c>
      <c r="J109" s="394">
        <v>-8.5917037790095883</v>
      </c>
      <c r="K109" s="394">
        <v>13.012163089470482</v>
      </c>
      <c r="L109" s="367">
        <v>1.5377362111670771</v>
      </c>
      <c r="M109" s="40">
        <v>2.1888824262491595</v>
      </c>
      <c r="N109" s="71">
        <v>33.663157971432113</v>
      </c>
      <c r="O109" s="71">
        <v>24.118588779421295</v>
      </c>
      <c r="P109" s="71">
        <v>17.471036150336623</v>
      </c>
      <c r="Q109" s="71">
        <v>17.063399509916092</v>
      </c>
      <c r="R109" s="71">
        <v>5.9840394902202112</v>
      </c>
      <c r="S109" s="71">
        <v>3.0583298955207483</v>
      </c>
      <c r="T109" s="71">
        <v>1.3309126957370698</v>
      </c>
      <c r="U109" s="71">
        <v>1.3816665060631639</v>
      </c>
      <c r="V109" s="71">
        <v>2.947262006268089</v>
      </c>
      <c r="W109" s="71">
        <v>11.977935537719331</v>
      </c>
      <c r="X109" s="71">
        <v>19.263427150267965</v>
      </c>
      <c r="Y109" s="71">
        <v>44.374139184194654</v>
      </c>
      <c r="Z109" s="71"/>
      <c r="AA109" s="71">
        <v>9.7771901335436198</v>
      </c>
      <c r="AB109" s="71">
        <v>6.5330709550614587</v>
      </c>
      <c r="AC109" s="71">
        <v>3.7756235272013301</v>
      </c>
      <c r="AD109" s="71">
        <v>3.6012842051564613</v>
      </c>
      <c r="AE109" s="71">
        <v>1.3792029164370578</v>
      </c>
      <c r="AF109" s="71">
        <v>0.62527771197773607</v>
      </c>
      <c r="AG109" s="71">
        <v>0.31388482917711469</v>
      </c>
      <c r="AH109" s="71">
        <v>0.24489963652301677</v>
      </c>
      <c r="AI109" s="71">
        <v>0.79547884722552598</v>
      </c>
      <c r="AJ109" s="71">
        <v>2.2610205849756886</v>
      </c>
      <c r="AK109" s="71">
        <v>5.918377804866485</v>
      </c>
      <c r="AL109" s="71">
        <v>13.012398397411019</v>
      </c>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19"/>
      <c r="CY109" s="19"/>
      <c r="CZ109" s="19"/>
      <c r="DA109" s="19"/>
      <c r="DB109" s="19"/>
      <c r="DC109" s="19"/>
      <c r="DD109" s="19"/>
      <c r="DE109" s="19"/>
      <c r="DF109" s="19"/>
      <c r="DG109" s="19"/>
      <c r="DH109" s="19"/>
      <c r="DI109" s="19"/>
      <c r="DJ109" s="19"/>
      <c r="DK109" s="19"/>
      <c r="DL109" s="19"/>
      <c r="DM109" s="19"/>
      <c r="DN109" s="19"/>
      <c r="DO109" s="19"/>
      <c r="DP109" s="19"/>
      <c r="DQ109" s="19"/>
      <c r="DR109" s="19"/>
      <c r="DS109" s="19"/>
      <c r="DT109" s="19"/>
      <c r="DU109" s="19"/>
      <c r="DV109" s="19"/>
      <c r="DW109" s="19"/>
      <c r="DX109" s="19"/>
      <c r="DY109" s="19"/>
      <c r="DZ109" s="19"/>
      <c r="EA109" s="19"/>
    </row>
    <row r="110" spans="1:131">
      <c r="A110" s="19"/>
      <c r="B110" s="393" t="s">
        <v>706</v>
      </c>
      <c r="C110" s="394">
        <v>172.41433568478863</v>
      </c>
      <c r="D110" s="394">
        <v>140</v>
      </c>
      <c r="E110" s="394">
        <v>28</v>
      </c>
      <c r="F110" s="394">
        <v>168</v>
      </c>
      <c r="G110" s="394">
        <v>145.66830193762959</v>
      </c>
      <c r="H110" s="394">
        <v>195.11044240964463</v>
      </c>
      <c r="I110" s="394">
        <v>8535.7171383390942</v>
      </c>
      <c r="J110" s="394">
        <v>-0.368495103884179</v>
      </c>
      <c r="K110" s="394">
        <v>18.952811894078334</v>
      </c>
      <c r="L110" s="367">
        <v>1.3553060059844273</v>
      </c>
      <c r="M110" s="40">
        <v>1.6335315015274823</v>
      </c>
      <c r="N110" s="71">
        <v>5.7775389418093974</v>
      </c>
      <c r="O110" s="71">
        <v>4.231047896703477</v>
      </c>
      <c r="P110" s="71">
        <v>3.2561841488198398</v>
      </c>
      <c r="Q110" s="71">
        <v>3.2394470658086503</v>
      </c>
      <c r="R110" s="71">
        <v>1.6178636227228278</v>
      </c>
      <c r="S110" s="71">
        <v>1.3764044552854457</v>
      </c>
      <c r="T110" s="71">
        <v>1.2326204842497117</v>
      </c>
      <c r="U110" s="71">
        <v>1.3908300800354394</v>
      </c>
      <c r="V110" s="71">
        <v>1.3940471831033916</v>
      </c>
      <c r="W110" s="71">
        <v>2.6400634827245089</v>
      </c>
      <c r="X110" s="71">
        <v>3.5238197105093652</v>
      </c>
      <c r="Y110" s="71">
        <v>7.5455248975109699</v>
      </c>
      <c r="Z110" s="71"/>
      <c r="AA110" s="71">
        <v>1.6803075243912813</v>
      </c>
      <c r="AB110" s="71">
        <v>1.1465578387799871</v>
      </c>
      <c r="AC110" s="71">
        <v>0.70232046342814602</v>
      </c>
      <c r="AD110" s="71">
        <v>0.7050165432799852</v>
      </c>
      <c r="AE110" s="71">
        <v>0.38847537329207216</v>
      </c>
      <c r="AF110" s="71">
        <v>0.29984987209171599</v>
      </c>
      <c r="AG110" s="71">
        <v>0.35828065094804296</v>
      </c>
      <c r="AH110" s="71">
        <v>0.31558019623977912</v>
      </c>
      <c r="AI110" s="71">
        <v>0.41793228486680822</v>
      </c>
      <c r="AJ110" s="71">
        <v>0.52176371436856428</v>
      </c>
      <c r="AK110" s="71">
        <v>1.0766255187573632</v>
      </c>
      <c r="AL110" s="71">
        <v>2.2134134730382518</v>
      </c>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19"/>
      <c r="CY110" s="19"/>
      <c r="CZ110" s="19"/>
      <c r="DA110" s="19"/>
      <c r="DB110" s="19"/>
      <c r="DC110" s="19"/>
      <c r="DD110" s="19"/>
      <c r="DE110" s="19"/>
      <c r="DF110" s="19"/>
      <c r="DG110" s="19"/>
      <c r="DH110" s="19"/>
      <c r="DI110" s="19"/>
      <c r="DJ110" s="19"/>
      <c r="DK110" s="19"/>
      <c r="DL110" s="19"/>
      <c r="DM110" s="19"/>
      <c r="DN110" s="19"/>
      <c r="DO110" s="19"/>
      <c r="DP110" s="19"/>
      <c r="DQ110" s="19"/>
      <c r="DR110" s="19"/>
      <c r="DS110" s="19"/>
      <c r="DT110" s="19"/>
      <c r="DU110" s="19"/>
      <c r="DV110" s="19"/>
      <c r="DW110" s="19"/>
      <c r="DX110" s="19"/>
      <c r="DY110" s="19"/>
      <c r="DZ110" s="19"/>
      <c r="EA110" s="19"/>
    </row>
    <row r="111" spans="1:131">
      <c r="A111" s="19"/>
      <c r="B111" s="393" t="s">
        <v>707</v>
      </c>
      <c r="C111" s="395"/>
      <c r="D111" s="395"/>
      <c r="E111" s="395"/>
      <c r="F111" s="395"/>
      <c r="G111" s="395"/>
      <c r="H111" s="395"/>
      <c r="I111" s="395"/>
      <c r="J111" s="395"/>
      <c r="K111" s="395"/>
      <c r="L111" s="368"/>
      <c r="M111" s="396"/>
      <c r="N111" s="396"/>
      <c r="O111" s="396"/>
      <c r="P111" s="396"/>
      <c r="Q111" s="396"/>
      <c r="R111" s="396"/>
      <c r="S111" s="396"/>
      <c r="T111" s="396"/>
      <c r="U111" s="396"/>
      <c r="V111" s="396"/>
      <c r="W111" s="396"/>
      <c r="X111" s="396"/>
      <c r="Y111" s="396"/>
      <c r="Z111" s="396"/>
      <c r="AA111" s="396"/>
      <c r="AB111" s="396"/>
      <c r="AC111" s="396"/>
      <c r="AD111" s="396"/>
      <c r="AE111" s="396"/>
      <c r="AF111" s="396"/>
      <c r="AG111" s="396"/>
      <c r="AH111" s="396"/>
      <c r="AI111" s="396"/>
      <c r="AJ111" s="396"/>
      <c r="AK111" s="396"/>
      <c r="AL111" s="396"/>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19"/>
      <c r="CY111" s="19"/>
      <c r="CZ111" s="19"/>
      <c r="DA111" s="19"/>
      <c r="DB111" s="19"/>
      <c r="DC111" s="19"/>
      <c r="DD111" s="19"/>
      <c r="DE111" s="19"/>
      <c r="DF111" s="19"/>
      <c r="DG111" s="19"/>
      <c r="DH111" s="19"/>
      <c r="DI111" s="19"/>
      <c r="DJ111" s="19"/>
      <c r="DK111" s="19"/>
      <c r="DL111" s="19"/>
      <c r="DM111" s="19"/>
      <c r="DN111" s="19"/>
      <c r="DO111" s="19"/>
      <c r="DP111" s="19"/>
      <c r="DQ111" s="19"/>
      <c r="DR111" s="19"/>
      <c r="DS111" s="19"/>
      <c r="DT111" s="19"/>
      <c r="DU111" s="19"/>
      <c r="DV111" s="19"/>
      <c r="DW111" s="19"/>
      <c r="DX111" s="19"/>
      <c r="DY111" s="19"/>
      <c r="DZ111" s="19"/>
      <c r="EA111" s="19"/>
    </row>
    <row r="112" spans="1:131">
      <c r="A112" s="19"/>
      <c r="B112" s="19" t="s">
        <v>80</v>
      </c>
      <c r="C112" s="396">
        <v>0</v>
      </c>
      <c r="D112" s="396">
        <v>0</v>
      </c>
      <c r="E112" s="396">
        <v>0</v>
      </c>
      <c r="F112" s="396">
        <v>0</v>
      </c>
      <c r="G112" s="396">
        <v>0</v>
      </c>
      <c r="H112" s="396">
        <v>0</v>
      </c>
      <c r="I112" s="396">
        <v>0</v>
      </c>
      <c r="J112" s="396">
        <v>0</v>
      </c>
      <c r="K112" s="396">
        <v>0</v>
      </c>
      <c r="L112" s="368">
        <v>0</v>
      </c>
      <c r="M112" s="396">
        <v>0</v>
      </c>
      <c r="N112" s="396">
        <v>0</v>
      </c>
      <c r="O112" s="396">
        <v>0</v>
      </c>
      <c r="P112" s="396">
        <v>0</v>
      </c>
      <c r="Q112" s="396">
        <v>0</v>
      </c>
      <c r="R112" s="396">
        <v>0</v>
      </c>
      <c r="S112" s="396">
        <v>0</v>
      </c>
      <c r="T112" s="396">
        <v>0</v>
      </c>
      <c r="U112" s="396">
        <v>0</v>
      </c>
      <c r="V112" s="396">
        <v>0</v>
      </c>
      <c r="W112" s="396">
        <v>0</v>
      </c>
      <c r="X112" s="396">
        <v>0</v>
      </c>
      <c r="Y112" s="396">
        <v>0</v>
      </c>
      <c r="Z112" s="396"/>
      <c r="AA112" s="396">
        <v>0</v>
      </c>
      <c r="AB112" s="396">
        <v>0</v>
      </c>
      <c r="AC112" s="396">
        <v>0</v>
      </c>
      <c r="AD112" s="396">
        <v>0</v>
      </c>
      <c r="AE112" s="396">
        <v>0</v>
      </c>
      <c r="AF112" s="396">
        <v>0</v>
      </c>
      <c r="AG112" s="396">
        <v>0</v>
      </c>
      <c r="AH112" s="396">
        <v>0</v>
      </c>
      <c r="AI112" s="396">
        <v>0</v>
      </c>
      <c r="AJ112" s="396">
        <v>0</v>
      </c>
      <c r="AK112" s="396">
        <v>0</v>
      </c>
      <c r="AL112" s="396">
        <v>0</v>
      </c>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19"/>
      <c r="CY112" s="19"/>
      <c r="CZ112" s="19"/>
      <c r="DA112" s="19"/>
      <c r="DB112" s="19"/>
      <c r="DC112" s="19"/>
      <c r="DD112" s="19"/>
      <c r="DE112" s="19"/>
      <c r="DF112" s="19"/>
      <c r="DG112" s="19"/>
      <c r="DH112" s="19"/>
      <c r="DI112" s="19"/>
      <c r="DJ112" s="19"/>
      <c r="DK112" s="19"/>
      <c r="DL112" s="19"/>
      <c r="DM112" s="19"/>
      <c r="DN112" s="19"/>
      <c r="DO112" s="19"/>
      <c r="DP112" s="19"/>
      <c r="DQ112" s="19"/>
      <c r="DR112" s="19"/>
      <c r="DS112" s="19"/>
      <c r="DT112" s="19"/>
      <c r="DU112" s="19"/>
      <c r="DV112" s="19"/>
      <c r="DW112" s="19"/>
      <c r="DX112" s="19"/>
      <c r="DY112" s="19"/>
      <c r="DZ112" s="19"/>
      <c r="EA112" s="19"/>
    </row>
    <row r="113" spans="1:131">
      <c r="A113" s="19"/>
      <c r="B113" s="19" t="s">
        <v>83</v>
      </c>
      <c r="C113" s="40">
        <v>50.574823356190421</v>
      </c>
      <c r="D113" s="40">
        <v>35</v>
      </c>
      <c r="E113" s="40">
        <v>7</v>
      </c>
      <c r="F113" s="40">
        <v>42</v>
      </c>
      <c r="G113" s="40">
        <v>36.417075484407398</v>
      </c>
      <c r="H113" s="40">
        <v>57.305581927520322</v>
      </c>
      <c r="I113" s="40">
        <v>7274.7658930768393</v>
      </c>
      <c r="J113" s="40">
        <v>-6.7137188735474123</v>
      </c>
      <c r="K113" s="40">
        <v>9.6625033770391422</v>
      </c>
      <c r="L113" s="367">
        <v>1.5735909917328947</v>
      </c>
      <c r="M113" s="40">
        <v>0.48046676697334345</v>
      </c>
      <c r="N113" s="71">
        <v>7.3742644629023077</v>
      </c>
      <c r="O113" s="71">
        <v>5.283427427764714</v>
      </c>
      <c r="P113" s="71">
        <v>3.8272119663533721</v>
      </c>
      <c r="Q113" s="71">
        <v>3.7379149255415443</v>
      </c>
      <c r="R113" s="71">
        <v>1.310866015445836</v>
      </c>
      <c r="S113" s="71">
        <v>0.66995893503246762</v>
      </c>
      <c r="T113" s="71">
        <v>0.29155025216969721</v>
      </c>
      <c r="U113" s="71">
        <v>0.30266840157689845</v>
      </c>
      <c r="V113" s="71">
        <v>0.64562836006441127</v>
      </c>
      <c r="W113" s="71">
        <v>2.6238912121583287</v>
      </c>
      <c r="X113" s="71">
        <v>4.21985383511793</v>
      </c>
      <c r="Y113" s="71">
        <v>9.7206161684410262</v>
      </c>
      <c r="Z113" s="71"/>
      <c r="AA113" s="71">
        <v>2.1417950689598504</v>
      </c>
      <c r="AB113" s="71">
        <v>1.4311370614252386</v>
      </c>
      <c r="AC113" s="71">
        <v>0.82708955664726491</v>
      </c>
      <c r="AD113" s="71">
        <v>0.7888987170316536</v>
      </c>
      <c r="AE113" s="71">
        <v>0.3021287266763325</v>
      </c>
      <c r="AF113" s="71">
        <v>0.13697357849775502</v>
      </c>
      <c r="AG113" s="71">
        <v>6.8759732619538508E-2</v>
      </c>
      <c r="AH113" s="71">
        <v>5.3647809516919935E-2</v>
      </c>
      <c r="AI113" s="71">
        <v>0.17425790530596894</v>
      </c>
      <c r="AJ113" s="71">
        <v>0.49530004772061148</v>
      </c>
      <c r="AK113" s="71">
        <v>1.2964821411435745</v>
      </c>
      <c r="AL113" s="71">
        <v>2.8505010480771831</v>
      </c>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19"/>
      <c r="CY113" s="19"/>
      <c r="CZ113" s="19"/>
      <c r="DA113" s="19"/>
      <c r="DB113" s="19"/>
      <c r="DC113" s="19"/>
      <c r="DD113" s="19"/>
      <c r="DE113" s="19"/>
      <c r="DF113" s="19"/>
      <c r="DG113" s="19"/>
      <c r="DH113" s="19"/>
      <c r="DI113" s="19"/>
      <c r="DJ113" s="19"/>
      <c r="DK113" s="19"/>
      <c r="DL113" s="19"/>
      <c r="DM113" s="19"/>
      <c r="DN113" s="19"/>
      <c r="DO113" s="19"/>
      <c r="DP113" s="19"/>
      <c r="DQ113" s="19"/>
      <c r="DR113" s="19"/>
      <c r="DS113" s="19"/>
      <c r="DT113" s="19"/>
      <c r="DU113" s="19"/>
      <c r="DV113" s="19"/>
      <c r="DW113" s="19"/>
      <c r="DX113" s="19"/>
      <c r="DY113" s="19"/>
      <c r="DZ113" s="19"/>
      <c r="EA113" s="19"/>
    </row>
    <row r="114" spans="1:131">
      <c r="A114" s="19"/>
      <c r="B114" s="19" t="s">
        <v>86</v>
      </c>
      <c r="C114" s="40">
        <v>43.820146200538971</v>
      </c>
      <c r="D114" s="40">
        <v>35</v>
      </c>
      <c r="E114" s="40">
        <v>7</v>
      </c>
      <c r="F114" s="40">
        <v>42</v>
      </c>
      <c r="G114" s="40">
        <v>36.417075484407398</v>
      </c>
      <c r="H114" s="40">
        <v>49.402274355494612</v>
      </c>
      <c r="I114" s="40">
        <v>8396.1381214076082</v>
      </c>
      <c r="J114" s="40">
        <v>-1.0708696796717572</v>
      </c>
      <c r="K114" s="40">
        <v>18.248935052284185</v>
      </c>
      <c r="L114" s="367">
        <v>1.3541408995071786</v>
      </c>
      <c r="M114" s="40">
        <v>0.41187158513170125</v>
      </c>
      <c r="N114" s="71">
        <v>6.389371735616062</v>
      </c>
      <c r="O114" s="71">
        <v>4.5777829157014525</v>
      </c>
      <c r="P114" s="71">
        <v>3.3160568199103597</v>
      </c>
      <c r="Q114" s="71">
        <v>3.2386861219231204</v>
      </c>
      <c r="R114" s="71">
        <v>1.1357892452060043</v>
      </c>
      <c r="S114" s="71">
        <v>0.58048049470620056</v>
      </c>
      <c r="T114" s="71">
        <v>0.25261135535565571</v>
      </c>
      <c r="U114" s="71">
        <v>0.26224458588760896</v>
      </c>
      <c r="V114" s="71">
        <v>0.55939946502598703</v>
      </c>
      <c r="W114" s="71">
        <v>2.2734492955379499</v>
      </c>
      <c r="X114" s="71">
        <v>3.6562581879416292</v>
      </c>
      <c r="Y114" s="71">
        <v>8.4223491728374142</v>
      </c>
      <c r="Z114" s="71"/>
      <c r="AA114" s="71">
        <v>1.8557409957206756</v>
      </c>
      <c r="AB114" s="71">
        <v>1.2399971191790149</v>
      </c>
      <c r="AC114" s="71">
        <v>0.71662504954228179</v>
      </c>
      <c r="AD114" s="71">
        <v>0.68353490578258869</v>
      </c>
      <c r="AE114" s="71">
        <v>0.26177698893967682</v>
      </c>
      <c r="AF114" s="71">
        <v>0.11867964803574442</v>
      </c>
      <c r="AG114" s="71">
        <v>5.9576313591401663E-2</v>
      </c>
      <c r="AH114" s="71">
        <v>4.6482710178014884E-2</v>
      </c>
      <c r="AI114" s="71">
        <v>0.15098435111336039</v>
      </c>
      <c r="AJ114" s="71">
        <v>0.42914871598052773</v>
      </c>
      <c r="AK114" s="71">
        <v>1.1233264537807897</v>
      </c>
      <c r="AL114" s="71">
        <v>2.4697935530454536</v>
      </c>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19"/>
      <c r="CY114" s="19"/>
      <c r="CZ114" s="19"/>
      <c r="DA114" s="19"/>
      <c r="DB114" s="19"/>
      <c r="DC114" s="19"/>
      <c r="DD114" s="19"/>
      <c r="DE114" s="19"/>
      <c r="DF114" s="19"/>
      <c r="DG114" s="19"/>
      <c r="DH114" s="19"/>
      <c r="DI114" s="19"/>
      <c r="DJ114" s="19"/>
      <c r="DK114" s="19"/>
      <c r="DL114" s="19"/>
      <c r="DM114" s="19"/>
      <c r="DN114" s="19"/>
      <c r="DO114" s="19"/>
      <c r="DP114" s="19"/>
      <c r="DQ114" s="19"/>
      <c r="DR114" s="19"/>
      <c r="DS114" s="19"/>
      <c r="DT114" s="19"/>
      <c r="DU114" s="19"/>
      <c r="DV114" s="19"/>
      <c r="DW114" s="19"/>
      <c r="DX114" s="19"/>
      <c r="DY114" s="19"/>
      <c r="DZ114" s="19"/>
      <c r="EA114" s="19"/>
    </row>
    <row r="115" spans="1:131">
      <c r="A115" s="19"/>
      <c r="B115" s="19" t="s">
        <v>89</v>
      </c>
      <c r="C115" s="40">
        <v>78.019366128059261</v>
      </c>
      <c r="D115" s="40">
        <v>70</v>
      </c>
      <c r="E115" s="40">
        <v>14</v>
      </c>
      <c r="F115" s="40">
        <v>84</v>
      </c>
      <c r="G115" s="40">
        <v>72.834150968814797</v>
      </c>
      <c r="H115" s="40">
        <v>88.402586126629686</v>
      </c>
      <c r="I115" s="40">
        <v>9431.5044650863802</v>
      </c>
      <c r="J115" s="40">
        <v>4.1391899153393963</v>
      </c>
      <c r="K115" s="40">
        <v>25.370445401463204</v>
      </c>
      <c r="L115" s="367">
        <v>1.2144605979183254</v>
      </c>
      <c r="M115" s="40">
        <v>0.74119314942243741</v>
      </c>
      <c r="N115" s="71">
        <v>11.375925823889004</v>
      </c>
      <c r="O115" s="71">
        <v>8.1504913224249655</v>
      </c>
      <c r="P115" s="71">
        <v>5.9040572331739973</v>
      </c>
      <c r="Q115" s="71">
        <v>5.7663029503328396</v>
      </c>
      <c r="R115" s="71">
        <v>2.0222104362798632</v>
      </c>
      <c r="S115" s="71">
        <v>1.0335136728987679</v>
      </c>
      <c r="T115" s="71">
        <v>0.44976065874823068</v>
      </c>
      <c r="U115" s="71">
        <v>0.46691209718544918</v>
      </c>
      <c r="V115" s="71">
        <v>0.99598005615887597</v>
      </c>
      <c r="W115" s="71">
        <v>4.0477517384451831</v>
      </c>
      <c r="X115" s="71">
        <v>6.5097671038857428</v>
      </c>
      <c r="Y115" s="71">
        <v>14.995530612033354</v>
      </c>
      <c r="Z115" s="71"/>
      <c r="AA115" s="71">
        <v>3.3040450280880131</v>
      </c>
      <c r="AB115" s="71">
        <v>2.2077468385483474</v>
      </c>
      <c r="AC115" s="71">
        <v>1.2759115832454753</v>
      </c>
      <c r="AD115" s="71">
        <v>1.2169963977642855</v>
      </c>
      <c r="AE115" s="71">
        <v>0.46607956647425242</v>
      </c>
      <c r="AF115" s="71">
        <v>0.21130260199670592</v>
      </c>
      <c r="AG115" s="71">
        <v>0.1060723577090774</v>
      </c>
      <c r="AH115" s="71">
        <v>8.2759915209009605E-2</v>
      </c>
      <c r="AI115" s="71">
        <v>0.26881935343647551</v>
      </c>
      <c r="AJ115" s="71">
        <v>0.76407574366010422</v>
      </c>
      <c r="AK115" s="71">
        <v>2.0000211199153846</v>
      </c>
      <c r="AL115" s="71">
        <v>4.3973319165558493</v>
      </c>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19"/>
      <c r="CY115" s="19"/>
      <c r="CZ115" s="19"/>
      <c r="DA115" s="19"/>
      <c r="DB115" s="19"/>
      <c r="DC115" s="19"/>
      <c r="DD115" s="19"/>
      <c r="DE115" s="19"/>
      <c r="DF115" s="19"/>
      <c r="DG115" s="19"/>
      <c r="DH115" s="19"/>
      <c r="DI115" s="19"/>
      <c r="DJ115" s="19"/>
      <c r="DK115" s="19"/>
      <c r="DL115" s="19"/>
      <c r="DM115" s="19"/>
      <c r="DN115" s="19"/>
      <c r="DO115" s="19"/>
      <c r="DP115" s="19"/>
      <c r="DQ115" s="19"/>
      <c r="DR115" s="19"/>
      <c r="DS115" s="19"/>
      <c r="DT115" s="19"/>
      <c r="DU115" s="19"/>
      <c r="DV115" s="19"/>
      <c r="DW115" s="19"/>
      <c r="DX115" s="19"/>
      <c r="DY115" s="19"/>
      <c r="DZ115" s="19"/>
      <c r="EA115" s="19"/>
    </row>
    <row r="116" spans="1:131">
      <c r="A116" s="19"/>
      <c r="B116" s="19" t="s">
        <v>92</v>
      </c>
      <c r="C116" s="396">
        <v>0</v>
      </c>
      <c r="D116" s="396">
        <v>0</v>
      </c>
      <c r="E116" s="396">
        <v>0</v>
      </c>
      <c r="F116" s="396">
        <v>0</v>
      </c>
      <c r="G116" s="396">
        <v>0</v>
      </c>
      <c r="H116" s="396">
        <v>0</v>
      </c>
      <c r="I116" s="396">
        <v>0</v>
      </c>
      <c r="J116" s="396">
        <v>0</v>
      </c>
      <c r="K116" s="396">
        <v>0</v>
      </c>
      <c r="L116" s="397">
        <v>0</v>
      </c>
      <c r="M116" s="396">
        <v>0</v>
      </c>
      <c r="N116" s="396">
        <v>0</v>
      </c>
      <c r="O116" s="396">
        <v>0</v>
      </c>
      <c r="P116" s="396">
        <v>0</v>
      </c>
      <c r="Q116" s="396">
        <v>0</v>
      </c>
      <c r="R116" s="396">
        <v>0</v>
      </c>
      <c r="S116" s="396">
        <v>0</v>
      </c>
      <c r="T116" s="396">
        <v>0</v>
      </c>
      <c r="U116" s="396">
        <v>0</v>
      </c>
      <c r="V116" s="396">
        <v>0</v>
      </c>
      <c r="W116" s="396">
        <v>0</v>
      </c>
      <c r="X116" s="396">
        <v>0</v>
      </c>
      <c r="Y116" s="396">
        <v>0</v>
      </c>
      <c r="Z116" s="396"/>
      <c r="AA116" s="396">
        <v>0</v>
      </c>
      <c r="AB116" s="396">
        <v>0</v>
      </c>
      <c r="AC116" s="396">
        <v>0</v>
      </c>
      <c r="AD116" s="396">
        <v>0</v>
      </c>
      <c r="AE116" s="396">
        <v>0</v>
      </c>
      <c r="AF116" s="396">
        <v>0</v>
      </c>
      <c r="AG116" s="396">
        <v>0</v>
      </c>
      <c r="AH116" s="396">
        <v>0</v>
      </c>
      <c r="AI116" s="396">
        <v>0</v>
      </c>
      <c r="AJ116" s="396">
        <v>0</v>
      </c>
      <c r="AK116" s="396">
        <v>0</v>
      </c>
      <c r="AL116" s="396">
        <v>0</v>
      </c>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19"/>
      <c r="CY116" s="19"/>
      <c r="CZ116" s="19"/>
      <c r="DA116" s="19"/>
      <c r="DB116" s="19"/>
      <c r="DC116" s="19"/>
      <c r="DD116" s="19"/>
      <c r="DE116" s="19"/>
      <c r="DF116" s="19"/>
      <c r="DG116" s="19"/>
      <c r="DH116" s="19"/>
      <c r="DI116" s="19"/>
      <c r="DJ116" s="19"/>
      <c r="DK116" s="19"/>
      <c r="DL116" s="19"/>
      <c r="DM116" s="19"/>
      <c r="DN116" s="19"/>
      <c r="DO116" s="19"/>
      <c r="DP116" s="19"/>
      <c r="DQ116" s="19"/>
      <c r="DR116" s="19"/>
      <c r="DS116" s="19"/>
      <c r="DT116" s="19"/>
      <c r="DU116" s="19"/>
      <c r="DV116" s="19"/>
      <c r="DW116" s="19"/>
      <c r="DX116" s="19"/>
      <c r="DY116" s="19"/>
      <c r="DZ116" s="19"/>
      <c r="EA116" s="19"/>
    </row>
    <row r="117" spans="1:131">
      <c r="A117" s="19"/>
      <c r="B117" s="19" t="s">
        <v>95</v>
      </c>
      <c r="C117" s="40">
        <v>30.010592043458619</v>
      </c>
      <c r="D117" s="40">
        <v>35</v>
      </c>
      <c r="E117" s="40">
        <v>7</v>
      </c>
      <c r="F117" s="40">
        <v>42</v>
      </c>
      <c r="G117" s="40">
        <v>36.417075484407398</v>
      </c>
      <c r="H117" s="40">
        <v>34.004556554309872</v>
      </c>
      <c r="I117" s="40">
        <v>12259.671500889141</v>
      </c>
      <c r="J117" s="40">
        <v>18.370789089042091</v>
      </c>
      <c r="K117" s="40">
        <v>45.968530125465826</v>
      </c>
      <c r="L117" s="368">
        <v>0.93375308428787784</v>
      </c>
      <c r="M117" s="40">
        <v>0.28510415216925461</v>
      </c>
      <c r="N117" s="71">
        <v>4.3758144414684841</v>
      </c>
      <c r="O117" s="71">
        <v>3.1351327519062697</v>
      </c>
      <c r="P117" s="71">
        <v>2.2710291280140575</v>
      </c>
      <c r="Q117" s="71">
        <v>2.2180411611828532</v>
      </c>
      <c r="R117" s="71">
        <v>0.77785472301336001</v>
      </c>
      <c r="S117" s="71">
        <v>0.39754690082705746</v>
      </c>
      <c r="T117" s="71">
        <v>0.17300299036954139</v>
      </c>
      <c r="U117" s="71">
        <v>0.17960038852134133</v>
      </c>
      <c r="V117" s="71">
        <v>0.38310938209552142</v>
      </c>
      <c r="W117" s="71">
        <v>1.5569906824965962</v>
      </c>
      <c r="X117" s="71">
        <v>2.5040188679818209</v>
      </c>
      <c r="Y117" s="71">
        <v>5.7681159692359936</v>
      </c>
      <c r="Z117" s="71"/>
      <c r="AA117" s="71">
        <v>1.270919674846039</v>
      </c>
      <c r="AB117" s="71">
        <v>0.84922235330852558</v>
      </c>
      <c r="AC117" s="71">
        <v>0.49078663296819897</v>
      </c>
      <c r="AD117" s="71">
        <v>0.46812457245185746</v>
      </c>
      <c r="AE117" s="71">
        <v>0.17928015085757504</v>
      </c>
      <c r="AF117" s="71">
        <v>8.1278745277626976E-2</v>
      </c>
      <c r="AG117" s="71">
        <v>4.0801334492643102E-2</v>
      </c>
      <c r="AH117" s="71">
        <v>3.1834071156284019E-2</v>
      </c>
      <c r="AI117" s="71">
        <v>0.10340289020198762</v>
      </c>
      <c r="AJ117" s="71">
        <v>0.29390607193152862</v>
      </c>
      <c r="AK117" s="71">
        <v>0.76931947652027022</v>
      </c>
      <c r="AL117" s="71">
        <v>1.6914586823331874</v>
      </c>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19"/>
      <c r="CY117" s="19"/>
      <c r="CZ117" s="19"/>
      <c r="DA117" s="19"/>
      <c r="DB117" s="19"/>
      <c r="DC117" s="19"/>
      <c r="DD117" s="19"/>
      <c r="DE117" s="19"/>
      <c r="DF117" s="19"/>
      <c r="DG117" s="19"/>
      <c r="DH117" s="19"/>
      <c r="DI117" s="19"/>
      <c r="DJ117" s="19"/>
      <c r="DK117" s="19"/>
      <c r="DL117" s="19"/>
      <c r="DM117" s="19"/>
      <c r="DN117" s="19"/>
      <c r="DO117" s="19"/>
      <c r="DP117" s="19"/>
      <c r="DQ117" s="19"/>
      <c r="DR117" s="19"/>
      <c r="DS117" s="19"/>
      <c r="DT117" s="19"/>
      <c r="DU117" s="19"/>
      <c r="DV117" s="19"/>
      <c r="DW117" s="19"/>
      <c r="DX117" s="19"/>
      <c r="DY117" s="19"/>
      <c r="DZ117" s="19"/>
      <c r="EA117" s="19"/>
    </row>
    <row r="118" spans="1:131">
      <c r="A118" s="19"/>
      <c r="B118" s="19" t="s">
        <v>98</v>
      </c>
      <c r="C118" s="40">
        <v>28.446676698406591</v>
      </c>
      <c r="D118" s="40">
        <v>35</v>
      </c>
      <c r="E118" s="40">
        <v>7</v>
      </c>
      <c r="F118" s="40">
        <v>42</v>
      </c>
      <c r="G118" s="40">
        <v>36.417075484407398</v>
      </c>
      <c r="H118" s="40">
        <v>32.232507281840867</v>
      </c>
      <c r="I118" s="40">
        <v>12933.672495409934</v>
      </c>
      <c r="J118" s="40">
        <v>21.762424687387959</v>
      </c>
      <c r="K118" s="40">
        <v>50.877409061345496</v>
      </c>
      <c r="L118" s="368">
        <v>0.88509323862762601</v>
      </c>
      <c r="M118" s="40">
        <v>0.2702467725524228</v>
      </c>
      <c r="N118" s="71">
        <v>4.1477815075562567</v>
      </c>
      <c r="O118" s="71">
        <v>2.9717543616238919</v>
      </c>
      <c r="P118" s="71">
        <v>2.1526810028848344</v>
      </c>
      <c r="Q118" s="71">
        <v>2.1024543509357363</v>
      </c>
      <c r="R118" s="71">
        <v>0.73731907027514798</v>
      </c>
      <c r="S118" s="71">
        <v>0.37682989205625483</v>
      </c>
      <c r="T118" s="71">
        <v>0.16398743909394475</v>
      </c>
      <c r="U118" s="71">
        <v>0.17024103289186601</v>
      </c>
      <c r="V118" s="71">
        <v>0.36314474292329346</v>
      </c>
      <c r="W118" s="71">
        <v>1.4758526090812731</v>
      </c>
      <c r="X118" s="71">
        <v>2.3735291553408415</v>
      </c>
      <c r="Y118" s="71">
        <v>5.4675272616468646</v>
      </c>
      <c r="Z118" s="71"/>
      <c r="AA118" s="71">
        <v>1.2046893659290414</v>
      </c>
      <c r="AB118" s="71">
        <v>0.80496758260033208</v>
      </c>
      <c r="AC118" s="71">
        <v>0.46521070479810861</v>
      </c>
      <c r="AD118" s="71">
        <v>0.4437296121260762</v>
      </c>
      <c r="AE118" s="71">
        <v>0.16993748348922108</v>
      </c>
      <c r="AF118" s="71">
        <v>7.7043138169903741E-2</v>
      </c>
      <c r="AG118" s="71">
        <v>3.8675090764454016E-2</v>
      </c>
      <c r="AH118" s="71">
        <v>3.0175130462788354E-2</v>
      </c>
      <c r="AI118" s="71">
        <v>9.8014347167733579E-2</v>
      </c>
      <c r="AJ118" s="71">
        <v>0.27859000568291653</v>
      </c>
      <c r="AK118" s="71">
        <v>0.72922861350646662</v>
      </c>
      <c r="AL118" s="71">
        <v>1.6033131973993457</v>
      </c>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19"/>
      <c r="CY118" s="19"/>
      <c r="CZ118" s="19"/>
      <c r="DA118" s="19"/>
      <c r="DB118" s="19"/>
      <c r="DC118" s="19"/>
      <c r="DD118" s="19"/>
      <c r="DE118" s="19"/>
      <c r="DF118" s="19"/>
      <c r="DG118" s="19"/>
      <c r="DH118" s="19"/>
      <c r="DI118" s="19"/>
      <c r="DJ118" s="19"/>
      <c r="DK118" s="19"/>
      <c r="DL118" s="19"/>
      <c r="DM118" s="19"/>
      <c r="DN118" s="19"/>
      <c r="DO118" s="19"/>
      <c r="DP118" s="19"/>
      <c r="DQ118" s="19"/>
      <c r="DR118" s="19"/>
      <c r="DS118" s="19"/>
      <c r="DT118" s="19"/>
      <c r="DU118" s="19"/>
      <c r="DV118" s="19"/>
      <c r="DW118" s="19"/>
      <c r="DX118" s="19"/>
      <c r="DY118" s="19"/>
      <c r="DZ118" s="19"/>
      <c r="EA118" s="19"/>
    </row>
    <row r="119" spans="1:131">
      <c r="A119" s="19"/>
      <c r="B119" s="19" t="s">
        <v>101</v>
      </c>
      <c r="C119" s="396">
        <v>0</v>
      </c>
      <c r="D119" s="396">
        <v>0</v>
      </c>
      <c r="E119" s="396">
        <v>0</v>
      </c>
      <c r="F119" s="396">
        <v>0</v>
      </c>
      <c r="G119" s="396">
        <v>0</v>
      </c>
      <c r="H119" s="396">
        <v>0</v>
      </c>
      <c r="I119" s="396">
        <v>0</v>
      </c>
      <c r="J119" s="396">
        <v>0</v>
      </c>
      <c r="K119" s="396">
        <v>0</v>
      </c>
      <c r="L119" s="397">
        <v>0</v>
      </c>
      <c r="M119" s="396">
        <v>0</v>
      </c>
      <c r="N119" s="396">
        <v>0</v>
      </c>
      <c r="O119" s="396">
        <v>0</v>
      </c>
      <c r="P119" s="396">
        <v>0</v>
      </c>
      <c r="Q119" s="396">
        <v>0</v>
      </c>
      <c r="R119" s="396">
        <v>0</v>
      </c>
      <c r="S119" s="396">
        <v>0</v>
      </c>
      <c r="T119" s="396">
        <v>0</v>
      </c>
      <c r="U119" s="396">
        <v>0</v>
      </c>
      <c r="V119" s="396">
        <v>0</v>
      </c>
      <c r="W119" s="396">
        <v>0</v>
      </c>
      <c r="X119" s="396">
        <v>0</v>
      </c>
      <c r="Y119" s="396">
        <v>0</v>
      </c>
      <c r="Z119" s="396"/>
      <c r="AA119" s="396">
        <v>0</v>
      </c>
      <c r="AB119" s="396">
        <v>0</v>
      </c>
      <c r="AC119" s="396">
        <v>0</v>
      </c>
      <c r="AD119" s="396">
        <v>0</v>
      </c>
      <c r="AE119" s="396">
        <v>0</v>
      </c>
      <c r="AF119" s="396">
        <v>0</v>
      </c>
      <c r="AG119" s="396">
        <v>0</v>
      </c>
      <c r="AH119" s="396">
        <v>0</v>
      </c>
      <c r="AI119" s="396">
        <v>0</v>
      </c>
      <c r="AJ119" s="396">
        <v>0</v>
      </c>
      <c r="AK119" s="396">
        <v>0</v>
      </c>
      <c r="AL119" s="396">
        <v>0</v>
      </c>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19"/>
      <c r="CY119" s="19"/>
      <c r="CZ119" s="19"/>
      <c r="DA119" s="19"/>
      <c r="DB119" s="19"/>
      <c r="DC119" s="19"/>
      <c r="DD119" s="19"/>
      <c r="DE119" s="19"/>
      <c r="DF119" s="19"/>
      <c r="DG119" s="19"/>
      <c r="DH119" s="19"/>
      <c r="DI119" s="19"/>
      <c r="DJ119" s="19"/>
      <c r="DK119" s="19"/>
      <c r="DL119" s="19"/>
      <c r="DM119" s="19"/>
      <c r="DN119" s="19"/>
      <c r="DO119" s="19"/>
      <c r="DP119" s="19"/>
      <c r="DQ119" s="19"/>
      <c r="DR119" s="19"/>
      <c r="DS119" s="19"/>
      <c r="DT119" s="19"/>
      <c r="DU119" s="19"/>
      <c r="DV119" s="19"/>
      <c r="DW119" s="19"/>
      <c r="DX119" s="19"/>
      <c r="DY119" s="19"/>
      <c r="DZ119" s="19"/>
      <c r="EA119" s="19"/>
    </row>
    <row r="120" spans="1:131">
      <c r="A120" s="19"/>
      <c r="B120" s="19" t="s">
        <v>104</v>
      </c>
      <c r="C120" s="396">
        <v>0</v>
      </c>
      <c r="D120" s="396">
        <v>0</v>
      </c>
      <c r="E120" s="396">
        <v>0</v>
      </c>
      <c r="F120" s="396">
        <v>0</v>
      </c>
      <c r="G120" s="396">
        <v>0</v>
      </c>
      <c r="H120" s="396">
        <v>0</v>
      </c>
      <c r="I120" s="396">
        <v>0</v>
      </c>
      <c r="J120" s="396">
        <v>0</v>
      </c>
      <c r="K120" s="396">
        <v>0</v>
      </c>
      <c r="L120" s="397">
        <v>0</v>
      </c>
      <c r="M120" s="396">
        <v>0</v>
      </c>
      <c r="N120" s="396">
        <v>0</v>
      </c>
      <c r="O120" s="396">
        <v>0</v>
      </c>
      <c r="P120" s="396">
        <v>0</v>
      </c>
      <c r="Q120" s="396">
        <v>0</v>
      </c>
      <c r="R120" s="396">
        <v>0</v>
      </c>
      <c r="S120" s="396">
        <v>0</v>
      </c>
      <c r="T120" s="396">
        <v>0</v>
      </c>
      <c r="U120" s="396">
        <v>0</v>
      </c>
      <c r="V120" s="396">
        <v>0</v>
      </c>
      <c r="W120" s="396">
        <v>0</v>
      </c>
      <c r="X120" s="396">
        <v>0</v>
      </c>
      <c r="Y120" s="396">
        <v>0</v>
      </c>
      <c r="Z120" s="396"/>
      <c r="AA120" s="396">
        <v>0</v>
      </c>
      <c r="AB120" s="396">
        <v>0</v>
      </c>
      <c r="AC120" s="396">
        <v>0</v>
      </c>
      <c r="AD120" s="396">
        <v>0</v>
      </c>
      <c r="AE120" s="396">
        <v>0</v>
      </c>
      <c r="AF120" s="396">
        <v>0</v>
      </c>
      <c r="AG120" s="396">
        <v>0</v>
      </c>
      <c r="AH120" s="396">
        <v>0</v>
      </c>
      <c r="AI120" s="396">
        <v>0</v>
      </c>
      <c r="AJ120" s="396">
        <v>0</v>
      </c>
      <c r="AK120" s="396">
        <v>0</v>
      </c>
      <c r="AL120" s="396">
        <v>0</v>
      </c>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19"/>
      <c r="CY120" s="19"/>
      <c r="CZ120" s="19"/>
      <c r="DA120" s="19"/>
      <c r="DB120" s="19"/>
      <c r="DC120" s="19"/>
      <c r="DD120" s="19"/>
      <c r="DE120" s="19"/>
      <c r="DF120" s="19"/>
      <c r="DG120" s="19"/>
      <c r="DH120" s="19"/>
      <c r="DI120" s="19"/>
      <c r="DJ120" s="19"/>
      <c r="DK120" s="19"/>
      <c r="DL120" s="19"/>
      <c r="DM120" s="19"/>
      <c r="DN120" s="19"/>
      <c r="DO120" s="19"/>
      <c r="DP120" s="19"/>
      <c r="DQ120" s="19"/>
      <c r="DR120" s="19"/>
      <c r="DS120" s="19"/>
      <c r="DT120" s="19"/>
      <c r="DU120" s="19"/>
      <c r="DV120" s="19"/>
      <c r="DW120" s="19"/>
      <c r="DX120" s="19"/>
      <c r="DY120" s="19"/>
      <c r="DZ120" s="19"/>
      <c r="EA120" s="19"/>
    </row>
    <row r="121" spans="1:131">
      <c r="A121" s="19"/>
      <c r="B121" s="19" t="s">
        <v>107</v>
      </c>
      <c r="C121" s="396">
        <v>0</v>
      </c>
      <c r="D121" s="396">
        <v>0</v>
      </c>
      <c r="E121" s="396">
        <v>0</v>
      </c>
      <c r="F121" s="396">
        <v>0</v>
      </c>
      <c r="G121" s="396">
        <v>0</v>
      </c>
      <c r="H121" s="396">
        <v>0</v>
      </c>
      <c r="I121" s="396">
        <v>0</v>
      </c>
      <c r="J121" s="396">
        <v>0</v>
      </c>
      <c r="K121" s="396">
        <v>0</v>
      </c>
      <c r="L121" s="397">
        <v>0</v>
      </c>
      <c r="M121" s="396">
        <v>0</v>
      </c>
      <c r="N121" s="396">
        <v>0</v>
      </c>
      <c r="O121" s="396">
        <v>0</v>
      </c>
      <c r="P121" s="396">
        <v>0</v>
      </c>
      <c r="Q121" s="396">
        <v>0</v>
      </c>
      <c r="R121" s="396">
        <v>0</v>
      </c>
      <c r="S121" s="396">
        <v>0</v>
      </c>
      <c r="T121" s="396">
        <v>0</v>
      </c>
      <c r="U121" s="396">
        <v>0</v>
      </c>
      <c r="V121" s="396">
        <v>0</v>
      </c>
      <c r="W121" s="396">
        <v>0</v>
      </c>
      <c r="X121" s="396">
        <v>0</v>
      </c>
      <c r="Y121" s="396">
        <v>0</v>
      </c>
      <c r="Z121" s="396"/>
      <c r="AA121" s="396">
        <v>0</v>
      </c>
      <c r="AB121" s="396">
        <v>0</v>
      </c>
      <c r="AC121" s="396">
        <v>0</v>
      </c>
      <c r="AD121" s="396">
        <v>0</v>
      </c>
      <c r="AE121" s="396">
        <v>0</v>
      </c>
      <c r="AF121" s="396">
        <v>0</v>
      </c>
      <c r="AG121" s="396">
        <v>0</v>
      </c>
      <c r="AH121" s="396">
        <v>0</v>
      </c>
      <c r="AI121" s="396">
        <v>0</v>
      </c>
      <c r="AJ121" s="396">
        <v>0</v>
      </c>
      <c r="AK121" s="396">
        <v>0</v>
      </c>
      <c r="AL121" s="396">
        <v>0</v>
      </c>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19"/>
      <c r="CY121" s="19"/>
      <c r="CZ121" s="19"/>
      <c r="DA121" s="19"/>
      <c r="DB121" s="19"/>
      <c r="DC121" s="19"/>
      <c r="DD121" s="19"/>
      <c r="DE121" s="19"/>
      <c r="DF121" s="19"/>
      <c r="DG121" s="19"/>
      <c r="DH121" s="19"/>
      <c r="DI121" s="19"/>
      <c r="DJ121" s="19"/>
      <c r="DK121" s="19"/>
      <c r="DL121" s="19"/>
      <c r="DM121" s="19"/>
      <c r="DN121" s="19"/>
      <c r="DO121" s="19"/>
      <c r="DP121" s="19"/>
      <c r="DQ121" s="19"/>
      <c r="DR121" s="19"/>
      <c r="DS121" s="19"/>
      <c r="DT121" s="19"/>
      <c r="DU121" s="19"/>
      <c r="DV121" s="19"/>
      <c r="DW121" s="19"/>
      <c r="DX121" s="19"/>
      <c r="DY121" s="19"/>
      <c r="DZ121" s="19"/>
      <c r="EA121" s="19"/>
    </row>
    <row r="122" spans="1:131">
      <c r="A122" s="19"/>
      <c r="B122" s="19" t="s">
        <v>110</v>
      </c>
      <c r="C122" s="40">
        <v>19.370875350619656</v>
      </c>
      <c r="D122" s="40">
        <v>35</v>
      </c>
      <c r="E122" s="40">
        <v>7</v>
      </c>
      <c r="F122" s="40">
        <v>42</v>
      </c>
      <c r="G122" s="40">
        <v>36.417075484407398</v>
      </c>
      <c r="H122" s="40">
        <v>21.948851439277373</v>
      </c>
      <c r="I122" s="40">
        <v>18993.462780618771</v>
      </c>
      <c r="J122" s="40">
        <v>52.255852170291512</v>
      </c>
      <c r="K122" s="40">
        <v>95.012027746974269</v>
      </c>
      <c r="L122" s="368">
        <v>0.60270768993175072</v>
      </c>
      <c r="M122" s="40">
        <v>0.18402559288458042</v>
      </c>
      <c r="N122" s="71">
        <v>2.8244479809122316</v>
      </c>
      <c r="O122" s="71">
        <v>2.0236277130713538</v>
      </c>
      <c r="P122" s="71">
        <v>1.4658765176202384</v>
      </c>
      <c r="Q122" s="71">
        <v>1.4316744832490518</v>
      </c>
      <c r="R122" s="71">
        <v>0.50208029413624555</v>
      </c>
      <c r="S122" s="71">
        <v>0.25660378345067097</v>
      </c>
      <c r="T122" s="71">
        <v>0.11166788568782338</v>
      </c>
      <c r="U122" s="71">
        <v>0.11592629475392446</v>
      </c>
      <c r="V122" s="71">
        <v>0.24728482781941141</v>
      </c>
      <c r="W122" s="71">
        <v>1.0049875853512793</v>
      </c>
      <c r="X122" s="71">
        <v>1.6162639276504438</v>
      </c>
      <c r="Y122" s="71">
        <v>3.7231339950303828</v>
      </c>
      <c r="Z122" s="71"/>
      <c r="AA122" s="71">
        <v>0.82033791824039759</v>
      </c>
      <c r="AB122" s="71">
        <v>0.54814581222115422</v>
      </c>
      <c r="AC122" s="71">
        <v>0.31678704229527277</v>
      </c>
      <c r="AD122" s="71">
        <v>0.30215940853134854</v>
      </c>
      <c r="AE122" s="71">
        <v>0.11571959160530255</v>
      </c>
      <c r="AF122" s="71">
        <v>5.2462825163452832E-2</v>
      </c>
      <c r="AG122" s="71">
        <v>2.6335953767636561E-2</v>
      </c>
      <c r="AH122" s="71">
        <v>2.0547872677025236E-2</v>
      </c>
      <c r="AI122" s="71">
        <v>6.6743251652481336E-2</v>
      </c>
      <c r="AJ122" s="71">
        <v>0.18970694999723742</v>
      </c>
      <c r="AK122" s="71">
        <v>0.49657106607219964</v>
      </c>
      <c r="AL122" s="71">
        <v>1.0917823696630906</v>
      </c>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19"/>
      <c r="CY122" s="19"/>
      <c r="CZ122" s="19"/>
      <c r="DA122" s="19"/>
      <c r="DB122" s="19"/>
      <c r="DC122" s="19"/>
      <c r="DD122" s="19"/>
      <c r="DE122" s="19"/>
      <c r="DF122" s="19"/>
      <c r="DG122" s="19"/>
      <c r="DH122" s="19"/>
      <c r="DI122" s="19"/>
      <c r="DJ122" s="19"/>
      <c r="DK122" s="19"/>
      <c r="DL122" s="19"/>
      <c r="DM122" s="19"/>
      <c r="DN122" s="19"/>
      <c r="DO122" s="19"/>
      <c r="DP122" s="19"/>
      <c r="DQ122" s="19"/>
      <c r="DR122" s="19"/>
      <c r="DS122" s="19"/>
      <c r="DT122" s="19"/>
      <c r="DU122" s="19"/>
      <c r="DV122" s="19"/>
      <c r="DW122" s="19"/>
      <c r="DX122" s="19"/>
      <c r="DY122" s="19"/>
      <c r="DZ122" s="19"/>
      <c r="EA122" s="19"/>
    </row>
    <row r="123" spans="1:131">
      <c r="A123" s="19"/>
      <c r="B123" s="19" t="s">
        <v>113</v>
      </c>
      <c r="C123" s="396">
        <v>0</v>
      </c>
      <c r="D123" s="396">
        <v>0</v>
      </c>
      <c r="E123" s="396">
        <v>0</v>
      </c>
      <c r="F123" s="396">
        <v>0</v>
      </c>
      <c r="G123" s="396">
        <v>0</v>
      </c>
      <c r="H123" s="396">
        <v>0</v>
      </c>
      <c r="I123" s="396">
        <v>0</v>
      </c>
      <c r="J123" s="396">
        <v>0</v>
      </c>
      <c r="K123" s="396">
        <v>0</v>
      </c>
      <c r="L123" s="397">
        <v>0</v>
      </c>
      <c r="M123" s="396">
        <v>0</v>
      </c>
      <c r="N123" s="396">
        <v>0</v>
      </c>
      <c r="O123" s="396">
        <v>0</v>
      </c>
      <c r="P123" s="396">
        <v>0</v>
      </c>
      <c r="Q123" s="396">
        <v>0</v>
      </c>
      <c r="R123" s="396">
        <v>0</v>
      </c>
      <c r="S123" s="396">
        <v>0</v>
      </c>
      <c r="T123" s="396">
        <v>0</v>
      </c>
      <c r="U123" s="396">
        <v>0</v>
      </c>
      <c r="V123" s="396">
        <v>0</v>
      </c>
      <c r="W123" s="396">
        <v>0</v>
      </c>
      <c r="X123" s="396">
        <v>0</v>
      </c>
      <c r="Y123" s="396">
        <v>0</v>
      </c>
      <c r="Z123" s="396"/>
      <c r="AA123" s="396">
        <v>0</v>
      </c>
      <c r="AB123" s="396">
        <v>0</v>
      </c>
      <c r="AC123" s="396">
        <v>0</v>
      </c>
      <c r="AD123" s="396">
        <v>0</v>
      </c>
      <c r="AE123" s="396">
        <v>0</v>
      </c>
      <c r="AF123" s="396">
        <v>0</v>
      </c>
      <c r="AG123" s="396">
        <v>0</v>
      </c>
      <c r="AH123" s="396">
        <v>0</v>
      </c>
      <c r="AI123" s="396">
        <v>0</v>
      </c>
      <c r="AJ123" s="396">
        <v>0</v>
      </c>
      <c r="AK123" s="396">
        <v>0</v>
      </c>
      <c r="AL123" s="396">
        <v>0</v>
      </c>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c r="CH123" s="40"/>
      <c r="CI123" s="40"/>
      <c r="CJ123" s="40"/>
      <c r="CK123" s="40"/>
      <c r="CL123" s="40"/>
      <c r="CM123" s="40"/>
      <c r="CN123" s="40"/>
      <c r="CO123" s="40"/>
      <c r="CP123" s="40"/>
      <c r="CQ123" s="40"/>
      <c r="CR123" s="40"/>
      <c r="CS123" s="40"/>
      <c r="CT123" s="40"/>
      <c r="CU123" s="40"/>
      <c r="CV123" s="40"/>
      <c r="CW123" s="40"/>
      <c r="CX123" s="19"/>
      <c r="CY123" s="19"/>
      <c r="CZ123" s="19"/>
      <c r="DA123" s="19"/>
      <c r="DB123" s="19"/>
      <c r="DC123" s="19"/>
      <c r="DD123" s="19"/>
      <c r="DE123" s="19"/>
      <c r="DF123" s="19"/>
      <c r="DG123" s="19"/>
      <c r="DH123" s="19"/>
      <c r="DI123" s="19"/>
      <c r="DJ123" s="19"/>
      <c r="DK123" s="19"/>
      <c r="DL123" s="19"/>
      <c r="DM123" s="19"/>
      <c r="DN123" s="19"/>
      <c r="DO123" s="19"/>
      <c r="DP123" s="19"/>
      <c r="DQ123" s="19"/>
      <c r="DR123" s="19"/>
      <c r="DS123" s="19"/>
      <c r="DT123" s="19"/>
      <c r="DU123" s="19"/>
      <c r="DV123" s="19"/>
      <c r="DW123" s="19"/>
      <c r="DX123" s="19"/>
      <c r="DY123" s="19"/>
      <c r="DZ123" s="19"/>
      <c r="EA123" s="19"/>
    </row>
    <row r="124" spans="1:131">
      <c r="A124" s="19"/>
      <c r="B124" s="19" t="s">
        <v>116</v>
      </c>
      <c r="C124" s="40">
        <v>17.416876261275753</v>
      </c>
      <c r="D124" s="40">
        <v>35</v>
      </c>
      <c r="E124" s="40">
        <v>7</v>
      </c>
      <c r="F124" s="40">
        <v>42</v>
      </c>
      <c r="G124" s="40">
        <v>36.417075484407398</v>
      </c>
      <c r="H124" s="40">
        <v>19.734804064122464</v>
      </c>
      <c r="I124" s="40">
        <v>21124.339088176457</v>
      </c>
      <c r="J124" s="40">
        <v>62.978619642649392</v>
      </c>
      <c r="K124" s="40">
        <v>110.53160992292048</v>
      </c>
      <c r="L124" s="368">
        <v>0.54191073285311619</v>
      </c>
      <c r="M124" s="40">
        <v>0.16546237184248425</v>
      </c>
      <c r="N124" s="71">
        <v>2.539537325987947</v>
      </c>
      <c r="O124" s="71">
        <v>1.8194982332754899</v>
      </c>
      <c r="P124" s="71">
        <v>1.3180090966247835</v>
      </c>
      <c r="Q124" s="71">
        <v>1.2872571254441005</v>
      </c>
      <c r="R124" s="71">
        <v>0.45143392840614138</v>
      </c>
      <c r="S124" s="71">
        <v>0.2307193796687442</v>
      </c>
      <c r="T124" s="71">
        <v>0.10040360655776404</v>
      </c>
      <c r="U124" s="71">
        <v>0.10423245695464632</v>
      </c>
      <c r="V124" s="71">
        <v>0.22234045542416822</v>
      </c>
      <c r="W124" s="71">
        <v>0.90361143218143758</v>
      </c>
      <c r="X124" s="71">
        <v>1.4532264713866339</v>
      </c>
      <c r="Y124" s="71">
        <v>3.3475701496122161</v>
      </c>
      <c r="Z124" s="71"/>
      <c r="AA124" s="71">
        <v>0.73758793837721426</v>
      </c>
      <c r="AB124" s="71">
        <v>0.4928526776301278</v>
      </c>
      <c r="AC124" s="71">
        <v>0.28483177022022371</v>
      </c>
      <c r="AD124" s="71">
        <v>0.27167967034604962</v>
      </c>
      <c r="AE124" s="71">
        <v>0.10404660458105966</v>
      </c>
      <c r="AF124" s="71">
        <v>4.7170740487965206E-2</v>
      </c>
      <c r="AG124" s="71">
        <v>2.3679366042636367E-2</v>
      </c>
      <c r="AH124" s="71">
        <v>1.847514628897497E-2</v>
      </c>
      <c r="AI124" s="71">
        <v>6.0010656940666846E-2</v>
      </c>
      <c r="AJ124" s="71">
        <v>0.17057063319031762</v>
      </c>
      <c r="AK124" s="71">
        <v>0.44648043292646672</v>
      </c>
      <c r="AL124" s="71">
        <v>0.98165096271997776</v>
      </c>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19"/>
      <c r="CY124" s="19"/>
      <c r="CZ124" s="19"/>
      <c r="DA124" s="19"/>
      <c r="DB124" s="19"/>
      <c r="DC124" s="19"/>
      <c r="DD124" s="19"/>
      <c r="DE124" s="19"/>
      <c r="DF124" s="19"/>
      <c r="DG124" s="19"/>
      <c r="DH124" s="19"/>
      <c r="DI124" s="19"/>
      <c r="DJ124" s="19"/>
      <c r="DK124" s="19"/>
      <c r="DL124" s="19"/>
      <c r="DM124" s="19"/>
      <c r="DN124" s="19"/>
      <c r="DO124" s="19"/>
      <c r="DP124" s="19"/>
      <c r="DQ124" s="19"/>
      <c r="DR124" s="19"/>
      <c r="DS124" s="19"/>
      <c r="DT124" s="19"/>
      <c r="DU124" s="19"/>
      <c r="DV124" s="19"/>
      <c r="DW124" s="19"/>
      <c r="DX124" s="19"/>
      <c r="DY124" s="19"/>
      <c r="DZ124" s="19"/>
      <c r="EA124" s="19"/>
    </row>
    <row r="125" spans="1:131">
      <c r="A125" s="19"/>
      <c r="B125" s="19" t="s">
        <v>119</v>
      </c>
      <c r="C125" s="396">
        <v>0</v>
      </c>
      <c r="D125" s="396">
        <v>0</v>
      </c>
      <c r="E125" s="396">
        <v>0</v>
      </c>
      <c r="F125" s="396">
        <v>0</v>
      </c>
      <c r="G125" s="396">
        <v>0</v>
      </c>
      <c r="H125" s="396">
        <v>0</v>
      </c>
      <c r="I125" s="396">
        <v>0</v>
      </c>
      <c r="J125" s="396">
        <v>0</v>
      </c>
      <c r="K125" s="396">
        <v>0</v>
      </c>
      <c r="L125" s="397">
        <v>0</v>
      </c>
      <c r="M125" s="396">
        <v>0</v>
      </c>
      <c r="N125" s="396">
        <v>0</v>
      </c>
      <c r="O125" s="396">
        <v>0</v>
      </c>
      <c r="P125" s="396">
        <v>0</v>
      </c>
      <c r="Q125" s="396">
        <v>0</v>
      </c>
      <c r="R125" s="396">
        <v>0</v>
      </c>
      <c r="S125" s="396">
        <v>0</v>
      </c>
      <c r="T125" s="396">
        <v>0</v>
      </c>
      <c r="U125" s="396">
        <v>0</v>
      </c>
      <c r="V125" s="396">
        <v>0</v>
      </c>
      <c r="W125" s="396">
        <v>0</v>
      </c>
      <c r="X125" s="396">
        <v>0</v>
      </c>
      <c r="Y125" s="396">
        <v>0</v>
      </c>
      <c r="Z125" s="396"/>
      <c r="AA125" s="396">
        <v>0</v>
      </c>
      <c r="AB125" s="396">
        <v>0</v>
      </c>
      <c r="AC125" s="396">
        <v>0</v>
      </c>
      <c r="AD125" s="396">
        <v>0</v>
      </c>
      <c r="AE125" s="396">
        <v>0</v>
      </c>
      <c r="AF125" s="396">
        <v>0</v>
      </c>
      <c r="AG125" s="396">
        <v>0</v>
      </c>
      <c r="AH125" s="396">
        <v>0</v>
      </c>
      <c r="AI125" s="396">
        <v>0</v>
      </c>
      <c r="AJ125" s="396">
        <v>0</v>
      </c>
      <c r="AK125" s="396">
        <v>0</v>
      </c>
      <c r="AL125" s="396">
        <v>0</v>
      </c>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40"/>
      <c r="CI125" s="40"/>
      <c r="CJ125" s="40"/>
      <c r="CK125" s="40"/>
      <c r="CL125" s="40"/>
      <c r="CM125" s="40"/>
      <c r="CN125" s="40"/>
      <c r="CO125" s="40"/>
      <c r="CP125" s="40"/>
      <c r="CQ125" s="40"/>
      <c r="CR125" s="40"/>
      <c r="CS125" s="40"/>
      <c r="CT125" s="40"/>
      <c r="CU125" s="40"/>
      <c r="CV125" s="40"/>
      <c r="CW125" s="40"/>
      <c r="CX125" s="19"/>
      <c r="CY125" s="19"/>
      <c r="CZ125" s="19"/>
      <c r="DA125" s="19"/>
      <c r="DB125" s="19"/>
      <c r="DC125" s="19"/>
      <c r="DD125" s="19"/>
      <c r="DE125" s="19"/>
      <c r="DF125" s="19"/>
      <c r="DG125" s="19"/>
      <c r="DH125" s="19"/>
      <c r="DI125" s="19"/>
      <c r="DJ125" s="19"/>
      <c r="DK125" s="19"/>
      <c r="DL125" s="19"/>
      <c r="DM125" s="19"/>
      <c r="DN125" s="19"/>
      <c r="DO125" s="19"/>
      <c r="DP125" s="19"/>
      <c r="DQ125" s="19"/>
      <c r="DR125" s="19"/>
      <c r="DS125" s="19"/>
      <c r="DT125" s="19"/>
      <c r="DU125" s="19"/>
      <c r="DV125" s="19"/>
      <c r="DW125" s="19"/>
      <c r="DX125" s="19"/>
      <c r="DY125" s="19"/>
      <c r="DZ125" s="19"/>
      <c r="EA125" s="19"/>
    </row>
    <row r="126" spans="1:131">
      <c r="A126" s="19"/>
      <c r="B126" s="19" t="s">
        <v>122</v>
      </c>
      <c r="C126" s="396">
        <v>0</v>
      </c>
      <c r="D126" s="396">
        <v>0</v>
      </c>
      <c r="E126" s="396">
        <v>0</v>
      </c>
      <c r="F126" s="396">
        <v>0</v>
      </c>
      <c r="G126" s="396">
        <v>0</v>
      </c>
      <c r="H126" s="396">
        <v>0</v>
      </c>
      <c r="I126" s="396">
        <v>0</v>
      </c>
      <c r="J126" s="396">
        <v>0</v>
      </c>
      <c r="K126" s="396">
        <v>0</v>
      </c>
      <c r="L126" s="397">
        <v>0</v>
      </c>
      <c r="M126" s="396">
        <v>0</v>
      </c>
      <c r="N126" s="396">
        <v>0</v>
      </c>
      <c r="O126" s="396">
        <v>0</v>
      </c>
      <c r="P126" s="396">
        <v>0</v>
      </c>
      <c r="Q126" s="396">
        <v>0</v>
      </c>
      <c r="R126" s="396">
        <v>0</v>
      </c>
      <c r="S126" s="396">
        <v>0</v>
      </c>
      <c r="T126" s="396">
        <v>0</v>
      </c>
      <c r="U126" s="396">
        <v>0</v>
      </c>
      <c r="V126" s="396">
        <v>0</v>
      </c>
      <c r="W126" s="396">
        <v>0</v>
      </c>
      <c r="X126" s="396">
        <v>0</v>
      </c>
      <c r="Y126" s="396">
        <v>0</v>
      </c>
      <c r="Z126" s="396"/>
      <c r="AA126" s="396">
        <v>0</v>
      </c>
      <c r="AB126" s="396">
        <v>0</v>
      </c>
      <c r="AC126" s="396">
        <v>0</v>
      </c>
      <c r="AD126" s="396">
        <v>0</v>
      </c>
      <c r="AE126" s="396">
        <v>0</v>
      </c>
      <c r="AF126" s="396">
        <v>0</v>
      </c>
      <c r="AG126" s="396">
        <v>0</v>
      </c>
      <c r="AH126" s="396">
        <v>0</v>
      </c>
      <c r="AI126" s="396">
        <v>0</v>
      </c>
      <c r="AJ126" s="396">
        <v>0</v>
      </c>
      <c r="AK126" s="396">
        <v>0</v>
      </c>
      <c r="AL126" s="396">
        <v>0</v>
      </c>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40"/>
      <c r="CI126" s="40"/>
      <c r="CJ126" s="40"/>
      <c r="CK126" s="40"/>
      <c r="CL126" s="40"/>
      <c r="CM126" s="40"/>
      <c r="CN126" s="40"/>
      <c r="CO126" s="40"/>
      <c r="CP126" s="40"/>
      <c r="CQ126" s="40"/>
      <c r="CR126" s="40"/>
      <c r="CS126" s="40"/>
      <c r="CT126" s="40"/>
      <c r="CU126" s="40"/>
      <c r="CV126" s="40"/>
      <c r="CW126" s="40"/>
      <c r="CX126" s="19"/>
      <c r="CY126" s="19"/>
      <c r="CZ126" s="19"/>
      <c r="DA126" s="19"/>
      <c r="DB126" s="19"/>
      <c r="DC126" s="19"/>
      <c r="DD126" s="19"/>
      <c r="DE126" s="19"/>
      <c r="DF126" s="19"/>
      <c r="DG126" s="19"/>
      <c r="DH126" s="19"/>
      <c r="DI126" s="19"/>
      <c r="DJ126" s="19"/>
      <c r="DK126" s="19"/>
      <c r="DL126" s="19"/>
      <c r="DM126" s="19"/>
      <c r="DN126" s="19"/>
      <c r="DO126" s="19"/>
      <c r="DP126" s="19"/>
      <c r="DQ126" s="19"/>
      <c r="DR126" s="19"/>
      <c r="DS126" s="19"/>
      <c r="DT126" s="19"/>
      <c r="DU126" s="19"/>
      <c r="DV126" s="19"/>
      <c r="DW126" s="19"/>
      <c r="DX126" s="19"/>
      <c r="DY126" s="19"/>
      <c r="DZ126" s="19"/>
      <c r="EA126" s="19"/>
    </row>
    <row r="127" spans="1:131">
      <c r="A127" s="19"/>
      <c r="B127" s="19" t="s">
        <v>125</v>
      </c>
      <c r="C127" s="396">
        <v>0</v>
      </c>
      <c r="D127" s="396">
        <v>0</v>
      </c>
      <c r="E127" s="396">
        <v>0</v>
      </c>
      <c r="F127" s="396">
        <v>0</v>
      </c>
      <c r="G127" s="396">
        <v>0</v>
      </c>
      <c r="H127" s="396">
        <v>0</v>
      </c>
      <c r="I127" s="396">
        <v>0</v>
      </c>
      <c r="J127" s="396">
        <v>0</v>
      </c>
      <c r="K127" s="396">
        <v>0</v>
      </c>
      <c r="L127" s="397">
        <v>0</v>
      </c>
      <c r="M127" s="396">
        <v>0</v>
      </c>
      <c r="N127" s="396">
        <v>0</v>
      </c>
      <c r="O127" s="396">
        <v>0</v>
      </c>
      <c r="P127" s="396">
        <v>0</v>
      </c>
      <c r="Q127" s="396">
        <v>0</v>
      </c>
      <c r="R127" s="396">
        <v>0</v>
      </c>
      <c r="S127" s="396">
        <v>0</v>
      </c>
      <c r="T127" s="396">
        <v>0</v>
      </c>
      <c r="U127" s="396">
        <v>0</v>
      </c>
      <c r="V127" s="396">
        <v>0</v>
      </c>
      <c r="W127" s="396">
        <v>0</v>
      </c>
      <c r="X127" s="396">
        <v>0</v>
      </c>
      <c r="Y127" s="396">
        <v>0</v>
      </c>
      <c r="Z127" s="396"/>
      <c r="AA127" s="396">
        <v>0</v>
      </c>
      <c r="AB127" s="396">
        <v>0</v>
      </c>
      <c r="AC127" s="396">
        <v>0</v>
      </c>
      <c r="AD127" s="396">
        <v>0</v>
      </c>
      <c r="AE127" s="396">
        <v>0</v>
      </c>
      <c r="AF127" s="396">
        <v>0</v>
      </c>
      <c r="AG127" s="396">
        <v>0</v>
      </c>
      <c r="AH127" s="396">
        <v>0</v>
      </c>
      <c r="AI127" s="396">
        <v>0</v>
      </c>
      <c r="AJ127" s="396">
        <v>0</v>
      </c>
      <c r="AK127" s="396">
        <v>0</v>
      </c>
      <c r="AL127" s="396">
        <v>0</v>
      </c>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40"/>
      <c r="BM127" s="40"/>
      <c r="BN127" s="40"/>
      <c r="BO127" s="40"/>
      <c r="BP127" s="40"/>
      <c r="BQ127" s="40"/>
      <c r="BR127" s="40"/>
      <c r="BS127" s="40"/>
      <c r="BT127" s="40"/>
      <c r="BU127" s="40"/>
      <c r="BV127" s="40"/>
      <c r="BW127" s="40"/>
      <c r="BX127" s="40"/>
      <c r="BY127" s="40"/>
      <c r="BZ127" s="40"/>
      <c r="CA127" s="40"/>
      <c r="CB127" s="40"/>
      <c r="CC127" s="40"/>
      <c r="CD127" s="40"/>
      <c r="CE127" s="40"/>
      <c r="CF127" s="40"/>
      <c r="CG127" s="40"/>
      <c r="CH127" s="40"/>
      <c r="CI127" s="40"/>
      <c r="CJ127" s="40"/>
      <c r="CK127" s="40"/>
      <c r="CL127" s="40"/>
      <c r="CM127" s="40"/>
      <c r="CN127" s="40"/>
      <c r="CO127" s="40"/>
      <c r="CP127" s="40"/>
      <c r="CQ127" s="40"/>
      <c r="CR127" s="40"/>
      <c r="CS127" s="40"/>
      <c r="CT127" s="40"/>
      <c r="CU127" s="40"/>
      <c r="CV127" s="40"/>
      <c r="CW127" s="40"/>
      <c r="CX127" s="19"/>
      <c r="CY127" s="19"/>
      <c r="CZ127" s="19"/>
      <c r="DA127" s="19"/>
      <c r="DB127" s="19"/>
      <c r="DC127" s="19"/>
      <c r="DD127" s="19"/>
      <c r="DE127" s="19"/>
      <c r="DF127" s="19"/>
      <c r="DG127" s="19"/>
      <c r="DH127" s="19"/>
      <c r="DI127" s="19"/>
      <c r="DJ127" s="19"/>
      <c r="DK127" s="19"/>
      <c r="DL127" s="19"/>
      <c r="DM127" s="19"/>
      <c r="DN127" s="19"/>
      <c r="DO127" s="19"/>
      <c r="DP127" s="19"/>
      <c r="DQ127" s="19"/>
      <c r="DR127" s="19"/>
      <c r="DS127" s="19"/>
      <c r="DT127" s="19"/>
      <c r="DU127" s="19"/>
      <c r="DV127" s="19"/>
      <c r="DW127" s="19"/>
      <c r="DX127" s="19"/>
      <c r="DY127" s="19"/>
      <c r="DZ127" s="19"/>
      <c r="EA127" s="19"/>
    </row>
    <row r="128" spans="1:131">
      <c r="A128" s="19"/>
      <c r="B128" s="19" t="s">
        <v>128</v>
      </c>
      <c r="C128" s="40">
        <v>13.391118984663345</v>
      </c>
      <c r="D128" s="40">
        <v>35</v>
      </c>
      <c r="E128" s="40">
        <v>7</v>
      </c>
      <c r="F128" s="40">
        <v>42</v>
      </c>
      <c r="G128" s="40">
        <v>36.417075484407398</v>
      </c>
      <c r="H128" s="40">
        <v>15.173278227236157</v>
      </c>
      <c r="I128" s="40">
        <v>27474.925763961433</v>
      </c>
      <c r="J128" s="40">
        <v>94.935361568953368</v>
      </c>
      <c r="K128" s="40">
        <v>156.78415467680966</v>
      </c>
      <c r="L128" s="368">
        <v>0.41665284829730104</v>
      </c>
      <c r="M128" s="40">
        <v>0.12721720448538201</v>
      </c>
      <c r="N128" s="71">
        <v>1.9525456797272682</v>
      </c>
      <c r="O128" s="71">
        <v>1.3989372703042979</v>
      </c>
      <c r="P128" s="71">
        <v>1.0133629228917955</v>
      </c>
      <c r="Q128" s="71">
        <v>0.98971899852120915</v>
      </c>
      <c r="R128" s="71">
        <v>0.34708895891058217</v>
      </c>
      <c r="S128" s="71">
        <v>0.17739063072298386</v>
      </c>
      <c r="T128" s="71">
        <v>7.7196198774961033E-2</v>
      </c>
      <c r="U128" s="71">
        <v>8.014004418500878E-2</v>
      </c>
      <c r="V128" s="71">
        <v>0.1709484208892913</v>
      </c>
      <c r="W128" s="71">
        <v>0.69474962230439341</v>
      </c>
      <c r="X128" s="71">
        <v>1.1173259945165073</v>
      </c>
      <c r="Y128" s="71">
        <v>2.5738088455409924</v>
      </c>
      <c r="Z128" s="71"/>
      <c r="AA128" s="71">
        <v>0.56710099424788196</v>
      </c>
      <c r="AB128" s="71">
        <v>0.37893412969402024</v>
      </c>
      <c r="AC128" s="71">
        <v>0.21899541963858002</v>
      </c>
      <c r="AD128" s="71">
        <v>0.20888331160777168</v>
      </c>
      <c r="AE128" s="71">
        <v>7.999714994777897E-2</v>
      </c>
      <c r="AF128" s="71">
        <v>3.626764001725475E-2</v>
      </c>
      <c r="AG128" s="71">
        <v>1.820608950775849E-2</v>
      </c>
      <c r="AH128" s="71">
        <v>1.4204779232702863E-2</v>
      </c>
      <c r="AI128" s="71">
        <v>4.6139723070032314E-2</v>
      </c>
      <c r="AJ128" s="71">
        <v>0.13114473629346449</v>
      </c>
      <c r="AK128" s="71">
        <v>0.3432804202057515</v>
      </c>
      <c r="AL128" s="71">
        <v>0.75475100391105776</v>
      </c>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c r="CG128" s="40"/>
      <c r="CH128" s="40"/>
      <c r="CI128" s="40"/>
      <c r="CJ128" s="40"/>
      <c r="CK128" s="40"/>
      <c r="CL128" s="40"/>
      <c r="CM128" s="40"/>
      <c r="CN128" s="40"/>
      <c r="CO128" s="40"/>
      <c r="CP128" s="40"/>
      <c r="CQ128" s="40"/>
      <c r="CR128" s="40"/>
      <c r="CS128" s="40"/>
      <c r="CT128" s="40"/>
      <c r="CU128" s="40"/>
      <c r="CV128" s="40"/>
      <c r="CW128" s="40"/>
      <c r="CX128" s="19"/>
      <c r="CY128" s="19"/>
      <c r="CZ128" s="19"/>
      <c r="DA128" s="19"/>
      <c r="DB128" s="19"/>
      <c r="DC128" s="19"/>
      <c r="DD128" s="19"/>
      <c r="DE128" s="19"/>
      <c r="DF128" s="19"/>
      <c r="DG128" s="19"/>
      <c r="DH128" s="19"/>
      <c r="DI128" s="19"/>
      <c r="DJ128" s="19"/>
      <c r="DK128" s="19"/>
      <c r="DL128" s="19"/>
      <c r="DM128" s="19"/>
      <c r="DN128" s="19"/>
      <c r="DO128" s="19"/>
      <c r="DP128" s="19"/>
      <c r="DQ128" s="19"/>
      <c r="DR128" s="19"/>
      <c r="DS128" s="19"/>
      <c r="DT128" s="19"/>
      <c r="DU128" s="19"/>
      <c r="DV128" s="19"/>
      <c r="DW128" s="19"/>
      <c r="DX128" s="19"/>
      <c r="DY128" s="19"/>
      <c r="DZ128" s="19"/>
      <c r="EA128" s="19"/>
    </row>
    <row r="129" spans="1:131">
      <c r="A129" s="19"/>
      <c r="B129" s="19" t="s">
        <v>131</v>
      </c>
      <c r="C129" s="396">
        <v>0</v>
      </c>
      <c r="D129" s="396">
        <v>0</v>
      </c>
      <c r="E129" s="396">
        <v>0</v>
      </c>
      <c r="F129" s="396">
        <v>0</v>
      </c>
      <c r="G129" s="396">
        <v>0</v>
      </c>
      <c r="H129" s="396">
        <v>0</v>
      </c>
      <c r="I129" s="396">
        <v>0</v>
      </c>
      <c r="J129" s="396">
        <v>0</v>
      </c>
      <c r="K129" s="396">
        <v>0</v>
      </c>
      <c r="L129" s="397">
        <v>0</v>
      </c>
      <c r="M129" s="396">
        <v>0</v>
      </c>
      <c r="N129" s="396">
        <v>0</v>
      </c>
      <c r="O129" s="396">
        <v>0</v>
      </c>
      <c r="P129" s="396">
        <v>0</v>
      </c>
      <c r="Q129" s="396">
        <v>0</v>
      </c>
      <c r="R129" s="396">
        <v>0</v>
      </c>
      <c r="S129" s="396">
        <v>0</v>
      </c>
      <c r="T129" s="396">
        <v>0</v>
      </c>
      <c r="U129" s="396">
        <v>0</v>
      </c>
      <c r="V129" s="396">
        <v>0</v>
      </c>
      <c r="W129" s="396">
        <v>0</v>
      </c>
      <c r="X129" s="396">
        <v>0</v>
      </c>
      <c r="Y129" s="396">
        <v>0</v>
      </c>
      <c r="Z129" s="396"/>
      <c r="AA129" s="396">
        <v>0</v>
      </c>
      <c r="AB129" s="396">
        <v>0</v>
      </c>
      <c r="AC129" s="396">
        <v>0</v>
      </c>
      <c r="AD129" s="396">
        <v>0</v>
      </c>
      <c r="AE129" s="396">
        <v>0</v>
      </c>
      <c r="AF129" s="396">
        <v>0</v>
      </c>
      <c r="AG129" s="396">
        <v>0</v>
      </c>
      <c r="AH129" s="396">
        <v>0</v>
      </c>
      <c r="AI129" s="396">
        <v>0</v>
      </c>
      <c r="AJ129" s="396">
        <v>0</v>
      </c>
      <c r="AK129" s="396">
        <v>0</v>
      </c>
      <c r="AL129" s="396">
        <v>0</v>
      </c>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c r="CW129" s="40"/>
      <c r="CX129" s="19"/>
      <c r="CY129" s="19"/>
      <c r="CZ129" s="19"/>
      <c r="DA129" s="19"/>
      <c r="DB129" s="19"/>
      <c r="DC129" s="19"/>
      <c r="DD129" s="19"/>
      <c r="DE129" s="19"/>
      <c r="DF129" s="19"/>
      <c r="DG129" s="19"/>
      <c r="DH129" s="19"/>
      <c r="DI129" s="19"/>
      <c r="DJ129" s="19"/>
      <c r="DK129" s="19"/>
      <c r="DL129" s="19"/>
      <c r="DM129" s="19"/>
      <c r="DN129" s="19"/>
      <c r="DO129" s="19"/>
      <c r="DP129" s="19"/>
      <c r="DQ129" s="19"/>
      <c r="DR129" s="19"/>
      <c r="DS129" s="19"/>
      <c r="DT129" s="19"/>
      <c r="DU129" s="19"/>
      <c r="DV129" s="19"/>
      <c r="DW129" s="19"/>
      <c r="DX129" s="19"/>
      <c r="DY129" s="19"/>
      <c r="DZ129" s="19"/>
      <c r="EA129" s="19"/>
    </row>
    <row r="130" spans="1:131">
      <c r="A130" s="19"/>
      <c r="B130" s="19" t="s">
        <v>134</v>
      </c>
      <c r="C130" s="40">
        <v>36.547819502450821</v>
      </c>
      <c r="D130" s="40">
        <v>105</v>
      </c>
      <c r="E130" s="40">
        <v>21</v>
      </c>
      <c r="F130" s="40">
        <v>126</v>
      </c>
      <c r="G130" s="40">
        <v>109.25122645322219</v>
      </c>
      <c r="H130" s="40">
        <v>42.775025069959128</v>
      </c>
      <c r="I130" s="40">
        <v>30200.433706475542</v>
      </c>
      <c r="J130" s="40">
        <v>120.03613743542884</v>
      </c>
      <c r="K130" s="40">
        <v>173.18361320144408</v>
      </c>
      <c r="L130" s="368">
        <v>0.39134301055212001</v>
      </c>
      <c r="M130" s="40">
        <v>0.47780988378975919</v>
      </c>
      <c r="N130" s="71">
        <v>4.2464843328593789</v>
      </c>
      <c r="O130" s="71">
        <v>3.1764083027956294</v>
      </c>
      <c r="P130" s="71">
        <v>2.5578481939490141</v>
      </c>
      <c r="Q130" s="71">
        <v>2.4710515312695418</v>
      </c>
      <c r="R130" s="71">
        <v>1.3232288336875704</v>
      </c>
      <c r="S130" s="71">
        <v>1.0353812053007232</v>
      </c>
      <c r="T130" s="71">
        <v>0.84135710766787608</v>
      </c>
      <c r="U130" s="71">
        <v>0.91463878586401526</v>
      </c>
      <c r="V130" s="71">
        <v>0.98528086072355137</v>
      </c>
      <c r="W130" s="71">
        <v>1.9965478631768037</v>
      </c>
      <c r="X130" s="71">
        <v>2.667086346849004</v>
      </c>
      <c r="Y130" s="71">
        <v>5.3746457123198015</v>
      </c>
      <c r="Z130" s="71"/>
      <c r="AA130" s="71">
        <v>1.3883625418864152</v>
      </c>
      <c r="AB130" s="71">
        <v>0.99420229698954965</v>
      </c>
      <c r="AC130" s="71">
        <v>0.69339000965801012</v>
      </c>
      <c r="AD130" s="71">
        <v>0.68787750776183576</v>
      </c>
      <c r="AE130" s="71">
        <v>0.45781362404952353</v>
      </c>
      <c r="AF130" s="71">
        <v>0.36445053480824896</v>
      </c>
      <c r="AG130" s="71">
        <v>0.38475321645819749</v>
      </c>
      <c r="AH130" s="71">
        <v>0.34332138147907254</v>
      </c>
      <c r="AI130" s="71">
        <v>0.43093963063771978</v>
      </c>
      <c r="AJ130" s="71">
        <v>0.53534702685449576</v>
      </c>
      <c r="AK130" s="71">
        <v>0.94808672024879725</v>
      </c>
      <c r="AL130" s="71">
        <v>1.729315935156047</v>
      </c>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40"/>
      <c r="BM130" s="40"/>
      <c r="BN130" s="40"/>
      <c r="BO130" s="40"/>
      <c r="BP130" s="40"/>
      <c r="BQ130" s="40"/>
      <c r="BR130" s="40"/>
      <c r="BS130" s="40"/>
      <c r="BT130" s="40"/>
      <c r="BU130" s="40"/>
      <c r="BV130" s="40"/>
      <c r="BW130" s="40"/>
      <c r="BX130" s="40"/>
      <c r="BY130" s="40"/>
      <c r="BZ130" s="40"/>
      <c r="CA130" s="40"/>
      <c r="CB130" s="40"/>
      <c r="CC130" s="40"/>
      <c r="CD130" s="40"/>
      <c r="CE130" s="40"/>
      <c r="CF130" s="40"/>
      <c r="CG130" s="40"/>
      <c r="CH130" s="40"/>
      <c r="CI130" s="40"/>
      <c r="CJ130" s="40"/>
      <c r="CK130" s="40"/>
      <c r="CL130" s="40"/>
      <c r="CM130" s="40"/>
      <c r="CN130" s="40"/>
      <c r="CO130" s="40"/>
      <c r="CP130" s="40"/>
      <c r="CQ130" s="40"/>
      <c r="CR130" s="40"/>
      <c r="CS130" s="40"/>
      <c r="CT130" s="40"/>
      <c r="CU130" s="40"/>
      <c r="CV130" s="40"/>
      <c r="CW130" s="40"/>
      <c r="CX130" s="19"/>
      <c r="CY130" s="19"/>
      <c r="CZ130" s="19"/>
      <c r="DA130" s="19"/>
      <c r="DB130" s="19"/>
      <c r="DC130" s="19"/>
      <c r="DD130" s="19"/>
      <c r="DE130" s="19"/>
      <c r="DF130" s="19"/>
      <c r="DG130" s="19"/>
      <c r="DH130" s="19"/>
      <c r="DI130" s="19"/>
      <c r="DJ130" s="19"/>
      <c r="DK130" s="19"/>
      <c r="DL130" s="19"/>
      <c r="DM130" s="19"/>
      <c r="DN130" s="19"/>
      <c r="DO130" s="19"/>
      <c r="DP130" s="19"/>
      <c r="DQ130" s="19"/>
      <c r="DR130" s="19"/>
      <c r="DS130" s="19"/>
      <c r="DT130" s="19"/>
      <c r="DU130" s="19"/>
      <c r="DV130" s="19"/>
      <c r="DW130" s="19"/>
      <c r="DX130" s="19"/>
      <c r="DY130" s="19"/>
      <c r="DZ130" s="19"/>
      <c r="EA130" s="19"/>
    </row>
    <row r="131" spans="1:131">
      <c r="A131" s="19"/>
      <c r="B131" s="19" t="s">
        <v>137</v>
      </c>
      <c r="C131" s="40">
        <v>11.039026820345102</v>
      </c>
      <c r="D131" s="40">
        <v>35</v>
      </c>
      <c r="E131" s="40">
        <v>7</v>
      </c>
      <c r="F131" s="40">
        <v>42</v>
      </c>
      <c r="G131" s="40">
        <v>36.417075484407398</v>
      </c>
      <c r="H131" s="40">
        <v>14.024822947515737</v>
      </c>
      <c r="I131" s="40">
        <v>33329.024921102427</v>
      </c>
      <c r="J131" s="40">
        <v>159.41379448970756</v>
      </c>
      <c r="K131" s="40">
        <v>187.13864834189428</v>
      </c>
      <c r="L131" s="368">
        <v>0.38511667290583806</v>
      </c>
      <c r="M131" s="40">
        <v>0.23063704077169445</v>
      </c>
      <c r="N131" s="71">
        <v>0.60391237913064733</v>
      </c>
      <c r="O131" s="71">
        <v>0.55711348803312433</v>
      </c>
      <c r="P131" s="71">
        <v>0.64224523974695347</v>
      </c>
      <c r="Q131" s="71">
        <v>0.60206849163104537</v>
      </c>
      <c r="R131" s="71">
        <v>0.63537311971904042</v>
      </c>
      <c r="S131" s="71">
        <v>0.65834105339059579</v>
      </c>
      <c r="T131" s="71">
        <v>0.6495394054101421</v>
      </c>
      <c r="U131" s="71">
        <v>0.71258194196404234</v>
      </c>
      <c r="V131" s="71">
        <v>0.62282069600938794</v>
      </c>
      <c r="W131" s="71">
        <v>0.66599029863805148</v>
      </c>
      <c r="X131" s="71">
        <v>0.56583045169703405</v>
      </c>
      <c r="Y131" s="71">
        <v>0.58890448959209274</v>
      </c>
      <c r="Z131" s="71"/>
      <c r="AA131" s="71">
        <v>0.31940449946418881</v>
      </c>
      <c r="AB131" s="71">
        <v>0.27520902825705579</v>
      </c>
      <c r="AC131" s="71">
        <v>0.26943215584919783</v>
      </c>
      <c r="AD131" s="71">
        <v>0.28161452579995244</v>
      </c>
      <c r="AE131" s="71">
        <v>0.28842783775350106</v>
      </c>
      <c r="AF131" s="71">
        <v>0.27652070533522133</v>
      </c>
      <c r="AG131" s="71">
        <v>0.32628871865021597</v>
      </c>
      <c r="AH131" s="71">
        <v>0.29464475430302245</v>
      </c>
      <c r="AI131" s="71">
        <v>0.32139738972147369</v>
      </c>
      <c r="AJ131" s="71">
        <v>0.27293528954539442</v>
      </c>
      <c r="AK131" s="71">
        <v>0.29337656339878287</v>
      </c>
      <c r="AL131" s="71">
        <v>0.31505429730493789</v>
      </c>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40"/>
      <c r="BM131" s="40"/>
      <c r="BN131" s="40"/>
      <c r="BO131" s="40"/>
      <c r="BP131" s="40"/>
      <c r="BQ131" s="40"/>
      <c r="BR131" s="40"/>
      <c r="BS131" s="40"/>
      <c r="BT131" s="40"/>
      <c r="BU131" s="40"/>
      <c r="BV131" s="40"/>
      <c r="BW131" s="40"/>
      <c r="BX131" s="40"/>
      <c r="BY131" s="40"/>
      <c r="BZ131" s="40"/>
      <c r="CA131" s="40"/>
      <c r="CB131" s="40"/>
      <c r="CC131" s="40"/>
      <c r="CD131" s="40"/>
      <c r="CE131" s="40"/>
      <c r="CF131" s="40"/>
      <c r="CG131" s="40"/>
      <c r="CH131" s="40"/>
      <c r="CI131" s="40"/>
      <c r="CJ131" s="40"/>
      <c r="CK131" s="40"/>
      <c r="CL131" s="40"/>
      <c r="CM131" s="40"/>
      <c r="CN131" s="40"/>
      <c r="CO131" s="40"/>
      <c r="CP131" s="40"/>
      <c r="CQ131" s="40"/>
      <c r="CR131" s="40"/>
      <c r="CS131" s="40"/>
      <c r="CT131" s="40"/>
      <c r="CU131" s="40"/>
      <c r="CV131" s="40"/>
      <c r="CW131" s="40"/>
      <c r="CX131" s="19"/>
      <c r="CY131" s="19"/>
      <c r="CZ131" s="19"/>
      <c r="DA131" s="19"/>
      <c r="DB131" s="19"/>
      <c r="DC131" s="19"/>
      <c r="DD131" s="19"/>
      <c r="DE131" s="19"/>
      <c r="DF131" s="19"/>
      <c r="DG131" s="19"/>
      <c r="DH131" s="19"/>
      <c r="DI131" s="19"/>
      <c r="DJ131" s="19"/>
      <c r="DK131" s="19"/>
      <c r="DL131" s="19"/>
      <c r="DM131" s="19"/>
      <c r="DN131" s="19"/>
      <c r="DO131" s="19"/>
      <c r="DP131" s="19"/>
      <c r="DQ131" s="19"/>
      <c r="DR131" s="19"/>
      <c r="DS131" s="19"/>
      <c r="DT131" s="19"/>
      <c r="DU131" s="19"/>
      <c r="DV131" s="19"/>
      <c r="DW131" s="19"/>
      <c r="DX131" s="19"/>
      <c r="DY131" s="19"/>
      <c r="DZ131" s="19"/>
      <c r="EA131" s="19"/>
    </row>
    <row r="132" spans="1:131">
      <c r="A132" s="19"/>
      <c r="B132" s="19" t="s">
        <v>140</v>
      </c>
      <c r="C132" s="40">
        <v>9.0552278256801593</v>
      </c>
      <c r="D132" s="40">
        <v>35</v>
      </c>
      <c r="E132" s="40">
        <v>7</v>
      </c>
      <c r="F132" s="40">
        <v>42</v>
      </c>
      <c r="G132" s="40">
        <v>36.417075484407398</v>
      </c>
      <c r="H132" s="40">
        <v>16.689411927335438</v>
      </c>
      <c r="I132" s="40">
        <v>40630.67291985717</v>
      </c>
      <c r="J132" s="40">
        <v>196.15636531747714</v>
      </c>
      <c r="K132" s="40">
        <v>198.18557111957824</v>
      </c>
      <c r="L132" s="368">
        <v>0.45828534294252427</v>
      </c>
      <c r="M132" s="40">
        <v>0.28107907882194089</v>
      </c>
      <c r="N132" s="71">
        <v>0.49538462663193211</v>
      </c>
      <c r="O132" s="71">
        <v>0.45699586032363376</v>
      </c>
      <c r="P132" s="71">
        <v>0.52682877399562544</v>
      </c>
      <c r="Q132" s="71">
        <v>0.4938721000600203</v>
      </c>
      <c r="R132" s="71">
        <v>0.52119162739648106</v>
      </c>
      <c r="S132" s="71">
        <v>0.5400320447145851</v>
      </c>
      <c r="T132" s="71">
        <v>0.53281212134619937</v>
      </c>
      <c r="U132" s="71">
        <v>0.58452542365942728</v>
      </c>
      <c r="V132" s="71">
        <v>0.51089497187555366</v>
      </c>
      <c r="W132" s="71">
        <v>0.5463066610858901</v>
      </c>
      <c r="X132" s="71">
        <v>0.46414631780593663</v>
      </c>
      <c r="Y132" s="71">
        <v>0.483073771593172</v>
      </c>
      <c r="Z132" s="71"/>
      <c r="AA132" s="71">
        <v>0.26200502619171528</v>
      </c>
      <c r="AB132" s="71">
        <v>0.22575182496692053</v>
      </c>
      <c r="AC132" s="71">
        <v>0.2210131014703321</v>
      </c>
      <c r="AD132" s="71">
        <v>0.23100620477156622</v>
      </c>
      <c r="AE132" s="71">
        <v>0.23659511156479057</v>
      </c>
      <c r="AF132" s="71">
        <v>0.22682778347031149</v>
      </c>
      <c r="AG132" s="71">
        <v>0.26765209763613862</v>
      </c>
      <c r="AH132" s="71">
        <v>0.24169479984758416</v>
      </c>
      <c r="AI132" s="71">
        <v>0.26363977856662879</v>
      </c>
      <c r="AJ132" s="71">
        <v>0.22388669478966466</v>
      </c>
      <c r="AK132" s="71">
        <v>0.24065451271437602</v>
      </c>
      <c r="AL132" s="71">
        <v>0.25843658920167351</v>
      </c>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c r="CG132" s="40"/>
      <c r="CH132" s="40"/>
      <c r="CI132" s="40"/>
      <c r="CJ132" s="40"/>
      <c r="CK132" s="40"/>
      <c r="CL132" s="40"/>
      <c r="CM132" s="40"/>
      <c r="CN132" s="40"/>
      <c r="CO132" s="40"/>
      <c r="CP132" s="40"/>
      <c r="CQ132" s="40"/>
      <c r="CR132" s="40"/>
      <c r="CS132" s="40"/>
      <c r="CT132" s="40"/>
      <c r="CU132" s="40"/>
      <c r="CV132" s="40"/>
      <c r="CW132" s="40"/>
      <c r="CX132" s="19"/>
      <c r="CY132" s="19"/>
      <c r="CZ132" s="19"/>
      <c r="DA132" s="19"/>
      <c r="DB132" s="19"/>
      <c r="DC132" s="19"/>
      <c r="DD132" s="19"/>
      <c r="DE132" s="19"/>
      <c r="DF132" s="19"/>
      <c r="DG132" s="19"/>
      <c r="DH132" s="19"/>
      <c r="DI132" s="19"/>
      <c r="DJ132" s="19"/>
      <c r="DK132" s="19"/>
      <c r="DL132" s="19"/>
      <c r="DM132" s="19"/>
      <c r="DN132" s="19"/>
      <c r="DO132" s="19"/>
      <c r="DP132" s="19"/>
      <c r="DQ132" s="19"/>
      <c r="DR132" s="19"/>
      <c r="DS132" s="19"/>
      <c r="DT132" s="19"/>
      <c r="DU132" s="19"/>
      <c r="DV132" s="19"/>
      <c r="DW132" s="19"/>
      <c r="DX132" s="19"/>
      <c r="DY132" s="19"/>
      <c r="DZ132" s="19"/>
      <c r="EA132" s="19"/>
    </row>
    <row r="133" spans="1:131">
      <c r="A133" s="19"/>
      <c r="B133" s="19" t="s">
        <v>708</v>
      </c>
      <c r="C133" s="40">
        <v>59.460113663738227</v>
      </c>
      <c r="D133" s="40">
        <v>245</v>
      </c>
      <c r="E133" s="40">
        <v>49</v>
      </c>
      <c r="F133" s="40">
        <v>294</v>
      </c>
      <c r="G133" s="40">
        <v>254.91952839085181</v>
      </c>
      <c r="H133" s="40">
        <v>68.310338621803993</v>
      </c>
      <c r="I133" s="40">
        <v>43313.741621227899</v>
      </c>
      <c r="J133" s="40">
        <v>204.29409240767748</v>
      </c>
      <c r="K133" s="40">
        <v>269.37972991447515</v>
      </c>
      <c r="L133" s="368">
        <v>0.26928537502080219</v>
      </c>
      <c r="M133" s="40">
        <v>1.0291378977490824</v>
      </c>
      <c r="N133" s="71">
        <v>3.4227649028247464</v>
      </c>
      <c r="O133" s="71">
        <v>2.9845742012074048</v>
      </c>
      <c r="P133" s="71">
        <v>3.225868093073978</v>
      </c>
      <c r="Q133" s="71">
        <v>3.2575013121596621</v>
      </c>
      <c r="R133" s="71">
        <v>3.424668005126545</v>
      </c>
      <c r="S133" s="71">
        <v>4.0160000896004195</v>
      </c>
      <c r="T133" s="71">
        <v>4.3115534000113032</v>
      </c>
      <c r="U133" s="71">
        <v>4.8688014718201353</v>
      </c>
      <c r="V133" s="71">
        <v>4.0307081590734404</v>
      </c>
      <c r="W133" s="71">
        <v>3.8433975063839716</v>
      </c>
      <c r="X133" s="71">
        <v>3.0539493279599363</v>
      </c>
      <c r="Y133" s="71">
        <v>3.8525631368613067</v>
      </c>
      <c r="Z133" s="71"/>
      <c r="AA133" s="71">
        <v>1.3237529529562995</v>
      </c>
      <c r="AB133" s="71">
        <v>1.0889074106259502</v>
      </c>
      <c r="AC133" s="71">
        <v>0.98673183920012053</v>
      </c>
      <c r="AD133" s="71">
        <v>1.0933987457963599</v>
      </c>
      <c r="AE133" s="71">
        <v>1.1511915586689134</v>
      </c>
      <c r="AF133" s="71">
        <v>1.190676406225109</v>
      </c>
      <c r="AG133" s="71">
        <v>1.5920531286797537</v>
      </c>
      <c r="AH133" s="71">
        <v>1.4315931477142492</v>
      </c>
      <c r="AI133" s="71">
        <v>1.5471534567631831</v>
      </c>
      <c r="AJ133" s="71">
        <v>1.1207075623908802</v>
      </c>
      <c r="AK133" s="71">
        <v>1.1901184438527144</v>
      </c>
      <c r="AL133" s="71">
        <v>1.4514794047618322</v>
      </c>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40"/>
      <c r="BM133" s="40"/>
      <c r="BN133" s="40"/>
      <c r="BO133" s="40"/>
      <c r="BP133" s="40"/>
      <c r="BQ133" s="40"/>
      <c r="BR133" s="40"/>
      <c r="BS133" s="40"/>
      <c r="BT133" s="40"/>
      <c r="BU133" s="40"/>
      <c r="BV133" s="40"/>
      <c r="BW133" s="40"/>
      <c r="BX133" s="40"/>
      <c r="BY133" s="40"/>
      <c r="BZ133" s="40"/>
      <c r="CA133" s="40"/>
      <c r="CB133" s="40"/>
      <c r="CC133" s="40"/>
      <c r="CD133" s="40"/>
      <c r="CE133" s="40"/>
      <c r="CF133" s="40"/>
      <c r="CG133" s="40"/>
      <c r="CH133" s="40"/>
      <c r="CI133" s="40"/>
      <c r="CJ133" s="40"/>
      <c r="CK133" s="40"/>
      <c r="CL133" s="40"/>
      <c r="CM133" s="40"/>
      <c r="CN133" s="40"/>
      <c r="CO133" s="40"/>
      <c r="CP133" s="40"/>
      <c r="CQ133" s="40"/>
      <c r="CR133" s="40"/>
      <c r="CS133" s="40"/>
      <c r="CT133" s="40"/>
      <c r="CU133" s="40"/>
      <c r="CV133" s="40"/>
      <c r="CW133" s="40"/>
      <c r="CX133" s="19"/>
      <c r="CY133" s="19"/>
      <c r="CZ133" s="19"/>
      <c r="DA133" s="19"/>
      <c r="DB133" s="19"/>
      <c r="DC133" s="19"/>
      <c r="DD133" s="19"/>
      <c r="DE133" s="19"/>
      <c r="DF133" s="19"/>
      <c r="DG133" s="19"/>
      <c r="DH133" s="19"/>
      <c r="DI133" s="19"/>
      <c r="DJ133" s="19"/>
      <c r="DK133" s="19"/>
      <c r="DL133" s="19"/>
      <c r="DM133" s="19"/>
      <c r="DN133" s="19"/>
      <c r="DO133" s="19"/>
      <c r="DP133" s="19"/>
      <c r="DQ133" s="19"/>
      <c r="DR133" s="19"/>
      <c r="DS133" s="19"/>
      <c r="DT133" s="19"/>
      <c r="DU133" s="19"/>
      <c r="DV133" s="19"/>
      <c r="DW133" s="19"/>
      <c r="DX133" s="19"/>
      <c r="DY133" s="19"/>
      <c r="DZ133" s="19"/>
      <c r="EA133" s="19"/>
    </row>
    <row r="134" spans="1:131">
      <c r="A134" s="19"/>
      <c r="B134" s="19"/>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40"/>
      <c r="BT134" s="40"/>
      <c r="BU134" s="40"/>
      <c r="BV134" s="40"/>
      <c r="BW134" s="40"/>
      <c r="BX134" s="40"/>
      <c r="BY134" s="40"/>
      <c r="BZ134" s="40"/>
      <c r="CA134" s="40"/>
      <c r="CB134" s="40"/>
      <c r="CC134" s="40"/>
      <c r="CD134" s="40"/>
      <c r="CE134" s="40"/>
      <c r="CF134" s="40"/>
      <c r="CG134" s="40"/>
      <c r="CH134" s="40"/>
      <c r="CI134" s="40"/>
      <c r="CJ134" s="40"/>
      <c r="CK134" s="40"/>
      <c r="CL134" s="40"/>
      <c r="CM134" s="40"/>
      <c r="CN134" s="40"/>
      <c r="CO134" s="40"/>
      <c r="CP134" s="40"/>
      <c r="CQ134" s="40"/>
      <c r="CR134" s="40"/>
      <c r="CS134" s="40"/>
      <c r="CT134" s="40"/>
      <c r="CU134" s="40"/>
      <c r="CV134" s="40"/>
      <c r="CW134" s="40"/>
      <c r="CX134" s="19"/>
      <c r="CY134" s="19"/>
      <c r="CZ134" s="19"/>
      <c r="DA134" s="19"/>
      <c r="DB134" s="19"/>
      <c r="DC134" s="19"/>
      <c r="DD134" s="19"/>
      <c r="DE134" s="19"/>
      <c r="DF134" s="19"/>
      <c r="DG134" s="19"/>
      <c r="DH134" s="19"/>
      <c r="DI134" s="19"/>
      <c r="DJ134" s="19"/>
      <c r="DK134" s="19"/>
      <c r="DL134" s="19"/>
      <c r="DM134" s="19"/>
      <c r="DN134" s="19"/>
      <c r="DO134" s="19"/>
      <c r="DP134" s="19"/>
      <c r="DQ134" s="19"/>
      <c r="DR134" s="19"/>
      <c r="DS134" s="19"/>
      <c r="DT134" s="19"/>
      <c r="DU134" s="19"/>
      <c r="DV134" s="19"/>
      <c r="DW134" s="19"/>
      <c r="DX134" s="19"/>
      <c r="DY134" s="19"/>
      <c r="DZ134" s="19"/>
      <c r="EA134" s="19"/>
    </row>
    <row r="135" spans="1:131">
      <c r="A135" s="19"/>
      <c r="B135" s="19"/>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40"/>
      <c r="CI135" s="40"/>
      <c r="CJ135" s="40"/>
      <c r="CK135" s="40"/>
      <c r="CL135" s="40"/>
      <c r="CM135" s="40"/>
      <c r="CN135" s="40"/>
      <c r="CO135" s="40"/>
      <c r="CP135" s="40"/>
      <c r="CQ135" s="40"/>
      <c r="CR135" s="40"/>
      <c r="CS135" s="40"/>
      <c r="CT135" s="40"/>
      <c r="CU135" s="40"/>
      <c r="CV135" s="40"/>
      <c r="CW135" s="40"/>
      <c r="CX135" s="19"/>
      <c r="CY135" s="19"/>
      <c r="CZ135" s="19"/>
      <c r="DA135" s="19"/>
      <c r="DB135" s="19"/>
      <c r="DC135" s="19"/>
      <c r="DD135" s="19"/>
      <c r="DE135" s="19"/>
      <c r="DF135" s="19"/>
      <c r="DG135" s="19"/>
      <c r="DH135" s="19"/>
      <c r="DI135" s="19"/>
      <c r="DJ135" s="19"/>
      <c r="DK135" s="19"/>
      <c r="DL135" s="19"/>
      <c r="DM135" s="19"/>
      <c r="DN135" s="19"/>
      <c r="DO135" s="19"/>
      <c r="DP135" s="19"/>
      <c r="DQ135" s="19"/>
      <c r="DR135" s="19"/>
      <c r="DS135" s="19"/>
      <c r="DT135" s="19"/>
      <c r="DU135" s="19"/>
      <c r="DV135" s="19"/>
      <c r="DW135" s="19"/>
      <c r="DX135" s="19"/>
      <c r="DY135" s="19"/>
      <c r="DZ135" s="19"/>
      <c r="EA135" s="19"/>
    </row>
    <row r="136" spans="1:131" ht="13.5" thickBot="1">
      <c r="A136" s="361" t="s">
        <v>496</v>
      </c>
      <c r="B136" s="362"/>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40"/>
      <c r="CI136" s="40"/>
      <c r="CJ136" s="40"/>
      <c r="CK136" s="40"/>
      <c r="CL136" s="40"/>
      <c r="CM136" s="40"/>
      <c r="CN136" s="40"/>
      <c r="CO136" s="40"/>
      <c r="CP136" s="40"/>
      <c r="CQ136" s="40"/>
      <c r="CR136" s="40"/>
      <c r="CS136" s="40"/>
      <c r="CT136" s="40"/>
      <c r="CU136" s="40"/>
      <c r="CV136" s="40"/>
      <c r="CW136" s="40"/>
      <c r="CX136" s="19"/>
      <c r="CY136" s="19"/>
      <c r="CZ136" s="19"/>
      <c r="DA136" s="19"/>
      <c r="DB136" s="19"/>
      <c r="DC136" s="19"/>
      <c r="DD136" s="19"/>
      <c r="DE136" s="19"/>
      <c r="DF136" s="19"/>
      <c r="DG136" s="19"/>
      <c r="DH136" s="19"/>
      <c r="DI136" s="19"/>
      <c r="DJ136" s="19"/>
      <c r="DK136" s="19"/>
      <c r="DL136" s="19"/>
      <c r="DM136" s="19"/>
      <c r="DN136" s="19"/>
      <c r="DO136" s="19"/>
      <c r="DP136" s="19"/>
      <c r="DQ136" s="19"/>
      <c r="DR136" s="19"/>
      <c r="DS136" s="19"/>
      <c r="DT136" s="19"/>
      <c r="DU136" s="19"/>
      <c r="DV136" s="19"/>
      <c r="DW136" s="19"/>
      <c r="DX136" s="19"/>
      <c r="DY136" s="19"/>
      <c r="DZ136" s="19"/>
      <c r="EA136" s="19"/>
    </row>
    <row r="137" spans="1:131" ht="13.5" thickBot="1">
      <c r="A137" s="363"/>
      <c r="B137" s="364"/>
      <c r="C137" s="96"/>
      <c r="D137" s="96"/>
      <c r="E137" s="96"/>
      <c r="F137" s="96"/>
      <c r="G137" s="96"/>
      <c r="H137" s="96"/>
      <c r="I137" s="96"/>
      <c r="J137" s="96"/>
      <c r="K137" s="96"/>
      <c r="L137" s="96"/>
      <c r="M137" s="96"/>
      <c r="N137" s="96"/>
      <c r="O137" s="93" t="s">
        <v>203</v>
      </c>
      <c r="P137" s="94"/>
      <c r="Q137" s="94"/>
      <c r="R137" s="94"/>
      <c r="S137" s="94"/>
      <c r="T137" s="94"/>
      <c r="U137" s="94"/>
      <c r="V137" s="94"/>
      <c r="W137" s="94"/>
      <c r="X137" s="94"/>
      <c r="Y137" s="94"/>
      <c r="Z137" s="95"/>
      <c r="AA137" s="96"/>
      <c r="AB137" s="93" t="s">
        <v>204</v>
      </c>
      <c r="AC137" s="94"/>
      <c r="AD137" s="94"/>
      <c r="AE137" s="94"/>
      <c r="AF137" s="94"/>
      <c r="AG137" s="94"/>
      <c r="AH137" s="94"/>
      <c r="AI137" s="94"/>
      <c r="AJ137" s="94"/>
      <c r="AK137" s="94"/>
      <c r="AL137" s="94"/>
      <c r="AM137" s="95"/>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19"/>
      <c r="CY137" s="19"/>
      <c r="CZ137" s="19"/>
      <c r="DA137" s="19"/>
      <c r="DB137" s="19"/>
      <c r="DC137" s="19"/>
      <c r="DD137" s="19"/>
      <c r="DE137" s="19"/>
      <c r="DF137" s="19"/>
      <c r="DG137" s="19"/>
      <c r="DH137" s="19"/>
      <c r="DI137" s="19"/>
      <c r="DJ137" s="19"/>
      <c r="DK137" s="19"/>
      <c r="DL137" s="19"/>
      <c r="DM137" s="19"/>
      <c r="DN137" s="19"/>
      <c r="DO137" s="19"/>
      <c r="DP137" s="19"/>
      <c r="DQ137" s="19"/>
      <c r="DR137" s="19"/>
      <c r="DS137" s="19"/>
      <c r="DT137" s="19"/>
      <c r="DU137" s="19"/>
      <c r="DV137" s="19"/>
      <c r="DW137" s="19"/>
      <c r="DX137" s="19"/>
      <c r="DY137" s="19"/>
      <c r="DZ137" s="19"/>
      <c r="EA137" s="19"/>
    </row>
    <row r="138" spans="1:131" ht="102">
      <c r="A138" s="365" t="s">
        <v>486</v>
      </c>
      <c r="B138" s="366" t="s">
        <v>497</v>
      </c>
      <c r="C138" s="98" t="s">
        <v>75</v>
      </c>
      <c r="D138" s="98" t="s">
        <v>498</v>
      </c>
      <c r="E138" s="98" t="s">
        <v>499</v>
      </c>
      <c r="F138" s="98" t="s">
        <v>500</v>
      </c>
      <c r="G138" s="98" t="s">
        <v>501</v>
      </c>
      <c r="H138" s="98" t="s">
        <v>502</v>
      </c>
      <c r="I138" s="98" t="s">
        <v>503</v>
      </c>
      <c r="J138" s="98" t="s">
        <v>504</v>
      </c>
      <c r="K138" s="98" t="s">
        <v>74</v>
      </c>
      <c r="L138" s="98" t="s">
        <v>505</v>
      </c>
      <c r="M138" s="98" t="s">
        <v>506</v>
      </c>
      <c r="N138" s="98" t="s">
        <v>205</v>
      </c>
      <c r="O138" s="98" t="s">
        <v>206</v>
      </c>
      <c r="P138" s="98" t="s">
        <v>207</v>
      </c>
      <c r="Q138" s="98" t="s">
        <v>208</v>
      </c>
      <c r="R138" s="98" t="s">
        <v>209</v>
      </c>
      <c r="S138" s="98" t="s">
        <v>210</v>
      </c>
      <c r="T138" s="98" t="s">
        <v>211</v>
      </c>
      <c r="U138" s="98" t="s">
        <v>212</v>
      </c>
      <c r="V138" s="98" t="s">
        <v>213</v>
      </c>
      <c r="W138" s="98" t="s">
        <v>214</v>
      </c>
      <c r="X138" s="98" t="s">
        <v>215</v>
      </c>
      <c r="Y138" s="98" t="s">
        <v>216</v>
      </c>
      <c r="Z138" s="98" t="s">
        <v>217</v>
      </c>
      <c r="AA138" s="98"/>
      <c r="AB138" s="98" t="s">
        <v>206</v>
      </c>
      <c r="AC138" s="98" t="s">
        <v>207</v>
      </c>
      <c r="AD138" s="98" t="s">
        <v>208</v>
      </c>
      <c r="AE138" s="98" t="s">
        <v>209</v>
      </c>
      <c r="AF138" s="98" t="s">
        <v>210</v>
      </c>
      <c r="AG138" s="98" t="s">
        <v>211</v>
      </c>
      <c r="AH138" s="98" t="s">
        <v>212</v>
      </c>
      <c r="AI138" s="98" t="s">
        <v>213</v>
      </c>
      <c r="AJ138" s="98" t="s">
        <v>214</v>
      </c>
      <c r="AK138" s="98" t="s">
        <v>215</v>
      </c>
      <c r="AL138" s="98" t="s">
        <v>216</v>
      </c>
      <c r="AM138" s="98" t="s">
        <v>217</v>
      </c>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40"/>
      <c r="CI138" s="40"/>
      <c r="CJ138" s="40"/>
      <c r="CK138" s="40"/>
      <c r="CL138" s="40"/>
      <c r="CM138" s="40"/>
      <c r="CN138" s="40"/>
      <c r="CO138" s="40"/>
      <c r="CP138" s="40"/>
      <c r="CQ138" s="40"/>
      <c r="CR138" s="40"/>
      <c r="CS138" s="40"/>
      <c r="CT138" s="40"/>
      <c r="CU138" s="40"/>
      <c r="CV138" s="40"/>
      <c r="CW138" s="40"/>
      <c r="CX138" s="19"/>
      <c r="CY138" s="19"/>
      <c r="CZ138" s="19"/>
      <c r="DA138" s="19"/>
      <c r="DB138" s="19"/>
      <c r="DC138" s="19"/>
      <c r="DD138" s="19"/>
      <c r="DE138" s="19"/>
      <c r="DF138" s="19"/>
      <c r="DG138" s="19"/>
      <c r="DH138" s="19"/>
      <c r="DI138" s="19"/>
      <c r="DJ138" s="19"/>
      <c r="DK138" s="19"/>
      <c r="DL138" s="19"/>
      <c r="DM138" s="19"/>
      <c r="DN138" s="19"/>
      <c r="DO138" s="19"/>
      <c r="DP138" s="19"/>
      <c r="DQ138" s="19"/>
      <c r="DR138" s="19"/>
      <c r="DS138" s="19"/>
      <c r="DT138" s="19"/>
      <c r="DU138" s="19"/>
      <c r="DV138" s="19"/>
      <c r="DW138" s="19"/>
      <c r="DX138" s="19"/>
      <c r="DY138" s="19"/>
      <c r="DZ138" s="19"/>
      <c r="EA138" s="19"/>
    </row>
    <row r="139" spans="1:131">
      <c r="A139" s="19" t="s">
        <v>507</v>
      </c>
      <c r="B139" s="19"/>
      <c r="C139" s="71">
        <v>50.574823356190421</v>
      </c>
      <c r="D139" s="71">
        <v>35</v>
      </c>
      <c r="E139" s="71">
        <v>7</v>
      </c>
      <c r="F139" s="71">
        <v>42</v>
      </c>
      <c r="G139" s="71">
        <v>36.417075484407398</v>
      </c>
      <c r="H139" s="71">
        <v>57.305581927520322</v>
      </c>
      <c r="I139" s="71">
        <v>7274.7658930768393</v>
      </c>
      <c r="J139" s="71">
        <v>-6.7137188735474123</v>
      </c>
      <c r="K139" s="71">
        <v>9.6625033770391422</v>
      </c>
      <c r="L139" s="367">
        <v>1.5735909917328947</v>
      </c>
      <c r="M139" s="71">
        <v>0.48046676697334345</v>
      </c>
      <c r="N139" s="71">
        <v>3.8589243332838072E-2</v>
      </c>
      <c r="O139" s="71">
        <v>7.3742644629023077</v>
      </c>
      <c r="P139" s="71">
        <v>5.283427427764714</v>
      </c>
      <c r="Q139" s="71">
        <v>3.8272119663533721</v>
      </c>
      <c r="R139" s="71">
        <v>3.7379149255415443</v>
      </c>
      <c r="S139" s="71">
        <v>1.310866015445836</v>
      </c>
      <c r="T139" s="71">
        <v>0.66995893503246762</v>
      </c>
      <c r="U139" s="71">
        <v>0.29155025216969721</v>
      </c>
      <c r="V139" s="71">
        <v>0.30266840157689845</v>
      </c>
      <c r="W139" s="71">
        <v>0.64562836006441127</v>
      </c>
      <c r="X139" s="71">
        <v>2.6238912121583287</v>
      </c>
      <c r="Y139" s="71">
        <v>4.21985383511793</v>
      </c>
      <c r="Z139" s="71">
        <v>9.7206161684410262</v>
      </c>
      <c r="AA139" s="71"/>
      <c r="AB139" s="71">
        <v>2.1417950689598504</v>
      </c>
      <c r="AC139" s="71">
        <v>1.4311370614252386</v>
      </c>
      <c r="AD139" s="71">
        <v>0.82708955664726491</v>
      </c>
      <c r="AE139" s="71">
        <v>0.7888987170316536</v>
      </c>
      <c r="AF139" s="71">
        <v>0.3021287266763325</v>
      </c>
      <c r="AG139" s="71">
        <v>0.13697357849775502</v>
      </c>
      <c r="AH139" s="71">
        <v>6.8759732619538508E-2</v>
      </c>
      <c r="AI139" s="71">
        <v>5.3647809516919935E-2</v>
      </c>
      <c r="AJ139" s="71">
        <v>0.17425790530596894</v>
      </c>
      <c r="AK139" s="71">
        <v>0.49530004772061148</v>
      </c>
      <c r="AL139" s="71">
        <v>1.2964821411435745</v>
      </c>
      <c r="AM139" s="40">
        <v>2.8505010480771831</v>
      </c>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c r="BK139" s="40"/>
      <c r="BL139" s="40"/>
      <c r="BM139" s="40"/>
      <c r="BN139" s="40"/>
      <c r="BO139" s="40"/>
      <c r="BP139" s="40"/>
      <c r="BQ139" s="40"/>
      <c r="BR139" s="40"/>
      <c r="BS139" s="40"/>
      <c r="BT139" s="40"/>
      <c r="BU139" s="40"/>
      <c r="BV139" s="40"/>
      <c r="BW139" s="40"/>
      <c r="BX139" s="40"/>
      <c r="BY139" s="40"/>
      <c r="BZ139" s="40"/>
      <c r="CA139" s="40"/>
      <c r="CB139" s="40"/>
      <c r="CC139" s="40"/>
      <c r="CD139" s="40"/>
      <c r="CE139" s="40"/>
      <c r="CF139" s="40"/>
      <c r="CG139" s="40"/>
      <c r="CH139" s="40"/>
      <c r="CI139" s="40"/>
      <c r="CJ139" s="40"/>
      <c r="CK139" s="40"/>
      <c r="CL139" s="40"/>
      <c r="CM139" s="40"/>
      <c r="CN139" s="40"/>
      <c r="CO139" s="40"/>
      <c r="CP139" s="40"/>
      <c r="CQ139" s="40"/>
      <c r="CR139" s="40"/>
      <c r="CS139" s="40"/>
      <c r="CT139" s="40"/>
      <c r="CU139" s="40"/>
      <c r="CV139" s="40"/>
      <c r="CW139" s="40"/>
      <c r="CX139" s="19"/>
      <c r="CY139" s="19"/>
      <c r="CZ139" s="19"/>
      <c r="DA139" s="19"/>
      <c r="DB139" s="19"/>
      <c r="DC139" s="19"/>
      <c r="DD139" s="19"/>
      <c r="DE139" s="19"/>
      <c r="DF139" s="19"/>
      <c r="DG139" s="19"/>
      <c r="DH139" s="19"/>
      <c r="DI139" s="19"/>
      <c r="DJ139" s="19"/>
      <c r="DK139" s="19"/>
      <c r="DL139" s="19"/>
      <c r="DM139" s="19"/>
      <c r="DN139" s="19"/>
      <c r="DO139" s="19"/>
      <c r="DP139" s="19"/>
      <c r="DQ139" s="19"/>
      <c r="DR139" s="19"/>
      <c r="DS139" s="19"/>
      <c r="DT139" s="19"/>
      <c r="DU139" s="19"/>
      <c r="DV139" s="19"/>
      <c r="DW139" s="19"/>
      <c r="DX139" s="19"/>
      <c r="DY139" s="19"/>
      <c r="DZ139" s="19"/>
      <c r="EA139" s="19"/>
    </row>
    <row r="140" spans="1:131">
      <c r="A140" s="19" t="s">
        <v>508</v>
      </c>
      <c r="B140" s="19"/>
      <c r="C140" s="71">
        <v>43.820146200538971</v>
      </c>
      <c r="D140" s="71">
        <v>35</v>
      </c>
      <c r="E140" s="71">
        <v>7</v>
      </c>
      <c r="F140" s="71">
        <v>42</v>
      </c>
      <c r="G140" s="71">
        <v>36.417075484407398</v>
      </c>
      <c r="H140" s="71">
        <v>49.402274355494612</v>
      </c>
      <c r="I140" s="71">
        <v>8396.1381214076082</v>
      </c>
      <c r="J140" s="71">
        <v>-1.0708696796717572</v>
      </c>
      <c r="K140" s="71">
        <v>18.248935052284185</v>
      </c>
      <c r="L140" s="367">
        <v>1.3541408995071786</v>
      </c>
      <c r="M140" s="71">
        <v>0.41187158513170125</v>
      </c>
      <c r="N140" s="71">
        <v>3.3435337434671621E-2</v>
      </c>
      <c r="O140" s="71">
        <v>6.389371735616062</v>
      </c>
      <c r="P140" s="71">
        <v>4.5777829157014525</v>
      </c>
      <c r="Q140" s="71">
        <v>3.3160568199103597</v>
      </c>
      <c r="R140" s="71">
        <v>3.2386861219231204</v>
      </c>
      <c r="S140" s="71">
        <v>1.1357892452060043</v>
      </c>
      <c r="T140" s="71">
        <v>0.58048049470620056</v>
      </c>
      <c r="U140" s="71">
        <v>0.25261135535565571</v>
      </c>
      <c r="V140" s="71">
        <v>0.26224458588760896</v>
      </c>
      <c r="W140" s="71">
        <v>0.55939946502598703</v>
      </c>
      <c r="X140" s="71">
        <v>2.2734492955379499</v>
      </c>
      <c r="Y140" s="71">
        <v>3.6562581879416292</v>
      </c>
      <c r="Z140" s="71">
        <v>8.4223491728374142</v>
      </c>
      <c r="AA140" s="71"/>
      <c r="AB140" s="71">
        <v>1.8557409957206756</v>
      </c>
      <c r="AC140" s="71">
        <v>1.2399971191790149</v>
      </c>
      <c r="AD140" s="71">
        <v>0.71662504954228179</v>
      </c>
      <c r="AE140" s="71">
        <v>0.68353490578258869</v>
      </c>
      <c r="AF140" s="71">
        <v>0.26177698893967682</v>
      </c>
      <c r="AG140" s="71">
        <v>0.11867964803574442</v>
      </c>
      <c r="AH140" s="71">
        <v>5.9576313591401663E-2</v>
      </c>
      <c r="AI140" s="71">
        <v>4.6482710178014884E-2</v>
      </c>
      <c r="AJ140" s="71">
        <v>0.15098435111336039</v>
      </c>
      <c r="AK140" s="71">
        <v>0.42914871598052773</v>
      </c>
      <c r="AL140" s="71">
        <v>1.1233264537807897</v>
      </c>
      <c r="AM140" s="40">
        <v>2.4697935530454536</v>
      </c>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40"/>
      <c r="BM140" s="40"/>
      <c r="BN140" s="40"/>
      <c r="BO140" s="40"/>
      <c r="BP140" s="40"/>
      <c r="BQ140" s="40"/>
      <c r="BR140" s="40"/>
      <c r="BS140" s="40"/>
      <c r="BT140" s="40"/>
      <c r="BU140" s="40"/>
      <c r="BV140" s="40"/>
      <c r="BW140" s="40"/>
      <c r="BX140" s="40"/>
      <c r="BY140" s="40"/>
      <c r="BZ140" s="40"/>
      <c r="CA140" s="40"/>
      <c r="CB140" s="40"/>
      <c r="CC140" s="40"/>
      <c r="CD140" s="40"/>
      <c r="CE140" s="40"/>
      <c r="CF140" s="40"/>
      <c r="CG140" s="40"/>
      <c r="CH140" s="40"/>
      <c r="CI140" s="40"/>
      <c r="CJ140" s="40"/>
      <c r="CK140" s="40"/>
      <c r="CL140" s="40"/>
      <c r="CM140" s="40"/>
      <c r="CN140" s="40"/>
      <c r="CO140" s="40"/>
      <c r="CP140" s="40"/>
      <c r="CQ140" s="40"/>
      <c r="CR140" s="40"/>
      <c r="CS140" s="40"/>
      <c r="CT140" s="40"/>
      <c r="CU140" s="40"/>
      <c r="CV140" s="40"/>
      <c r="CW140" s="40"/>
      <c r="CX140" s="19"/>
      <c r="CY140" s="19"/>
      <c r="CZ140" s="19"/>
      <c r="DA140" s="19"/>
      <c r="DB140" s="19"/>
      <c r="DC140" s="19"/>
      <c r="DD140" s="19"/>
      <c r="DE140" s="19"/>
      <c r="DF140" s="19"/>
      <c r="DG140" s="19"/>
      <c r="DH140" s="19"/>
      <c r="DI140" s="19"/>
      <c r="DJ140" s="19"/>
      <c r="DK140" s="19"/>
      <c r="DL140" s="19"/>
      <c r="DM140" s="19"/>
      <c r="DN140" s="19"/>
      <c r="DO140" s="19"/>
      <c r="DP140" s="19"/>
      <c r="DQ140" s="19"/>
      <c r="DR140" s="19"/>
      <c r="DS140" s="19"/>
      <c r="DT140" s="19"/>
      <c r="DU140" s="19"/>
      <c r="DV140" s="19"/>
      <c r="DW140" s="19"/>
      <c r="DX140" s="19"/>
      <c r="DY140" s="19"/>
      <c r="DZ140" s="19"/>
      <c r="EA140" s="19"/>
    </row>
    <row r="141" spans="1:131">
      <c r="A141" s="19" t="s">
        <v>509</v>
      </c>
      <c r="B141" s="19"/>
      <c r="C141" s="71">
        <v>39.952333456237696</v>
      </c>
      <c r="D141" s="71">
        <v>35</v>
      </c>
      <c r="E141" s="71">
        <v>7</v>
      </c>
      <c r="F141" s="71">
        <v>42</v>
      </c>
      <c r="G141" s="71">
        <v>36.417075484407398</v>
      </c>
      <c r="H141" s="71">
        <v>45.26939623590016</v>
      </c>
      <c r="I141" s="71">
        <v>9208.9739990532944</v>
      </c>
      <c r="J141" s="71">
        <v>3.0193959440398093</v>
      </c>
      <c r="K141" s="71">
        <v>23.749713197532319</v>
      </c>
      <c r="L141" s="367">
        <v>1.2430815938331741</v>
      </c>
      <c r="M141" s="71">
        <v>0.37955186424610377</v>
      </c>
      <c r="N141" s="71">
        <v>3.0484146362692817E-2</v>
      </c>
      <c r="O141" s="71">
        <v>5.825409823805046</v>
      </c>
      <c r="P141" s="71">
        <v>4.1737220296203157</v>
      </c>
      <c r="Q141" s="71">
        <v>3.023362980638808</v>
      </c>
      <c r="R141" s="71">
        <v>2.9528214559350401</v>
      </c>
      <c r="S141" s="71">
        <v>1.0355380936616017</v>
      </c>
      <c r="T141" s="71">
        <v>0.52924401902289175</v>
      </c>
      <c r="U141" s="71">
        <v>0.23031445531501171</v>
      </c>
      <c r="V141" s="71">
        <v>0.23909740269980781</v>
      </c>
      <c r="W141" s="71">
        <v>0.51002371967632376</v>
      </c>
      <c r="X141" s="71">
        <v>2.0727818646589475</v>
      </c>
      <c r="Y141" s="71">
        <v>3.3335362611123984</v>
      </c>
      <c r="Z141" s="71">
        <v>7.6789452298525056</v>
      </c>
      <c r="AA141" s="71"/>
      <c r="AB141" s="71">
        <v>1.6919428504446909</v>
      </c>
      <c r="AC141" s="71">
        <v>1.1305479941462355</v>
      </c>
      <c r="AD141" s="71">
        <v>0.65337168916277943</v>
      </c>
      <c r="AE141" s="71">
        <v>0.62320226773839726</v>
      </c>
      <c r="AF141" s="71">
        <v>0.23867107849035837</v>
      </c>
      <c r="AG141" s="71">
        <v>0.10820431431455761</v>
      </c>
      <c r="AH141" s="71">
        <v>5.4317772829972653E-2</v>
      </c>
      <c r="AI141" s="71">
        <v>4.2379884550884109E-2</v>
      </c>
      <c r="AJ141" s="71">
        <v>0.13765762247229688</v>
      </c>
      <c r="AK141" s="71">
        <v>0.39126963485483313</v>
      </c>
      <c r="AL141" s="71">
        <v>1.024175338354099</v>
      </c>
      <c r="AM141" s="40">
        <v>2.2517956728798953</v>
      </c>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c r="BK141" s="40"/>
      <c r="BL141" s="40"/>
      <c r="BM141" s="40"/>
      <c r="BN141" s="40"/>
      <c r="BO141" s="40"/>
      <c r="BP141" s="40"/>
      <c r="BQ141" s="40"/>
      <c r="BR141" s="40"/>
      <c r="BS141" s="40"/>
      <c r="BT141" s="40"/>
      <c r="BU141" s="40"/>
      <c r="BV141" s="40"/>
      <c r="BW141" s="40"/>
      <c r="BX141" s="40"/>
      <c r="BY141" s="40"/>
      <c r="BZ141" s="40"/>
      <c r="CA141" s="40"/>
      <c r="CB141" s="40"/>
      <c r="CC141" s="40"/>
      <c r="CD141" s="40"/>
      <c r="CE141" s="40"/>
      <c r="CF141" s="40"/>
      <c r="CG141" s="40"/>
      <c r="CH141" s="40"/>
      <c r="CI141" s="40"/>
      <c r="CJ141" s="40"/>
      <c r="CK141" s="40"/>
      <c r="CL141" s="40"/>
      <c r="CM141" s="40"/>
      <c r="CN141" s="40"/>
      <c r="CO141" s="40"/>
      <c r="CP141" s="40"/>
      <c r="CQ141" s="40"/>
      <c r="CR141" s="40"/>
      <c r="CS141" s="40"/>
      <c r="CT141" s="40"/>
      <c r="CU141" s="40"/>
      <c r="CV141" s="40"/>
      <c r="CW141" s="40"/>
      <c r="CX141" s="19"/>
      <c r="CY141" s="19"/>
      <c r="CZ141" s="19"/>
      <c r="DA141" s="19"/>
      <c r="DB141" s="19"/>
      <c r="DC141" s="19"/>
      <c r="DD141" s="19"/>
      <c r="DE141" s="19"/>
      <c r="DF141" s="19"/>
      <c r="DG141" s="19"/>
      <c r="DH141" s="19"/>
      <c r="DI141" s="19"/>
      <c r="DJ141" s="19"/>
      <c r="DK141" s="19"/>
      <c r="DL141" s="19"/>
      <c r="DM141" s="19"/>
      <c r="DN141" s="19"/>
      <c r="DO141" s="19"/>
      <c r="DP141" s="19"/>
      <c r="DQ141" s="19"/>
      <c r="DR141" s="19"/>
      <c r="DS141" s="19"/>
      <c r="DT141" s="19"/>
      <c r="DU141" s="19"/>
      <c r="DV141" s="19"/>
      <c r="DW141" s="19"/>
      <c r="DX141" s="19"/>
      <c r="DY141" s="19"/>
      <c r="DZ141" s="19"/>
      <c r="EA141" s="19"/>
    </row>
    <row r="142" spans="1:131">
      <c r="A142" s="19" t="s">
        <v>510</v>
      </c>
      <c r="B142" s="19"/>
      <c r="C142" s="71">
        <v>38.067032671821558</v>
      </c>
      <c r="D142" s="71">
        <v>35</v>
      </c>
      <c r="E142" s="71">
        <v>7</v>
      </c>
      <c r="F142" s="71">
        <v>42</v>
      </c>
      <c r="G142" s="71">
        <v>36.417075484407398</v>
      </c>
      <c r="H142" s="71">
        <v>43.133189890729525</v>
      </c>
      <c r="I142" s="71">
        <v>9665.0559336174956</v>
      </c>
      <c r="J142" s="71">
        <v>5.3144425947204867</v>
      </c>
      <c r="K142" s="71">
        <v>27.071445687273279</v>
      </c>
      <c r="L142" s="367">
        <v>1.1844221238797099</v>
      </c>
      <c r="M142" s="71">
        <v>0.36164128517633365</v>
      </c>
      <c r="N142" s="71">
        <v>2.9045637517826631E-2</v>
      </c>
      <c r="O142" s="71">
        <v>5.5505160000839577</v>
      </c>
      <c r="P142" s="71">
        <v>3.9767692928046499</v>
      </c>
      <c r="Q142" s="71">
        <v>2.8806942525351897</v>
      </c>
      <c r="R142" s="71">
        <v>2.8134814943977999</v>
      </c>
      <c r="S142" s="71">
        <v>0.98667234261826176</v>
      </c>
      <c r="T142" s="71">
        <v>0.50426965387587619</v>
      </c>
      <c r="U142" s="71">
        <v>0.21944620343321894</v>
      </c>
      <c r="V142" s="71">
        <v>0.22781469448564137</v>
      </c>
      <c r="W142" s="71">
        <v>0.48595633648255221</v>
      </c>
      <c r="X142" s="71">
        <v>1.9749698737862356</v>
      </c>
      <c r="Y142" s="71">
        <v>3.1762308427733448</v>
      </c>
      <c r="Z142" s="71">
        <v>7.3165853821808486</v>
      </c>
      <c r="AA142" s="71"/>
      <c r="AB142" s="71">
        <v>1.612102177643322</v>
      </c>
      <c r="AC142" s="71">
        <v>1.0771988444021117</v>
      </c>
      <c r="AD142" s="71">
        <v>0.62253989408269594</v>
      </c>
      <c r="AE142" s="71">
        <v>0.59379413002588821</v>
      </c>
      <c r="AF142" s="71">
        <v>0.22740848798389407</v>
      </c>
      <c r="AG142" s="71">
        <v>0.10309828768214832</v>
      </c>
      <c r="AH142" s="71">
        <v>5.1754584879104747E-2</v>
      </c>
      <c r="AI142" s="71">
        <v>4.0380030658125489E-2</v>
      </c>
      <c r="AJ142" s="71">
        <v>0.13116173096417863</v>
      </c>
      <c r="AK142" s="71">
        <v>0.3728061088052711</v>
      </c>
      <c r="AL142" s="71">
        <v>0.97584578156128576</v>
      </c>
      <c r="AM142" s="40">
        <v>2.1455362436759544</v>
      </c>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40"/>
      <c r="CI142" s="40"/>
      <c r="CJ142" s="40"/>
      <c r="CK142" s="40"/>
      <c r="CL142" s="40"/>
      <c r="CM142" s="40"/>
      <c r="CN142" s="40"/>
      <c r="CO142" s="40"/>
      <c r="CP142" s="40"/>
      <c r="CQ142" s="40"/>
      <c r="CR142" s="40"/>
      <c r="CS142" s="40"/>
      <c r="CT142" s="40"/>
      <c r="CU142" s="40"/>
      <c r="CV142" s="40"/>
      <c r="CW142" s="40"/>
      <c r="CX142" s="19"/>
      <c r="CY142" s="19"/>
      <c r="CZ142" s="19"/>
      <c r="DA142" s="19"/>
      <c r="DB142" s="19"/>
      <c r="DC142" s="19"/>
      <c r="DD142" s="19"/>
      <c r="DE142" s="19"/>
      <c r="DF142" s="19"/>
      <c r="DG142" s="19"/>
      <c r="DH142" s="19"/>
      <c r="DI142" s="19"/>
      <c r="DJ142" s="19"/>
      <c r="DK142" s="19"/>
      <c r="DL142" s="19"/>
      <c r="DM142" s="19"/>
      <c r="DN142" s="19"/>
      <c r="DO142" s="19"/>
      <c r="DP142" s="19"/>
      <c r="DQ142" s="19"/>
      <c r="DR142" s="19"/>
      <c r="DS142" s="19"/>
      <c r="DT142" s="19"/>
      <c r="DU142" s="19"/>
      <c r="DV142" s="19"/>
      <c r="DW142" s="19"/>
      <c r="DX142" s="19"/>
      <c r="DY142" s="19"/>
      <c r="DZ142" s="19"/>
      <c r="EA142" s="19"/>
    </row>
    <row r="143" spans="1:131">
      <c r="A143" s="19" t="s">
        <v>511</v>
      </c>
      <c r="B143" s="19"/>
      <c r="C143" s="71">
        <v>30.010592043458619</v>
      </c>
      <c r="D143" s="71">
        <v>35</v>
      </c>
      <c r="E143" s="71">
        <v>7</v>
      </c>
      <c r="F143" s="71">
        <v>42</v>
      </c>
      <c r="G143" s="71">
        <v>36.417075484407398</v>
      </c>
      <c r="H143" s="71">
        <v>34.004556554309872</v>
      </c>
      <c r="I143" s="71">
        <v>12259.671500889141</v>
      </c>
      <c r="J143" s="71">
        <v>18.370789089042091</v>
      </c>
      <c r="K143" s="71">
        <v>45.968530125465826</v>
      </c>
      <c r="L143" s="368">
        <v>0.93375308428787784</v>
      </c>
      <c r="M143" s="71">
        <v>0.28510415216925461</v>
      </c>
      <c r="N143" s="71">
        <v>2.2898469279296212E-2</v>
      </c>
      <c r="O143" s="71">
        <v>4.3758144414684841</v>
      </c>
      <c r="P143" s="71">
        <v>3.1351327519062697</v>
      </c>
      <c r="Q143" s="71">
        <v>2.2710291280140575</v>
      </c>
      <c r="R143" s="71">
        <v>2.2180411611828532</v>
      </c>
      <c r="S143" s="71">
        <v>0.77785472301336001</v>
      </c>
      <c r="T143" s="71">
        <v>0.39754690082705746</v>
      </c>
      <c r="U143" s="71">
        <v>0.17300299036954139</v>
      </c>
      <c r="V143" s="71">
        <v>0.17960038852134133</v>
      </c>
      <c r="W143" s="71">
        <v>0.38310938209552142</v>
      </c>
      <c r="X143" s="71">
        <v>1.5569906824965962</v>
      </c>
      <c r="Y143" s="71">
        <v>2.5040188679818209</v>
      </c>
      <c r="Z143" s="71">
        <v>5.7681159692359936</v>
      </c>
      <c r="AA143" s="71"/>
      <c r="AB143" s="71">
        <v>1.270919674846039</v>
      </c>
      <c r="AC143" s="71">
        <v>0.84922235330852558</v>
      </c>
      <c r="AD143" s="71">
        <v>0.49078663296819897</v>
      </c>
      <c r="AE143" s="71">
        <v>0.46812457245185746</v>
      </c>
      <c r="AF143" s="71">
        <v>0.17928015085757504</v>
      </c>
      <c r="AG143" s="71">
        <v>8.1278745277626976E-2</v>
      </c>
      <c r="AH143" s="71">
        <v>4.0801334492643102E-2</v>
      </c>
      <c r="AI143" s="71">
        <v>3.1834071156284019E-2</v>
      </c>
      <c r="AJ143" s="71">
        <v>0.10340289020198762</v>
      </c>
      <c r="AK143" s="71">
        <v>0.29390607193152862</v>
      </c>
      <c r="AL143" s="71">
        <v>0.76931947652027022</v>
      </c>
      <c r="AM143" s="40">
        <v>1.6914586823331874</v>
      </c>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19"/>
      <c r="CY143" s="19"/>
      <c r="CZ143" s="19"/>
      <c r="DA143" s="19"/>
      <c r="DB143" s="19"/>
      <c r="DC143" s="19"/>
      <c r="DD143" s="19"/>
      <c r="DE143" s="19"/>
      <c r="DF143" s="19"/>
      <c r="DG143" s="19"/>
      <c r="DH143" s="19"/>
      <c r="DI143" s="19"/>
      <c r="DJ143" s="19"/>
      <c r="DK143" s="19"/>
      <c r="DL143" s="19"/>
      <c r="DM143" s="19"/>
      <c r="DN143" s="19"/>
      <c r="DO143" s="19"/>
      <c r="DP143" s="19"/>
      <c r="DQ143" s="19"/>
      <c r="DR143" s="19"/>
      <c r="DS143" s="19"/>
      <c r="DT143" s="19"/>
      <c r="DU143" s="19"/>
      <c r="DV143" s="19"/>
      <c r="DW143" s="19"/>
      <c r="DX143" s="19"/>
      <c r="DY143" s="19"/>
      <c r="DZ143" s="19"/>
      <c r="EA143" s="19"/>
    </row>
    <row r="144" spans="1:131">
      <c r="A144" s="19" t="s">
        <v>512</v>
      </c>
      <c r="B144" s="19"/>
      <c r="C144" s="71">
        <v>28.446676698406591</v>
      </c>
      <c r="D144" s="71">
        <v>35</v>
      </c>
      <c r="E144" s="71">
        <v>7</v>
      </c>
      <c r="F144" s="71">
        <v>42</v>
      </c>
      <c r="G144" s="71">
        <v>36.417075484407398</v>
      </c>
      <c r="H144" s="71">
        <v>32.232507281840867</v>
      </c>
      <c r="I144" s="71">
        <v>12933.672495409934</v>
      </c>
      <c r="J144" s="71">
        <v>21.762424687387959</v>
      </c>
      <c r="K144" s="71">
        <v>50.877409061345496</v>
      </c>
      <c r="L144" s="368">
        <v>0.88509323862762601</v>
      </c>
      <c r="M144" s="71">
        <v>0.2702467725524228</v>
      </c>
      <c r="N144" s="71">
        <v>2.1705181674965209E-2</v>
      </c>
      <c r="O144" s="71">
        <v>4.1477815075562567</v>
      </c>
      <c r="P144" s="71">
        <v>2.9717543616238919</v>
      </c>
      <c r="Q144" s="71">
        <v>2.1526810028848344</v>
      </c>
      <c r="R144" s="71">
        <v>2.1024543509357363</v>
      </c>
      <c r="S144" s="71">
        <v>0.73731907027514798</v>
      </c>
      <c r="T144" s="71">
        <v>0.37682989205625483</v>
      </c>
      <c r="U144" s="71">
        <v>0.16398743909394475</v>
      </c>
      <c r="V144" s="71">
        <v>0.17024103289186601</v>
      </c>
      <c r="W144" s="71">
        <v>0.36314474292329346</v>
      </c>
      <c r="X144" s="71">
        <v>1.4758526090812731</v>
      </c>
      <c r="Y144" s="71">
        <v>2.3735291553408415</v>
      </c>
      <c r="Z144" s="71">
        <v>5.4675272616468646</v>
      </c>
      <c r="AA144" s="71"/>
      <c r="AB144" s="71">
        <v>1.2046893659290414</v>
      </c>
      <c r="AC144" s="71">
        <v>0.80496758260033208</v>
      </c>
      <c r="AD144" s="71">
        <v>0.46521070479810861</v>
      </c>
      <c r="AE144" s="71">
        <v>0.4437296121260762</v>
      </c>
      <c r="AF144" s="71">
        <v>0.16993748348922108</v>
      </c>
      <c r="AG144" s="71">
        <v>7.7043138169903741E-2</v>
      </c>
      <c r="AH144" s="71">
        <v>3.8675090764454016E-2</v>
      </c>
      <c r="AI144" s="71">
        <v>3.0175130462788354E-2</v>
      </c>
      <c r="AJ144" s="71">
        <v>9.8014347167733579E-2</v>
      </c>
      <c r="AK144" s="71">
        <v>0.27859000568291653</v>
      </c>
      <c r="AL144" s="71">
        <v>0.72922861350646662</v>
      </c>
      <c r="AM144" s="40">
        <v>1.6033131973993457</v>
      </c>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40"/>
      <c r="BM144" s="40"/>
      <c r="BN144" s="40"/>
      <c r="BO144" s="40"/>
      <c r="BP144" s="40"/>
      <c r="BQ144" s="40"/>
      <c r="BR144" s="40"/>
      <c r="BS144" s="40"/>
      <c r="BT144" s="40"/>
      <c r="BU144" s="40"/>
      <c r="BV144" s="40"/>
      <c r="BW144" s="40"/>
      <c r="BX144" s="40"/>
      <c r="BY144" s="40"/>
      <c r="BZ144" s="40"/>
      <c r="CA144" s="40"/>
      <c r="CB144" s="40"/>
      <c r="CC144" s="40"/>
      <c r="CD144" s="40"/>
      <c r="CE144" s="40"/>
      <c r="CF144" s="40"/>
      <c r="CG144" s="40"/>
      <c r="CH144" s="40"/>
      <c r="CI144" s="40"/>
      <c r="CJ144" s="40"/>
      <c r="CK144" s="40"/>
      <c r="CL144" s="40"/>
      <c r="CM144" s="40"/>
      <c r="CN144" s="40"/>
      <c r="CO144" s="40"/>
      <c r="CP144" s="40"/>
      <c r="CQ144" s="40"/>
      <c r="CR144" s="40"/>
      <c r="CS144" s="40"/>
      <c r="CT144" s="40"/>
      <c r="CU144" s="40"/>
      <c r="CV144" s="40"/>
      <c r="CW144" s="40"/>
      <c r="CX144" s="19"/>
      <c r="CY144" s="19"/>
      <c r="CZ144" s="19"/>
      <c r="DA144" s="19"/>
      <c r="DB144" s="19"/>
      <c r="DC144" s="19"/>
      <c r="DD144" s="19"/>
      <c r="DE144" s="19"/>
      <c r="DF144" s="19"/>
      <c r="DG144" s="19"/>
      <c r="DH144" s="19"/>
      <c r="DI144" s="19"/>
      <c r="DJ144" s="19"/>
      <c r="DK144" s="19"/>
      <c r="DL144" s="19"/>
      <c r="DM144" s="19"/>
      <c r="DN144" s="19"/>
      <c r="DO144" s="19"/>
      <c r="DP144" s="19"/>
      <c r="DQ144" s="19"/>
      <c r="DR144" s="19"/>
      <c r="DS144" s="19"/>
      <c r="DT144" s="19"/>
      <c r="DU144" s="19"/>
      <c r="DV144" s="19"/>
      <c r="DW144" s="19"/>
      <c r="DX144" s="19"/>
      <c r="DY144" s="19"/>
      <c r="DZ144" s="19"/>
      <c r="EA144" s="19"/>
    </row>
    <row r="145" spans="1:131">
      <c r="A145" s="19" t="s">
        <v>513</v>
      </c>
      <c r="B145" s="19"/>
      <c r="C145" s="71">
        <v>19.370875350619656</v>
      </c>
      <c r="D145" s="71">
        <v>35</v>
      </c>
      <c r="E145" s="71">
        <v>7</v>
      </c>
      <c r="F145" s="71">
        <v>42</v>
      </c>
      <c r="G145" s="71">
        <v>36.417075484407398</v>
      </c>
      <c r="H145" s="71">
        <v>21.948851439277373</v>
      </c>
      <c r="I145" s="71">
        <v>18993.462780618771</v>
      </c>
      <c r="J145" s="71">
        <v>52.255852170291512</v>
      </c>
      <c r="K145" s="71">
        <v>95.012027746974269</v>
      </c>
      <c r="L145" s="368">
        <v>0.60270768993175072</v>
      </c>
      <c r="M145" s="71">
        <v>0.18402559288458042</v>
      </c>
      <c r="N145" s="71">
        <v>1.4780228043715768E-2</v>
      </c>
      <c r="O145" s="71">
        <v>2.8244479809122316</v>
      </c>
      <c r="P145" s="71">
        <v>2.0236277130713538</v>
      </c>
      <c r="Q145" s="71">
        <v>1.4658765176202384</v>
      </c>
      <c r="R145" s="71">
        <v>1.4316744832490518</v>
      </c>
      <c r="S145" s="71">
        <v>0.50208029413624555</v>
      </c>
      <c r="T145" s="71">
        <v>0.25660378345067097</v>
      </c>
      <c r="U145" s="71">
        <v>0.11166788568782338</v>
      </c>
      <c r="V145" s="71">
        <v>0.11592629475392446</v>
      </c>
      <c r="W145" s="71">
        <v>0.24728482781941141</v>
      </c>
      <c r="X145" s="71">
        <v>1.0049875853512793</v>
      </c>
      <c r="Y145" s="71">
        <v>1.6162639276504438</v>
      </c>
      <c r="Z145" s="71">
        <v>3.7231339950303828</v>
      </c>
      <c r="AA145" s="71"/>
      <c r="AB145" s="71">
        <v>0.82033791824039759</v>
      </c>
      <c r="AC145" s="71">
        <v>0.54814581222115422</v>
      </c>
      <c r="AD145" s="71">
        <v>0.31678704229527277</v>
      </c>
      <c r="AE145" s="71">
        <v>0.30215940853134854</v>
      </c>
      <c r="AF145" s="71">
        <v>0.11571959160530255</v>
      </c>
      <c r="AG145" s="71">
        <v>5.2462825163452832E-2</v>
      </c>
      <c r="AH145" s="71">
        <v>2.6335953767636561E-2</v>
      </c>
      <c r="AI145" s="71">
        <v>2.0547872677025236E-2</v>
      </c>
      <c r="AJ145" s="71">
        <v>6.6743251652481336E-2</v>
      </c>
      <c r="AK145" s="71">
        <v>0.18970694999723742</v>
      </c>
      <c r="AL145" s="71">
        <v>0.49657106607219964</v>
      </c>
      <c r="AM145" s="40">
        <v>1.0917823696630906</v>
      </c>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40"/>
      <c r="BM145" s="40"/>
      <c r="BN145" s="40"/>
      <c r="BO145" s="40"/>
      <c r="BP145" s="40"/>
      <c r="BQ145" s="40"/>
      <c r="BR145" s="40"/>
      <c r="BS145" s="40"/>
      <c r="BT145" s="40"/>
      <c r="BU145" s="40"/>
      <c r="BV145" s="40"/>
      <c r="BW145" s="40"/>
      <c r="BX145" s="40"/>
      <c r="BY145" s="40"/>
      <c r="BZ145" s="40"/>
      <c r="CA145" s="40"/>
      <c r="CB145" s="40"/>
      <c r="CC145" s="40"/>
      <c r="CD145" s="40"/>
      <c r="CE145" s="40"/>
      <c r="CF145" s="40"/>
      <c r="CG145" s="40"/>
      <c r="CH145" s="40"/>
      <c r="CI145" s="40"/>
      <c r="CJ145" s="40"/>
      <c r="CK145" s="40"/>
      <c r="CL145" s="40"/>
      <c r="CM145" s="40"/>
      <c r="CN145" s="40"/>
      <c r="CO145" s="40"/>
      <c r="CP145" s="40"/>
      <c r="CQ145" s="40"/>
      <c r="CR145" s="40"/>
      <c r="CS145" s="40"/>
      <c r="CT145" s="40"/>
      <c r="CU145" s="40"/>
      <c r="CV145" s="40"/>
      <c r="CW145" s="40"/>
      <c r="CX145" s="19"/>
      <c r="CY145" s="19"/>
      <c r="CZ145" s="19"/>
      <c r="DA145" s="19"/>
      <c r="DB145" s="19"/>
      <c r="DC145" s="19"/>
      <c r="DD145" s="19"/>
      <c r="DE145" s="19"/>
      <c r="DF145" s="19"/>
      <c r="DG145" s="19"/>
      <c r="DH145" s="19"/>
      <c r="DI145" s="19"/>
      <c r="DJ145" s="19"/>
      <c r="DK145" s="19"/>
      <c r="DL145" s="19"/>
      <c r="DM145" s="19"/>
      <c r="DN145" s="19"/>
      <c r="DO145" s="19"/>
      <c r="DP145" s="19"/>
      <c r="DQ145" s="19"/>
      <c r="DR145" s="19"/>
      <c r="DS145" s="19"/>
      <c r="DT145" s="19"/>
      <c r="DU145" s="19"/>
      <c r="DV145" s="19"/>
      <c r="DW145" s="19"/>
      <c r="DX145" s="19"/>
      <c r="DY145" s="19"/>
      <c r="DZ145" s="19"/>
      <c r="EA145" s="19"/>
    </row>
    <row r="146" spans="1:131">
      <c r="A146" s="19" t="s">
        <v>514</v>
      </c>
      <c r="B146" s="19"/>
      <c r="C146" s="71">
        <v>17.416876261275753</v>
      </c>
      <c r="D146" s="71">
        <v>35</v>
      </c>
      <c r="E146" s="71">
        <v>7</v>
      </c>
      <c r="F146" s="71">
        <v>42</v>
      </c>
      <c r="G146" s="71">
        <v>36.417075484407398</v>
      </c>
      <c r="H146" s="71">
        <v>19.734804064122464</v>
      </c>
      <c r="I146" s="71">
        <v>21124.339088176457</v>
      </c>
      <c r="J146" s="71">
        <v>62.978619642649392</v>
      </c>
      <c r="K146" s="71">
        <v>110.53160992292048</v>
      </c>
      <c r="L146" s="368">
        <v>0.54191073285311619</v>
      </c>
      <c r="M146" s="71">
        <v>0.16546237184248425</v>
      </c>
      <c r="N146" s="71">
        <v>1.3289301505035007E-2</v>
      </c>
      <c r="O146" s="71">
        <v>2.539537325987947</v>
      </c>
      <c r="P146" s="71">
        <v>1.8194982332754899</v>
      </c>
      <c r="Q146" s="71">
        <v>1.3180090966247835</v>
      </c>
      <c r="R146" s="71">
        <v>1.2872571254441005</v>
      </c>
      <c r="S146" s="71">
        <v>0.45143392840614138</v>
      </c>
      <c r="T146" s="71">
        <v>0.2307193796687442</v>
      </c>
      <c r="U146" s="71">
        <v>0.10040360655776404</v>
      </c>
      <c r="V146" s="71">
        <v>0.10423245695464632</v>
      </c>
      <c r="W146" s="71">
        <v>0.22234045542416822</v>
      </c>
      <c r="X146" s="71">
        <v>0.90361143218143758</v>
      </c>
      <c r="Y146" s="71">
        <v>1.4532264713866339</v>
      </c>
      <c r="Z146" s="71">
        <v>3.3475701496122161</v>
      </c>
      <c r="AA146" s="71"/>
      <c r="AB146" s="71">
        <v>0.73758793837721426</v>
      </c>
      <c r="AC146" s="71">
        <v>0.4928526776301278</v>
      </c>
      <c r="AD146" s="71">
        <v>0.28483177022022371</v>
      </c>
      <c r="AE146" s="71">
        <v>0.27167967034604962</v>
      </c>
      <c r="AF146" s="71">
        <v>0.10404660458105966</v>
      </c>
      <c r="AG146" s="71">
        <v>4.7170740487965206E-2</v>
      </c>
      <c r="AH146" s="71">
        <v>2.3679366042636367E-2</v>
      </c>
      <c r="AI146" s="71">
        <v>1.847514628897497E-2</v>
      </c>
      <c r="AJ146" s="71">
        <v>6.0010656940666846E-2</v>
      </c>
      <c r="AK146" s="71">
        <v>0.17057063319031762</v>
      </c>
      <c r="AL146" s="71">
        <v>0.44648043292646672</v>
      </c>
      <c r="AM146" s="40">
        <v>0.98165096271997776</v>
      </c>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40"/>
      <c r="BS146" s="40"/>
      <c r="BT146" s="40"/>
      <c r="BU146" s="40"/>
      <c r="BV146" s="40"/>
      <c r="BW146" s="40"/>
      <c r="BX146" s="40"/>
      <c r="BY146" s="40"/>
      <c r="BZ146" s="40"/>
      <c r="CA146" s="40"/>
      <c r="CB146" s="40"/>
      <c r="CC146" s="40"/>
      <c r="CD146" s="40"/>
      <c r="CE146" s="40"/>
      <c r="CF146" s="40"/>
      <c r="CG146" s="40"/>
      <c r="CH146" s="40"/>
      <c r="CI146" s="40"/>
      <c r="CJ146" s="40"/>
      <c r="CK146" s="40"/>
      <c r="CL146" s="40"/>
      <c r="CM146" s="40"/>
      <c r="CN146" s="40"/>
      <c r="CO146" s="40"/>
      <c r="CP146" s="40"/>
      <c r="CQ146" s="40"/>
      <c r="CR146" s="40"/>
      <c r="CS146" s="40"/>
      <c r="CT146" s="40"/>
      <c r="CU146" s="40"/>
      <c r="CV146" s="40"/>
      <c r="CW146" s="40"/>
      <c r="CX146" s="19"/>
      <c r="CY146" s="19"/>
      <c r="CZ146" s="19"/>
      <c r="DA146" s="19"/>
      <c r="DB146" s="19"/>
      <c r="DC146" s="19"/>
      <c r="DD146" s="19"/>
      <c r="DE146" s="19"/>
      <c r="DF146" s="19"/>
      <c r="DG146" s="19"/>
      <c r="DH146" s="19"/>
      <c r="DI146" s="19"/>
      <c r="DJ146" s="19"/>
      <c r="DK146" s="19"/>
      <c r="DL146" s="19"/>
      <c r="DM146" s="19"/>
      <c r="DN146" s="19"/>
      <c r="DO146" s="19"/>
      <c r="DP146" s="19"/>
      <c r="DQ146" s="19"/>
      <c r="DR146" s="19"/>
      <c r="DS146" s="19"/>
      <c r="DT146" s="19"/>
      <c r="DU146" s="19"/>
      <c r="DV146" s="19"/>
      <c r="DW146" s="19"/>
      <c r="DX146" s="19"/>
      <c r="DY146" s="19"/>
      <c r="DZ146" s="19"/>
      <c r="EA146" s="19"/>
    </row>
    <row r="147" spans="1:131">
      <c r="A147" s="19" t="s">
        <v>515</v>
      </c>
      <c r="B147" s="19"/>
      <c r="C147" s="71">
        <v>9.0552278256801593</v>
      </c>
      <c r="D147" s="71">
        <v>35</v>
      </c>
      <c r="E147" s="71">
        <v>7</v>
      </c>
      <c r="F147" s="71">
        <v>42</v>
      </c>
      <c r="G147" s="71">
        <v>36.417075484407398</v>
      </c>
      <c r="H147" s="71">
        <v>16.689411927335438</v>
      </c>
      <c r="I147" s="71">
        <v>40630.67291985717</v>
      </c>
      <c r="J147" s="71">
        <v>196.15636531747714</v>
      </c>
      <c r="K147" s="71">
        <v>198.18557111957824</v>
      </c>
      <c r="L147" s="368">
        <v>0.45828534294252427</v>
      </c>
      <c r="M147" s="71">
        <v>0.28107907882194089</v>
      </c>
      <c r="N147" s="71">
        <v>1.3239166589346391E-3</v>
      </c>
      <c r="O147" s="71">
        <v>0.49538462663193211</v>
      </c>
      <c r="P147" s="71">
        <v>0.45699586032363376</v>
      </c>
      <c r="Q147" s="71">
        <v>0.52682877399562544</v>
      </c>
      <c r="R147" s="71">
        <v>0.4938721000600203</v>
      </c>
      <c r="S147" s="71">
        <v>0.52119162739648106</v>
      </c>
      <c r="T147" s="71">
        <v>0.5400320447145851</v>
      </c>
      <c r="U147" s="71">
        <v>0.53281212134619937</v>
      </c>
      <c r="V147" s="71">
        <v>0.58452542365942728</v>
      </c>
      <c r="W147" s="71">
        <v>0.51089497187555366</v>
      </c>
      <c r="X147" s="71">
        <v>0.5463066610858901</v>
      </c>
      <c r="Y147" s="71">
        <v>0.46414631780593663</v>
      </c>
      <c r="Z147" s="71">
        <v>0.483073771593172</v>
      </c>
      <c r="AA147" s="71"/>
      <c r="AB147" s="71">
        <v>0.26200502619171528</v>
      </c>
      <c r="AC147" s="71">
        <v>0.22575182496692053</v>
      </c>
      <c r="AD147" s="71">
        <v>0.2210131014703321</v>
      </c>
      <c r="AE147" s="71">
        <v>0.23100620477156622</v>
      </c>
      <c r="AF147" s="71">
        <v>0.23659511156479057</v>
      </c>
      <c r="AG147" s="71">
        <v>0.22682778347031149</v>
      </c>
      <c r="AH147" s="71">
        <v>0.26765209763613862</v>
      </c>
      <c r="AI147" s="71">
        <v>0.24169479984758416</v>
      </c>
      <c r="AJ147" s="71">
        <v>0.26363977856662879</v>
      </c>
      <c r="AK147" s="71">
        <v>0.22388669478966466</v>
      </c>
      <c r="AL147" s="71">
        <v>0.24065451271437602</v>
      </c>
      <c r="AM147" s="40">
        <v>0.25843658920167351</v>
      </c>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40"/>
      <c r="CI147" s="40"/>
      <c r="CJ147" s="40"/>
      <c r="CK147" s="40"/>
      <c r="CL147" s="40"/>
      <c r="CM147" s="40"/>
      <c r="CN147" s="40"/>
      <c r="CO147" s="40"/>
      <c r="CP147" s="40"/>
      <c r="CQ147" s="40"/>
      <c r="CR147" s="40"/>
      <c r="CS147" s="40"/>
      <c r="CT147" s="40"/>
      <c r="CU147" s="40"/>
      <c r="CV147" s="40"/>
      <c r="CW147" s="40"/>
      <c r="CX147" s="19"/>
      <c r="CY147" s="19"/>
      <c r="CZ147" s="19"/>
      <c r="DA147" s="19"/>
      <c r="DB147" s="19"/>
      <c r="DC147" s="19"/>
      <c r="DD147" s="19"/>
      <c r="DE147" s="19"/>
      <c r="DF147" s="19"/>
      <c r="DG147" s="19"/>
      <c r="DH147" s="19"/>
      <c r="DI147" s="19"/>
      <c r="DJ147" s="19"/>
      <c r="DK147" s="19"/>
      <c r="DL147" s="19"/>
      <c r="DM147" s="19"/>
      <c r="DN147" s="19"/>
      <c r="DO147" s="19"/>
      <c r="DP147" s="19"/>
      <c r="DQ147" s="19"/>
      <c r="DR147" s="19"/>
      <c r="DS147" s="19"/>
      <c r="DT147" s="19"/>
      <c r="DU147" s="19"/>
      <c r="DV147" s="19"/>
      <c r="DW147" s="19"/>
      <c r="DX147" s="19"/>
      <c r="DY147" s="19"/>
      <c r="DZ147" s="19"/>
      <c r="EA147" s="19"/>
    </row>
    <row r="148" spans="1:131">
      <c r="A148" s="19" t="s">
        <v>516</v>
      </c>
      <c r="B148" s="19"/>
      <c r="C148" s="71">
        <v>13.391118984663345</v>
      </c>
      <c r="D148" s="71">
        <v>35</v>
      </c>
      <c r="E148" s="71">
        <v>7</v>
      </c>
      <c r="F148" s="71">
        <v>42</v>
      </c>
      <c r="G148" s="71">
        <v>36.417075484407398</v>
      </c>
      <c r="H148" s="71">
        <v>15.173278227236157</v>
      </c>
      <c r="I148" s="71">
        <v>27474.925763961433</v>
      </c>
      <c r="J148" s="71">
        <v>94.935361568953368</v>
      </c>
      <c r="K148" s="71">
        <v>156.78415467680966</v>
      </c>
      <c r="L148" s="368">
        <v>0.41665284829730104</v>
      </c>
      <c r="M148" s="71">
        <v>0.12721720448538201</v>
      </c>
      <c r="N148" s="71">
        <v>1.0217596715242113E-2</v>
      </c>
      <c r="O148" s="71">
        <v>1.9525456797272682</v>
      </c>
      <c r="P148" s="71">
        <v>1.3989372703042979</v>
      </c>
      <c r="Q148" s="71">
        <v>1.0133629228917955</v>
      </c>
      <c r="R148" s="71">
        <v>0.98971899852120915</v>
      </c>
      <c r="S148" s="71">
        <v>0.34708895891058217</v>
      </c>
      <c r="T148" s="71">
        <v>0.17739063072298386</v>
      </c>
      <c r="U148" s="71">
        <v>7.7196198774961033E-2</v>
      </c>
      <c r="V148" s="71">
        <v>8.014004418500878E-2</v>
      </c>
      <c r="W148" s="71">
        <v>0.1709484208892913</v>
      </c>
      <c r="X148" s="71">
        <v>0.69474962230439341</v>
      </c>
      <c r="Y148" s="71">
        <v>1.1173259945165073</v>
      </c>
      <c r="Z148" s="71">
        <v>2.5738088455409924</v>
      </c>
      <c r="AA148" s="71"/>
      <c r="AB148" s="71">
        <v>0.56710099424788196</v>
      </c>
      <c r="AC148" s="71">
        <v>0.37893412969402024</v>
      </c>
      <c r="AD148" s="71">
        <v>0.21899541963858002</v>
      </c>
      <c r="AE148" s="71">
        <v>0.20888331160777168</v>
      </c>
      <c r="AF148" s="71">
        <v>7.999714994777897E-2</v>
      </c>
      <c r="AG148" s="71">
        <v>3.626764001725475E-2</v>
      </c>
      <c r="AH148" s="71">
        <v>1.820608950775849E-2</v>
      </c>
      <c r="AI148" s="71">
        <v>1.4204779232702863E-2</v>
      </c>
      <c r="AJ148" s="71">
        <v>4.6139723070032314E-2</v>
      </c>
      <c r="AK148" s="71">
        <v>0.13114473629346449</v>
      </c>
      <c r="AL148" s="71">
        <v>0.3432804202057515</v>
      </c>
      <c r="AM148" s="40">
        <v>0.75475100391105776</v>
      </c>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40"/>
      <c r="CI148" s="40"/>
      <c r="CJ148" s="40"/>
      <c r="CK148" s="40"/>
      <c r="CL148" s="40"/>
      <c r="CM148" s="40"/>
      <c r="CN148" s="40"/>
      <c r="CO148" s="40"/>
      <c r="CP148" s="40"/>
      <c r="CQ148" s="40"/>
      <c r="CR148" s="40"/>
      <c r="CS148" s="40"/>
      <c r="CT148" s="40"/>
      <c r="CU148" s="40"/>
      <c r="CV148" s="40"/>
      <c r="CW148" s="40"/>
      <c r="CX148" s="19"/>
      <c r="CY148" s="19"/>
      <c r="CZ148" s="19"/>
      <c r="DA148" s="19"/>
      <c r="DB148" s="19"/>
      <c r="DC148" s="19"/>
      <c r="DD148" s="19"/>
      <c r="DE148" s="19"/>
      <c r="DF148" s="19"/>
      <c r="DG148" s="19"/>
      <c r="DH148" s="19"/>
      <c r="DI148" s="19"/>
      <c r="DJ148" s="19"/>
      <c r="DK148" s="19"/>
      <c r="DL148" s="19"/>
      <c r="DM148" s="19"/>
      <c r="DN148" s="19"/>
      <c r="DO148" s="19"/>
      <c r="DP148" s="19"/>
      <c r="DQ148" s="19"/>
      <c r="DR148" s="19"/>
      <c r="DS148" s="19"/>
      <c r="DT148" s="19"/>
      <c r="DU148" s="19"/>
      <c r="DV148" s="19"/>
      <c r="DW148" s="19"/>
      <c r="DX148" s="19"/>
      <c r="DY148" s="19"/>
      <c r="DZ148" s="19"/>
      <c r="EA148" s="19"/>
    </row>
    <row r="149" spans="1:131">
      <c r="A149" s="19" t="s">
        <v>517</v>
      </c>
      <c r="B149" s="19"/>
      <c r="C149" s="71">
        <v>11.882473132003328</v>
      </c>
      <c r="D149" s="71">
        <v>35</v>
      </c>
      <c r="E149" s="71">
        <v>7</v>
      </c>
      <c r="F149" s="71">
        <v>42</v>
      </c>
      <c r="G149" s="71">
        <v>36.417075484407398</v>
      </c>
      <c r="H149" s="71">
        <v>14.827087076235294</v>
      </c>
      <c r="I149" s="71">
        <v>30963.251160995511</v>
      </c>
      <c r="J149" s="71">
        <v>147.50900122138898</v>
      </c>
      <c r="K149" s="71">
        <v>171.57598231194331</v>
      </c>
      <c r="L149" s="368">
        <v>0.40714656185348458</v>
      </c>
      <c r="M149" s="71">
        <v>0.2434861938497524</v>
      </c>
      <c r="N149" s="71">
        <v>1.7372731455954111E-3</v>
      </c>
      <c r="O149" s="71">
        <v>0.65005482239418899</v>
      </c>
      <c r="P149" s="71">
        <v>0.59968022188601833</v>
      </c>
      <c r="Q149" s="71">
        <v>0.69131653810146609</v>
      </c>
      <c r="R149" s="71">
        <v>0.64807005108879856</v>
      </c>
      <c r="S149" s="71">
        <v>0.68391934784905339</v>
      </c>
      <c r="T149" s="71">
        <v>0.70864216619087539</v>
      </c>
      <c r="U149" s="71">
        <v>0.69916802074787843</v>
      </c>
      <c r="V149" s="71">
        <v>0.76702737637463103</v>
      </c>
      <c r="W149" s="71">
        <v>0.67040784544047394</v>
      </c>
      <c r="X149" s="71">
        <v>0.71687585858171921</v>
      </c>
      <c r="Y149" s="71">
        <v>0.60906321263463736</v>
      </c>
      <c r="Z149" s="71">
        <v>0.63390024218415797</v>
      </c>
      <c r="AA149" s="71"/>
      <c r="AB149" s="71">
        <v>0.34380887417805422</v>
      </c>
      <c r="AC149" s="71">
        <v>0.2962366100897813</v>
      </c>
      <c r="AD149" s="71">
        <v>0.29001835079115612</v>
      </c>
      <c r="AE149" s="71">
        <v>0.30313152516601838</v>
      </c>
      <c r="AF149" s="71">
        <v>0.31046541406270894</v>
      </c>
      <c r="AG149" s="71">
        <v>0.29764850698004353</v>
      </c>
      <c r="AH149" s="71">
        <v>0.35121908803513335</v>
      </c>
      <c r="AI149" s="71">
        <v>0.31715733945303842</v>
      </c>
      <c r="AJ149" s="71">
        <v>0.34595403292461835</v>
      </c>
      <c r="AK149" s="71">
        <v>0.29378914442181875</v>
      </c>
      <c r="AL149" s="71">
        <v>0.31579225133511618</v>
      </c>
      <c r="AM149" s="40">
        <v>0.33912629109194248</v>
      </c>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19"/>
      <c r="CY149" s="19"/>
      <c r="CZ149" s="19"/>
      <c r="DA149" s="19"/>
      <c r="DB149" s="19"/>
      <c r="DC149" s="19"/>
      <c r="DD149" s="19"/>
      <c r="DE149" s="19"/>
      <c r="DF149" s="19"/>
      <c r="DG149" s="19"/>
      <c r="DH149" s="19"/>
      <c r="DI149" s="19"/>
      <c r="DJ149" s="19"/>
      <c r="DK149" s="19"/>
      <c r="DL149" s="19"/>
      <c r="DM149" s="19"/>
      <c r="DN149" s="19"/>
      <c r="DO149" s="19"/>
      <c r="DP149" s="19"/>
      <c r="DQ149" s="19"/>
      <c r="DR149" s="19"/>
      <c r="DS149" s="19"/>
      <c r="DT149" s="19"/>
      <c r="DU149" s="19"/>
      <c r="DV149" s="19"/>
      <c r="DW149" s="19"/>
      <c r="DX149" s="19"/>
      <c r="DY149" s="19"/>
      <c r="DZ149" s="19"/>
      <c r="EA149" s="19"/>
    </row>
    <row r="150" spans="1:131">
      <c r="A150" s="19" t="s">
        <v>518</v>
      </c>
      <c r="B150" s="19"/>
      <c r="C150" s="71">
        <v>12.393859395459479</v>
      </c>
      <c r="D150" s="71">
        <v>35</v>
      </c>
      <c r="E150" s="71">
        <v>7</v>
      </c>
      <c r="F150" s="71">
        <v>42</v>
      </c>
      <c r="G150" s="71">
        <v>36.417075484407398</v>
      </c>
      <c r="H150" s="71">
        <v>14.043298183813373</v>
      </c>
      <c r="I150" s="71">
        <v>29685.668383069475</v>
      </c>
      <c r="J150" s="71">
        <v>106.06002373815117</v>
      </c>
      <c r="K150" s="71">
        <v>172.88541856783209</v>
      </c>
      <c r="L150" s="368">
        <v>0.38562399635375044</v>
      </c>
      <c r="M150" s="71">
        <v>0.11774312115970495</v>
      </c>
      <c r="N150" s="71">
        <v>9.4566747702901563E-3</v>
      </c>
      <c r="O150" s="71">
        <v>1.807136255414282</v>
      </c>
      <c r="P150" s="71">
        <v>1.2947560133754759</v>
      </c>
      <c r="Q150" s="71">
        <v>0.93789604866306897</v>
      </c>
      <c r="R150" s="71">
        <v>0.91601292787670763</v>
      </c>
      <c r="S150" s="71">
        <v>0.32124064907353339</v>
      </c>
      <c r="T150" s="71">
        <v>0.16418004632551689</v>
      </c>
      <c r="U150" s="71">
        <v>7.1447265503097268E-2</v>
      </c>
      <c r="V150" s="71">
        <v>7.4171877698380351E-2</v>
      </c>
      <c r="W150" s="71">
        <v>0.15821759890299184</v>
      </c>
      <c r="X150" s="71">
        <v>0.6430104268172705</v>
      </c>
      <c r="Y150" s="71">
        <v>1.0341168121043067</v>
      </c>
      <c r="Z150" s="71">
        <v>2.3821328881446648</v>
      </c>
      <c r="AA150" s="71"/>
      <c r="AB150" s="71">
        <v>0.52486801093943258</v>
      </c>
      <c r="AC150" s="71">
        <v>0.35071425539174711</v>
      </c>
      <c r="AD150" s="71">
        <v>0.2026864552812008</v>
      </c>
      <c r="AE150" s="71">
        <v>0.19332741327215947</v>
      </c>
      <c r="AF150" s="71">
        <v>7.4039625039982196E-2</v>
      </c>
      <c r="AG150" s="71">
        <v>3.3566726686081745E-2</v>
      </c>
      <c r="AH150" s="71">
        <v>1.6850250808669188E-2</v>
      </c>
      <c r="AI150" s="71">
        <v>1.314692496984695E-2</v>
      </c>
      <c r="AJ150" s="71">
        <v>4.2703618788717292E-2</v>
      </c>
      <c r="AK150" s="71">
        <v>0.1213781629404791</v>
      </c>
      <c r="AL150" s="71">
        <v>0.31771573877560405</v>
      </c>
      <c r="AM150" s="40">
        <v>0.6985434026662638</v>
      </c>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40"/>
      <c r="BM150" s="40"/>
      <c r="BN150" s="40"/>
      <c r="BO150" s="40"/>
      <c r="BP150" s="40"/>
      <c r="BQ150" s="40"/>
      <c r="BR150" s="40"/>
      <c r="BS150" s="40"/>
      <c r="BT150" s="40"/>
      <c r="BU150" s="40"/>
      <c r="BV150" s="40"/>
      <c r="BW150" s="40"/>
      <c r="BX150" s="40"/>
      <c r="BY150" s="40"/>
      <c r="BZ150" s="40"/>
      <c r="CA150" s="40"/>
      <c r="CB150" s="40"/>
      <c r="CC150" s="40"/>
      <c r="CD150" s="40"/>
      <c r="CE150" s="40"/>
      <c r="CF150" s="40"/>
      <c r="CG150" s="40"/>
      <c r="CH150" s="40"/>
      <c r="CI150" s="40"/>
      <c r="CJ150" s="40"/>
      <c r="CK150" s="40"/>
      <c r="CL150" s="40"/>
      <c r="CM150" s="40"/>
      <c r="CN150" s="40"/>
      <c r="CO150" s="40"/>
      <c r="CP150" s="40"/>
      <c r="CQ150" s="40"/>
      <c r="CR150" s="40"/>
      <c r="CS150" s="40"/>
      <c r="CT150" s="40"/>
      <c r="CU150" s="40"/>
      <c r="CV150" s="40"/>
      <c r="CW150" s="40"/>
      <c r="CX150" s="19"/>
      <c r="CY150" s="19"/>
      <c r="CZ150" s="19"/>
      <c r="DA150" s="19"/>
      <c r="DB150" s="19"/>
      <c r="DC150" s="19"/>
      <c r="DD150" s="19"/>
      <c r="DE150" s="19"/>
      <c r="DF150" s="19"/>
      <c r="DG150" s="19"/>
      <c r="DH150" s="19"/>
      <c r="DI150" s="19"/>
      <c r="DJ150" s="19"/>
      <c r="DK150" s="19"/>
      <c r="DL150" s="19"/>
      <c r="DM150" s="19"/>
      <c r="DN150" s="19"/>
      <c r="DO150" s="19"/>
      <c r="DP150" s="19"/>
      <c r="DQ150" s="19"/>
      <c r="DR150" s="19"/>
      <c r="DS150" s="19"/>
      <c r="DT150" s="19"/>
      <c r="DU150" s="19"/>
      <c r="DV150" s="19"/>
      <c r="DW150" s="19"/>
      <c r="DX150" s="19"/>
      <c r="DY150" s="19"/>
      <c r="DZ150" s="19"/>
      <c r="EA150" s="19"/>
    </row>
    <row r="151" spans="1:131">
      <c r="A151" s="19" t="s">
        <v>519</v>
      </c>
      <c r="B151" s="19"/>
      <c r="C151" s="71">
        <v>11.039026820345102</v>
      </c>
      <c r="D151" s="71">
        <v>35</v>
      </c>
      <c r="E151" s="71">
        <v>7</v>
      </c>
      <c r="F151" s="71">
        <v>42</v>
      </c>
      <c r="G151" s="71">
        <v>36.417075484407398</v>
      </c>
      <c r="H151" s="71">
        <v>14.024822947515737</v>
      </c>
      <c r="I151" s="71">
        <v>33329.024921102427</v>
      </c>
      <c r="J151" s="71">
        <v>159.41379448970756</v>
      </c>
      <c r="K151" s="71">
        <v>187.13864834189428</v>
      </c>
      <c r="L151" s="368">
        <v>0.38511667290583806</v>
      </c>
      <c r="M151" s="71">
        <v>0.23063704077169445</v>
      </c>
      <c r="N151" s="71">
        <v>1.6139573500773198E-3</v>
      </c>
      <c r="O151" s="71">
        <v>0.60391237913064733</v>
      </c>
      <c r="P151" s="71">
        <v>0.55711348803312433</v>
      </c>
      <c r="Q151" s="71">
        <v>0.64224523974695347</v>
      </c>
      <c r="R151" s="71">
        <v>0.60206849163104537</v>
      </c>
      <c r="S151" s="71">
        <v>0.63537311971904042</v>
      </c>
      <c r="T151" s="71">
        <v>0.65834105339059579</v>
      </c>
      <c r="U151" s="71">
        <v>0.6495394054101421</v>
      </c>
      <c r="V151" s="71">
        <v>0.71258194196404234</v>
      </c>
      <c r="W151" s="71">
        <v>0.62282069600938794</v>
      </c>
      <c r="X151" s="71">
        <v>0.66599029863805148</v>
      </c>
      <c r="Y151" s="71">
        <v>0.56583045169703405</v>
      </c>
      <c r="Z151" s="71">
        <v>0.58890448959209274</v>
      </c>
      <c r="AA151" s="71"/>
      <c r="AB151" s="71">
        <v>0.31940449946418881</v>
      </c>
      <c r="AC151" s="71">
        <v>0.27520902825705579</v>
      </c>
      <c r="AD151" s="71">
        <v>0.26943215584919783</v>
      </c>
      <c r="AE151" s="71">
        <v>0.28161452579995244</v>
      </c>
      <c r="AF151" s="71">
        <v>0.28842783775350106</v>
      </c>
      <c r="AG151" s="71">
        <v>0.27652070533522133</v>
      </c>
      <c r="AH151" s="71">
        <v>0.32628871865021597</v>
      </c>
      <c r="AI151" s="71">
        <v>0.29464475430302245</v>
      </c>
      <c r="AJ151" s="71">
        <v>0.32139738972147369</v>
      </c>
      <c r="AK151" s="71">
        <v>0.27293528954539442</v>
      </c>
      <c r="AL151" s="71">
        <v>0.29337656339878287</v>
      </c>
      <c r="AM151" s="40">
        <v>0.31505429730493789</v>
      </c>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40"/>
      <c r="BM151" s="40"/>
      <c r="BN151" s="40"/>
      <c r="BO151" s="40"/>
      <c r="BP151" s="40"/>
      <c r="BQ151" s="40"/>
      <c r="BR151" s="40"/>
      <c r="BS151" s="40"/>
      <c r="BT151" s="40"/>
      <c r="BU151" s="40"/>
      <c r="BV151" s="40"/>
      <c r="BW151" s="40"/>
      <c r="BX151" s="40"/>
      <c r="BY151" s="40"/>
      <c r="BZ151" s="40"/>
      <c r="CA151" s="40"/>
      <c r="CB151" s="40"/>
      <c r="CC151" s="40"/>
      <c r="CD151" s="40"/>
      <c r="CE151" s="40"/>
      <c r="CF151" s="40"/>
      <c r="CG151" s="40"/>
      <c r="CH151" s="40"/>
      <c r="CI151" s="40"/>
      <c r="CJ151" s="40"/>
      <c r="CK151" s="40"/>
      <c r="CL151" s="40"/>
      <c r="CM151" s="40"/>
      <c r="CN151" s="40"/>
      <c r="CO151" s="40"/>
      <c r="CP151" s="40"/>
      <c r="CQ151" s="40"/>
      <c r="CR151" s="40"/>
      <c r="CS151" s="40"/>
      <c r="CT151" s="40"/>
      <c r="CU151" s="40"/>
      <c r="CV151" s="40"/>
      <c r="CW151" s="40"/>
      <c r="CX151" s="19"/>
      <c r="CY151" s="19"/>
      <c r="CZ151" s="19"/>
      <c r="DA151" s="19"/>
      <c r="DB151" s="19"/>
      <c r="DC151" s="19"/>
      <c r="DD151" s="19"/>
      <c r="DE151" s="19"/>
      <c r="DF151" s="19"/>
      <c r="DG151" s="19"/>
      <c r="DH151" s="19"/>
      <c r="DI151" s="19"/>
      <c r="DJ151" s="19"/>
      <c r="DK151" s="19"/>
      <c r="DL151" s="19"/>
      <c r="DM151" s="19"/>
      <c r="DN151" s="19"/>
      <c r="DO151" s="19"/>
      <c r="DP151" s="19"/>
      <c r="DQ151" s="19"/>
      <c r="DR151" s="19"/>
      <c r="DS151" s="19"/>
      <c r="DT151" s="19"/>
      <c r="DU151" s="19"/>
      <c r="DV151" s="19"/>
      <c r="DW151" s="19"/>
      <c r="DX151" s="19"/>
      <c r="DY151" s="19"/>
      <c r="DZ151" s="19"/>
      <c r="EA151" s="19"/>
    </row>
    <row r="152" spans="1:131">
      <c r="A152" s="19" t="s">
        <v>520</v>
      </c>
      <c r="B152" s="19"/>
      <c r="C152" s="71">
        <v>12.271486974988012</v>
      </c>
      <c r="D152" s="71">
        <v>35</v>
      </c>
      <c r="E152" s="71">
        <v>7</v>
      </c>
      <c r="F152" s="71">
        <v>42</v>
      </c>
      <c r="G152" s="71">
        <v>36.417075484407398</v>
      </c>
      <c r="H152" s="71">
        <v>13.904639809910456</v>
      </c>
      <c r="I152" s="71">
        <v>29981.696655825155</v>
      </c>
      <c r="J152" s="71">
        <v>107.54966549855966</v>
      </c>
      <c r="K152" s="71">
        <v>175.04144944073664</v>
      </c>
      <c r="L152" s="368">
        <v>0.38181648649584637</v>
      </c>
      <c r="M152" s="71">
        <v>0.11658056878030187</v>
      </c>
      <c r="N152" s="71">
        <v>9.3633030331800975E-3</v>
      </c>
      <c r="O152" s="71">
        <v>1.789293255050908</v>
      </c>
      <c r="P152" s="71">
        <v>1.2819720675341351</v>
      </c>
      <c r="Q152" s="71">
        <v>0.92863560718447902</v>
      </c>
      <c r="R152" s="71">
        <v>0.90696855230403539</v>
      </c>
      <c r="S152" s="71">
        <v>0.3180688367649836</v>
      </c>
      <c r="T152" s="71">
        <v>0.16255899278433086</v>
      </c>
      <c r="U152" s="71">
        <v>7.0741821416900469E-2</v>
      </c>
      <c r="V152" s="71">
        <v>7.3439531791003848E-2</v>
      </c>
      <c r="W152" s="71">
        <v>0.15665541638008568</v>
      </c>
      <c r="X152" s="71">
        <v>0.63666157777781407</v>
      </c>
      <c r="Y152" s="71">
        <v>1.0239063221100599</v>
      </c>
      <c r="Z152" s="71">
        <v>2.3586125819909785</v>
      </c>
      <c r="AA152" s="71"/>
      <c r="AB152" s="71">
        <v>0.51968565676892831</v>
      </c>
      <c r="AC152" s="71">
        <v>0.34725143150802129</v>
      </c>
      <c r="AD152" s="71">
        <v>0.20068520358565317</v>
      </c>
      <c r="AE152" s="71">
        <v>0.19141856932365792</v>
      </c>
      <c r="AF152" s="71">
        <v>7.3308584946832372E-2</v>
      </c>
      <c r="AG152" s="71">
        <v>3.3235301142123676E-2</v>
      </c>
      <c r="AH152" s="71">
        <v>1.6683877614394965E-2</v>
      </c>
      <c r="AI152" s="71">
        <v>1.3017117056187195E-2</v>
      </c>
      <c r="AJ152" s="71">
        <v>4.2281978924384102E-2</v>
      </c>
      <c r="AK152" s="71">
        <v>0.12017971949219791</v>
      </c>
      <c r="AL152" s="71">
        <v>0.31457873013807708</v>
      </c>
      <c r="AM152" s="40">
        <v>0.6916462413978407</v>
      </c>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40"/>
      <c r="BM152" s="40"/>
      <c r="BN152" s="40"/>
      <c r="BO152" s="40"/>
      <c r="BP152" s="40"/>
      <c r="BQ152" s="40"/>
      <c r="BR152" s="40"/>
      <c r="BS152" s="40"/>
      <c r="BT152" s="40"/>
      <c r="BU152" s="40"/>
      <c r="BV152" s="40"/>
      <c r="BW152" s="40"/>
      <c r="BX152" s="40"/>
      <c r="BY152" s="40"/>
      <c r="BZ152" s="40"/>
      <c r="CA152" s="40"/>
      <c r="CB152" s="40"/>
      <c r="CC152" s="40"/>
      <c r="CD152" s="40"/>
      <c r="CE152" s="40"/>
      <c r="CF152" s="40"/>
      <c r="CG152" s="40"/>
      <c r="CH152" s="40"/>
      <c r="CI152" s="40"/>
      <c r="CJ152" s="40"/>
      <c r="CK152" s="40"/>
      <c r="CL152" s="40"/>
      <c r="CM152" s="40"/>
      <c r="CN152" s="40"/>
      <c r="CO152" s="40"/>
      <c r="CP152" s="40"/>
      <c r="CQ152" s="40"/>
      <c r="CR152" s="40"/>
      <c r="CS152" s="40"/>
      <c r="CT152" s="40"/>
      <c r="CU152" s="40"/>
      <c r="CV152" s="40"/>
      <c r="CW152" s="40"/>
      <c r="CX152" s="19"/>
      <c r="CY152" s="19"/>
      <c r="CZ152" s="19"/>
      <c r="DA152" s="19"/>
      <c r="DB152" s="19"/>
      <c r="DC152" s="19"/>
      <c r="DD152" s="19"/>
      <c r="DE152" s="19"/>
      <c r="DF152" s="19"/>
      <c r="DG152" s="19"/>
      <c r="DH152" s="19"/>
      <c r="DI152" s="19"/>
      <c r="DJ152" s="19"/>
      <c r="DK152" s="19"/>
      <c r="DL152" s="19"/>
      <c r="DM152" s="19"/>
      <c r="DN152" s="19"/>
      <c r="DO152" s="19"/>
      <c r="DP152" s="19"/>
      <c r="DQ152" s="19"/>
      <c r="DR152" s="19"/>
      <c r="DS152" s="19"/>
      <c r="DT152" s="19"/>
      <c r="DU152" s="19"/>
      <c r="DV152" s="19"/>
      <c r="DW152" s="19"/>
      <c r="DX152" s="19"/>
      <c r="DY152" s="19"/>
      <c r="DZ152" s="19"/>
      <c r="EA152" s="19"/>
    </row>
    <row r="153" spans="1:131">
      <c r="A153" s="19" t="s">
        <v>521</v>
      </c>
      <c r="B153" s="19"/>
      <c r="C153" s="71">
        <v>7.4032727196667265</v>
      </c>
      <c r="D153" s="71">
        <v>35</v>
      </c>
      <c r="E153" s="71">
        <v>7</v>
      </c>
      <c r="F153" s="71">
        <v>42</v>
      </c>
      <c r="G153" s="71">
        <v>36.417075484407398</v>
      </c>
      <c r="H153" s="71">
        <v>13.784438194772317</v>
      </c>
      <c r="I153" s="71">
        <v>49696.939979345065</v>
      </c>
      <c r="J153" s="71">
        <v>241.77866313757465</v>
      </c>
      <c r="K153" s="71">
        <v>262.82850904076571</v>
      </c>
      <c r="L153" s="368">
        <v>0.3785157926993441</v>
      </c>
      <c r="M153" s="71">
        <v>0.23227721060276635</v>
      </c>
      <c r="N153" s="71">
        <v>1.0823930963290735E-3</v>
      </c>
      <c r="O153" s="71">
        <v>0.40501106793643793</v>
      </c>
      <c r="P153" s="71">
        <v>0.37362560620946705</v>
      </c>
      <c r="Q153" s="71">
        <v>0.43071882514058379</v>
      </c>
      <c r="R153" s="71">
        <v>0.403774473239632</v>
      </c>
      <c r="S153" s="71">
        <v>0.42611006935468804</v>
      </c>
      <c r="T153" s="71">
        <v>0.44151340875634243</v>
      </c>
      <c r="U153" s="71">
        <v>0.43561062389656563</v>
      </c>
      <c r="V153" s="71">
        <v>0.47788981196665059</v>
      </c>
      <c r="W153" s="71">
        <v>0.41769184395060638</v>
      </c>
      <c r="X153" s="71">
        <v>0.44664334000736178</v>
      </c>
      <c r="Y153" s="71">
        <v>0.37947159792065771</v>
      </c>
      <c r="Z153" s="71">
        <v>0.39494609563328342</v>
      </c>
      <c r="AA153" s="71"/>
      <c r="AB153" s="71">
        <v>0.21420716299592352</v>
      </c>
      <c r="AC153" s="71">
        <v>0.18456767288094655</v>
      </c>
      <c r="AD153" s="71">
        <v>0.18069343988938713</v>
      </c>
      <c r="AE153" s="71">
        <v>0.18886349043687639</v>
      </c>
      <c r="AF153" s="71">
        <v>0.19343280685735312</v>
      </c>
      <c r="AG153" s="71">
        <v>0.18544734309896777</v>
      </c>
      <c r="AH153" s="71">
        <v>0.21882403302673006</v>
      </c>
      <c r="AI153" s="71">
        <v>0.19760215343477883</v>
      </c>
      <c r="AJ153" s="71">
        <v>0.21554368570894522</v>
      </c>
      <c r="AK153" s="71">
        <v>0.18304280043977544</v>
      </c>
      <c r="AL153" s="71">
        <v>0.19675164701990333</v>
      </c>
      <c r="AM153" s="40">
        <v>0.2112897198648622</v>
      </c>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40"/>
      <c r="BM153" s="40"/>
      <c r="BN153" s="40"/>
      <c r="BO153" s="40"/>
      <c r="BP153" s="40"/>
      <c r="BQ153" s="40"/>
      <c r="BR153" s="40"/>
      <c r="BS153" s="40"/>
      <c r="BT153" s="40"/>
      <c r="BU153" s="40"/>
      <c r="BV153" s="40"/>
      <c r="BW153" s="40"/>
      <c r="BX153" s="40"/>
      <c r="BY153" s="40"/>
      <c r="BZ153" s="40"/>
      <c r="CA153" s="40"/>
      <c r="CB153" s="40"/>
      <c r="CC153" s="40"/>
      <c r="CD153" s="40"/>
      <c r="CE153" s="40"/>
      <c r="CF153" s="40"/>
      <c r="CG153" s="40"/>
      <c r="CH153" s="40"/>
      <c r="CI153" s="40"/>
      <c r="CJ153" s="40"/>
      <c r="CK153" s="40"/>
      <c r="CL153" s="40"/>
      <c r="CM153" s="40"/>
      <c r="CN153" s="40"/>
      <c r="CO153" s="40"/>
      <c r="CP153" s="40"/>
      <c r="CQ153" s="40"/>
      <c r="CR153" s="40"/>
      <c r="CS153" s="40"/>
      <c r="CT153" s="40"/>
      <c r="CU153" s="40"/>
      <c r="CV153" s="40"/>
      <c r="CW153" s="40"/>
      <c r="CX153" s="19"/>
      <c r="CY153" s="19"/>
      <c r="CZ153" s="19"/>
      <c r="DA153" s="19"/>
      <c r="DB153" s="19"/>
      <c r="DC153" s="19"/>
      <c r="DD153" s="19"/>
      <c r="DE153" s="19"/>
      <c r="DF153" s="19"/>
      <c r="DG153" s="19"/>
      <c r="DH153" s="19"/>
      <c r="DI153" s="19"/>
      <c r="DJ153" s="19"/>
      <c r="DK153" s="19"/>
      <c r="DL153" s="19"/>
      <c r="DM153" s="19"/>
      <c r="DN153" s="19"/>
      <c r="DO153" s="19"/>
      <c r="DP153" s="19"/>
      <c r="DQ153" s="19"/>
      <c r="DR153" s="19"/>
      <c r="DS153" s="19"/>
      <c r="DT153" s="19"/>
      <c r="DU153" s="19"/>
      <c r="DV153" s="19"/>
      <c r="DW153" s="19"/>
      <c r="DX153" s="19"/>
      <c r="DY153" s="19"/>
      <c r="DZ153" s="19"/>
      <c r="EA153" s="19"/>
    </row>
    <row r="154" spans="1:131">
      <c r="A154" s="19" t="s">
        <v>522</v>
      </c>
      <c r="B154" s="19"/>
      <c r="C154" s="71">
        <v>10.446745366038499</v>
      </c>
      <c r="D154" s="71">
        <v>35</v>
      </c>
      <c r="E154" s="71">
        <v>7</v>
      </c>
      <c r="F154" s="71">
        <v>42</v>
      </c>
      <c r="G154" s="71">
        <v>36.417075484407398</v>
      </c>
      <c r="H154" s="71">
        <v>11.277855855764376</v>
      </c>
      <c r="I154" s="71">
        <v>35218.624280445976</v>
      </c>
      <c r="J154" s="71">
        <v>168.9224339514605</v>
      </c>
      <c r="K154" s="71">
        <v>214.94915566251467</v>
      </c>
      <c r="L154" s="368">
        <v>0.30968592907997744</v>
      </c>
      <c r="M154" s="71">
        <v>0.18291570418294439</v>
      </c>
      <c r="N154" s="71">
        <v>1.5273630313887504E-3</v>
      </c>
      <c r="O154" s="71">
        <v>0.57151041942836267</v>
      </c>
      <c r="P154" s="71">
        <v>0.52722244851703692</v>
      </c>
      <c r="Q154" s="71">
        <v>0.60778659128006551</v>
      </c>
      <c r="R154" s="71">
        <v>0.56976546278449791</v>
      </c>
      <c r="S154" s="71">
        <v>0.60128318393947022</v>
      </c>
      <c r="T154" s="71">
        <v>0.62301880960246692</v>
      </c>
      <c r="U154" s="71">
        <v>0.61468940006757522</v>
      </c>
      <c r="V154" s="71">
        <v>0.67434948943287865</v>
      </c>
      <c r="W154" s="71">
        <v>0.58940424059097829</v>
      </c>
      <c r="X154" s="71">
        <v>0.63025764674300855</v>
      </c>
      <c r="Y154" s="71">
        <v>0.53547171733791188</v>
      </c>
      <c r="Z154" s="71">
        <v>0.55730775437079094</v>
      </c>
      <c r="AA154" s="71"/>
      <c r="AB154" s="71">
        <v>0.30226735825296669</v>
      </c>
      <c r="AC154" s="71">
        <v>0.26044312487198723</v>
      </c>
      <c r="AD154" s="71">
        <v>0.25497620137962279</v>
      </c>
      <c r="AE154" s="71">
        <v>0.26650494561601318</v>
      </c>
      <c r="AF154" s="71">
        <v>0.27295270013608813</v>
      </c>
      <c r="AG154" s="71">
        <v>0.26168442599943897</v>
      </c>
      <c r="AH154" s="71">
        <v>0.30878221559056068</v>
      </c>
      <c r="AI154" s="71">
        <v>0.27883605790047578</v>
      </c>
      <c r="AJ154" s="71">
        <v>0.30415332314816412</v>
      </c>
      <c r="AK154" s="71">
        <v>0.25829138000025148</v>
      </c>
      <c r="AL154" s="71">
        <v>0.27763590976534308</v>
      </c>
      <c r="AM154" s="40">
        <v>0.29815055928254219</v>
      </c>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40"/>
      <c r="BM154" s="40"/>
      <c r="BN154" s="40"/>
      <c r="BO154" s="40"/>
      <c r="BP154" s="40"/>
      <c r="BQ154" s="40"/>
      <c r="BR154" s="40"/>
      <c r="BS154" s="40"/>
      <c r="BT154" s="40"/>
      <c r="BU154" s="40"/>
      <c r="BV154" s="40"/>
      <c r="BW154" s="40"/>
      <c r="BX154" s="40"/>
      <c r="BY154" s="40"/>
      <c r="BZ154" s="40"/>
      <c r="CA154" s="40"/>
      <c r="CB154" s="40"/>
      <c r="CC154" s="40"/>
      <c r="CD154" s="40"/>
      <c r="CE154" s="40"/>
      <c r="CF154" s="40"/>
      <c r="CG154" s="40"/>
      <c r="CH154" s="40"/>
      <c r="CI154" s="40"/>
      <c r="CJ154" s="40"/>
      <c r="CK154" s="40"/>
      <c r="CL154" s="40"/>
      <c r="CM154" s="40"/>
      <c r="CN154" s="40"/>
      <c r="CO154" s="40"/>
      <c r="CP154" s="40"/>
      <c r="CQ154" s="40"/>
      <c r="CR154" s="40"/>
      <c r="CS154" s="40"/>
      <c r="CT154" s="40"/>
      <c r="CU154" s="40"/>
      <c r="CV154" s="40"/>
      <c r="CW154" s="40"/>
      <c r="CX154" s="19"/>
      <c r="CY154" s="19"/>
      <c r="CZ154" s="19"/>
      <c r="DA154" s="19"/>
      <c r="DB154" s="19"/>
      <c r="DC154" s="19"/>
      <c r="DD154" s="19"/>
      <c r="DE154" s="19"/>
      <c r="DF154" s="19"/>
      <c r="DG154" s="19"/>
      <c r="DH154" s="19"/>
      <c r="DI154" s="19"/>
      <c r="DJ154" s="19"/>
      <c r="DK154" s="19"/>
      <c r="DL154" s="19"/>
      <c r="DM154" s="19"/>
      <c r="DN154" s="19"/>
      <c r="DO154" s="19"/>
      <c r="DP154" s="19"/>
      <c r="DQ154" s="19"/>
      <c r="DR154" s="19"/>
      <c r="DS154" s="19"/>
      <c r="DT154" s="19"/>
      <c r="DU154" s="19"/>
      <c r="DV154" s="19"/>
      <c r="DW154" s="19"/>
      <c r="DX154" s="19"/>
      <c r="DY154" s="19"/>
      <c r="DZ154" s="19"/>
      <c r="EA154" s="19"/>
    </row>
    <row r="155" spans="1:131">
      <c r="A155" s="19" t="s">
        <v>523</v>
      </c>
      <c r="B155" s="19"/>
      <c r="C155" s="71">
        <v>9.8765949955951093</v>
      </c>
      <c r="D155" s="71">
        <v>35</v>
      </c>
      <c r="E155" s="71">
        <v>7</v>
      </c>
      <c r="F155" s="71">
        <v>42</v>
      </c>
      <c r="G155" s="71">
        <v>36.417075484407398</v>
      </c>
      <c r="H155" s="71">
        <v>11.191023242906409</v>
      </c>
      <c r="I155" s="71">
        <v>37251.704677987676</v>
      </c>
      <c r="J155" s="71">
        <v>144.13302102573857</v>
      </c>
      <c r="K155" s="71">
        <v>227.99031677741331</v>
      </c>
      <c r="L155" s="368">
        <v>0.30730153627240164</v>
      </c>
      <c r="M155" s="71">
        <v>9.3828813455615237E-2</v>
      </c>
      <c r="N155" s="71">
        <v>7.5359695257988402E-3</v>
      </c>
      <c r="O155" s="71">
        <v>1.4400964483365017</v>
      </c>
      <c r="P155" s="71">
        <v>1.0317835917120159</v>
      </c>
      <c r="Q155" s="71">
        <v>0.74740394618384132</v>
      </c>
      <c r="R155" s="71">
        <v>0.72996541357262268</v>
      </c>
      <c r="S155" s="71">
        <v>0.25599481854568512</v>
      </c>
      <c r="T155" s="71">
        <v>0.13083413101404298</v>
      </c>
      <c r="U155" s="71">
        <v>5.6935913374599377E-2</v>
      </c>
      <c r="V155" s="71">
        <v>5.9107141102318211E-2</v>
      </c>
      <c r="W155" s="71">
        <v>0.1260826910875594</v>
      </c>
      <c r="X155" s="71">
        <v>0.51241129667370133</v>
      </c>
      <c r="Y155" s="71">
        <v>0.82408171703415667</v>
      </c>
      <c r="Z155" s="71">
        <v>1.8983079451838405</v>
      </c>
      <c r="AA155" s="71"/>
      <c r="AB155" s="71">
        <v>0.41826428756255668</v>
      </c>
      <c r="AC155" s="71">
        <v>0.27948216525314051</v>
      </c>
      <c r="AD155" s="71">
        <v>0.16151966599190265</v>
      </c>
      <c r="AE155" s="71">
        <v>0.15406149944985476</v>
      </c>
      <c r="AF155" s="71">
        <v>5.9001749722408917E-2</v>
      </c>
      <c r="AG155" s="71">
        <v>2.6749130696747999E-2</v>
      </c>
      <c r="AH155" s="71">
        <v>1.3427867583554645E-2</v>
      </c>
      <c r="AI155" s="71">
        <v>1.0476708603957897E-2</v>
      </c>
      <c r="AJ155" s="71">
        <v>3.4030267260976153E-2</v>
      </c>
      <c r="AK155" s="71">
        <v>9.6725557263595219E-2</v>
      </c>
      <c r="AL155" s="71">
        <v>0.25318583788053373</v>
      </c>
      <c r="AM155" s="40">
        <v>0.55666520450499457</v>
      </c>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40"/>
      <c r="BM155" s="40"/>
      <c r="BN155" s="40"/>
      <c r="BO155" s="40"/>
      <c r="BP155" s="40"/>
      <c r="BQ155" s="40"/>
      <c r="BR155" s="40"/>
      <c r="BS155" s="40"/>
      <c r="BT155" s="40"/>
      <c r="BU155" s="40"/>
      <c r="BV155" s="40"/>
      <c r="BW155" s="40"/>
      <c r="BX155" s="40"/>
      <c r="BY155" s="40"/>
      <c r="BZ155" s="40"/>
      <c r="CA155" s="40"/>
      <c r="CB155" s="40"/>
      <c r="CC155" s="40"/>
      <c r="CD155" s="40"/>
      <c r="CE155" s="40"/>
      <c r="CF155" s="40"/>
      <c r="CG155" s="40"/>
      <c r="CH155" s="40"/>
      <c r="CI155" s="40"/>
      <c r="CJ155" s="40"/>
      <c r="CK155" s="40"/>
      <c r="CL155" s="40"/>
      <c r="CM155" s="40"/>
      <c r="CN155" s="40"/>
      <c r="CO155" s="40"/>
      <c r="CP155" s="40"/>
      <c r="CQ155" s="40"/>
      <c r="CR155" s="40"/>
      <c r="CS155" s="40"/>
      <c r="CT155" s="40"/>
      <c r="CU155" s="40"/>
      <c r="CV155" s="40"/>
      <c r="CW155" s="40"/>
      <c r="CX155" s="19"/>
      <c r="CY155" s="19"/>
      <c r="CZ155" s="19"/>
      <c r="DA155" s="19"/>
      <c r="DB155" s="19"/>
      <c r="DC155" s="19"/>
      <c r="DD155" s="19"/>
      <c r="DE155" s="19"/>
      <c r="DF155" s="19"/>
      <c r="DG155" s="19"/>
      <c r="DH155" s="19"/>
      <c r="DI155" s="19"/>
      <c r="DJ155" s="19"/>
      <c r="DK155" s="19"/>
      <c r="DL155" s="19"/>
      <c r="DM155" s="19"/>
      <c r="DN155" s="19"/>
      <c r="DO155" s="19"/>
      <c r="DP155" s="19"/>
      <c r="DQ155" s="19"/>
      <c r="DR155" s="19"/>
      <c r="DS155" s="19"/>
      <c r="DT155" s="19"/>
      <c r="DU155" s="19"/>
      <c r="DV155" s="19"/>
      <c r="DW155" s="19"/>
      <c r="DX155" s="19"/>
      <c r="DY155" s="19"/>
      <c r="DZ155" s="19"/>
      <c r="EA155" s="19"/>
    </row>
    <row r="156" spans="1:131">
      <c r="A156" s="19" t="s">
        <v>524</v>
      </c>
      <c r="B156" s="19"/>
      <c r="C156" s="71">
        <v>6.9396479279573011</v>
      </c>
      <c r="D156" s="71">
        <v>35</v>
      </c>
      <c r="E156" s="71">
        <v>7</v>
      </c>
      <c r="F156" s="71">
        <v>42</v>
      </c>
      <c r="G156" s="71">
        <v>36.417075484407398</v>
      </c>
      <c r="H156" s="71">
        <v>10.321142386698043</v>
      </c>
      <c r="I156" s="71">
        <v>53017.098823959786</v>
      </c>
      <c r="J156" s="71">
        <v>258.48601078409325</v>
      </c>
      <c r="K156" s="71">
        <v>314.57849624614124</v>
      </c>
      <c r="L156" s="368">
        <v>0.28341491592638235</v>
      </c>
      <c r="M156" s="71">
        <v>0.17165210118460617</v>
      </c>
      <c r="N156" s="71">
        <v>1.0146089834325981E-3</v>
      </c>
      <c r="O156" s="71">
        <v>0.37964753222428926</v>
      </c>
      <c r="P156" s="71">
        <v>0.3502275631526432</v>
      </c>
      <c r="Q156" s="71">
        <v>0.40374535905974479</v>
      </c>
      <c r="R156" s="71">
        <v>0.37848837840808375</v>
      </c>
      <c r="S156" s="71">
        <v>0.39942522339121944</v>
      </c>
      <c r="T156" s="71">
        <v>0.41386393940371369</v>
      </c>
      <c r="U156" s="71">
        <v>0.40833081232972257</v>
      </c>
      <c r="V156" s="71">
        <v>0.44796229572852547</v>
      </c>
      <c r="W156" s="71">
        <v>0.39153418348297431</v>
      </c>
      <c r="X156" s="71">
        <v>0.41867261228727898</v>
      </c>
      <c r="Y156" s="71">
        <v>0.35570745370937606</v>
      </c>
      <c r="Z156" s="71">
        <v>0.37021287179323631</v>
      </c>
      <c r="AA156" s="71"/>
      <c r="AB156" s="71">
        <v>0.20079258878162623</v>
      </c>
      <c r="AC156" s="71">
        <v>0.17300925106725248</v>
      </c>
      <c r="AD156" s="71">
        <v>0.16937763921525664</v>
      </c>
      <c r="AE156" s="71">
        <v>0.17703604604424925</v>
      </c>
      <c r="AF156" s="71">
        <v>0.18131921221011352</v>
      </c>
      <c r="AG156" s="71">
        <v>0.17383383255127102</v>
      </c>
      <c r="AH156" s="71">
        <v>0.20512033054613293</v>
      </c>
      <c r="AI156" s="71">
        <v>0.18522745636544577</v>
      </c>
      <c r="AJ156" s="71">
        <v>0.20204541269171264</v>
      </c>
      <c r="AK156" s="71">
        <v>0.17157987269940431</v>
      </c>
      <c r="AL156" s="71">
        <v>0.18443021232173712</v>
      </c>
      <c r="AM156" s="40">
        <v>0.1980578484922918</v>
      </c>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40"/>
      <c r="BM156" s="40"/>
      <c r="BN156" s="40"/>
      <c r="BO156" s="40"/>
      <c r="BP156" s="40"/>
      <c r="BQ156" s="40"/>
      <c r="BR156" s="40"/>
      <c r="BS156" s="40"/>
      <c r="BT156" s="40"/>
      <c r="BU156" s="40"/>
      <c r="BV156" s="40"/>
      <c r="BW156" s="40"/>
      <c r="BX156" s="40"/>
      <c r="BY156" s="40"/>
      <c r="BZ156" s="40"/>
      <c r="CA156" s="40"/>
      <c r="CB156" s="40"/>
      <c r="CC156" s="40"/>
      <c r="CD156" s="40"/>
      <c r="CE156" s="40"/>
      <c r="CF156" s="40"/>
      <c r="CG156" s="40"/>
      <c r="CH156" s="40"/>
      <c r="CI156" s="40"/>
      <c r="CJ156" s="40"/>
      <c r="CK156" s="40"/>
      <c r="CL156" s="40"/>
      <c r="CM156" s="40"/>
      <c r="CN156" s="40"/>
      <c r="CO156" s="40"/>
      <c r="CP156" s="40"/>
      <c r="CQ156" s="40"/>
      <c r="CR156" s="40"/>
      <c r="CS156" s="40"/>
      <c r="CT156" s="40"/>
      <c r="CU156" s="40"/>
      <c r="CV156" s="40"/>
      <c r="CW156" s="40"/>
      <c r="CX156" s="19"/>
      <c r="CY156" s="19"/>
      <c r="CZ156" s="19"/>
      <c r="DA156" s="19"/>
      <c r="DB156" s="19"/>
      <c r="DC156" s="19"/>
      <c r="DD156" s="19"/>
      <c r="DE156" s="19"/>
      <c r="DF156" s="19"/>
      <c r="DG156" s="19"/>
      <c r="DH156" s="19"/>
      <c r="DI156" s="19"/>
      <c r="DJ156" s="19"/>
      <c r="DK156" s="19"/>
      <c r="DL156" s="19"/>
      <c r="DM156" s="19"/>
      <c r="DN156" s="19"/>
      <c r="DO156" s="19"/>
      <c r="DP156" s="19"/>
      <c r="DQ156" s="19"/>
      <c r="DR156" s="19"/>
      <c r="DS156" s="19"/>
      <c r="DT156" s="19"/>
      <c r="DU156" s="19"/>
      <c r="DV156" s="19"/>
      <c r="DW156" s="19"/>
      <c r="DX156" s="19"/>
      <c r="DY156" s="19"/>
      <c r="DZ156" s="19"/>
      <c r="EA156" s="19"/>
    </row>
    <row r="157" spans="1:131">
      <c r="A157" s="19" t="s">
        <v>525</v>
      </c>
      <c r="B157" s="19"/>
      <c r="C157" s="71">
        <v>8.984482750943469</v>
      </c>
      <c r="D157" s="71">
        <v>35</v>
      </c>
      <c r="E157" s="71">
        <v>7</v>
      </c>
      <c r="F157" s="71">
        <v>42</v>
      </c>
      <c r="G157" s="71">
        <v>36.417075484407398</v>
      </c>
      <c r="H157" s="71">
        <v>8.2840820327088007</v>
      </c>
      <c r="I157" s="71">
        <v>40950.604525493065</v>
      </c>
      <c r="J157" s="71">
        <v>198.85330813140334</v>
      </c>
      <c r="K157" s="71">
        <v>268.78906565608219</v>
      </c>
      <c r="L157" s="368">
        <v>0.22747795978992805</v>
      </c>
      <c r="M157" s="71">
        <v>0.13349753853597157</v>
      </c>
      <c r="N157" s="71">
        <v>1.1415598038884904E-3</v>
      </c>
      <c r="O157" s="71">
        <v>0.22702294172543974</v>
      </c>
      <c r="P157" s="71">
        <v>0.25427860389882756</v>
      </c>
      <c r="Q157" s="71">
        <v>0.37548989628464996</v>
      </c>
      <c r="R157" s="71">
        <v>0.42596557141085051</v>
      </c>
      <c r="S157" s="71">
        <v>0.63119128010456604</v>
      </c>
      <c r="T157" s="71">
        <v>0.87213480140956967</v>
      </c>
      <c r="U157" s="71">
        <v>1.0131742808164927</v>
      </c>
      <c r="V157" s="71">
        <v>1.163015385549798</v>
      </c>
      <c r="W157" s="71">
        <v>0.9080908466208395</v>
      </c>
      <c r="X157" s="71">
        <v>0.66509360893827341</v>
      </c>
      <c r="Y157" s="71">
        <v>0.34758886773602027</v>
      </c>
      <c r="Z157" s="71">
        <v>0.22893951533012113</v>
      </c>
      <c r="AA157" s="71"/>
      <c r="AB157" s="71">
        <v>6.8205346747959264E-2</v>
      </c>
      <c r="AC157" s="71">
        <v>6.9358994377875322E-2</v>
      </c>
      <c r="AD157" s="71">
        <v>7.9780569345450081E-2</v>
      </c>
      <c r="AE157" s="71">
        <v>0.11122241325409701</v>
      </c>
      <c r="AF157" s="71">
        <v>0.16106688530817809</v>
      </c>
      <c r="AG157" s="71">
        <v>0.19675158440956769</v>
      </c>
      <c r="AH157" s="71">
        <v>0.30652606606893823</v>
      </c>
      <c r="AI157" s="71">
        <v>0.27520016558165361</v>
      </c>
      <c r="AJ157" s="71">
        <v>0.28677055390262957</v>
      </c>
      <c r="AK157" s="71">
        <v>0.14895760556329321</v>
      </c>
      <c r="AL157" s="71">
        <v>0.1007797371960774</v>
      </c>
      <c r="AM157" s="40">
        <v>6.7877229362297245E-2</v>
      </c>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c r="BL157" s="40"/>
      <c r="BM157" s="40"/>
      <c r="BN157" s="40"/>
      <c r="BO157" s="40"/>
      <c r="BP157" s="40"/>
      <c r="BQ157" s="40"/>
      <c r="BR157" s="40"/>
      <c r="BS157" s="40"/>
      <c r="BT157" s="40"/>
      <c r="BU157" s="40"/>
      <c r="BV157" s="40"/>
      <c r="BW157" s="40"/>
      <c r="BX157" s="40"/>
      <c r="BY157" s="40"/>
      <c r="BZ157" s="40"/>
      <c r="CA157" s="40"/>
      <c r="CB157" s="40"/>
      <c r="CC157" s="40"/>
      <c r="CD157" s="40"/>
      <c r="CE157" s="40"/>
      <c r="CF157" s="40"/>
      <c r="CG157" s="40"/>
      <c r="CH157" s="40"/>
      <c r="CI157" s="40"/>
      <c r="CJ157" s="40"/>
      <c r="CK157" s="40"/>
      <c r="CL157" s="40"/>
      <c r="CM157" s="40"/>
      <c r="CN157" s="40"/>
      <c r="CO157" s="40"/>
      <c r="CP157" s="40"/>
      <c r="CQ157" s="40"/>
      <c r="CR157" s="40"/>
      <c r="CS157" s="40"/>
      <c r="CT157" s="40"/>
      <c r="CU157" s="40"/>
      <c r="CV157" s="40"/>
      <c r="CW157" s="40"/>
      <c r="CX157" s="19"/>
      <c r="CY157" s="19"/>
      <c r="CZ157" s="19"/>
      <c r="DA157" s="19"/>
      <c r="DB157" s="19"/>
      <c r="DC157" s="19"/>
      <c r="DD157" s="19"/>
      <c r="DE157" s="19"/>
      <c r="DF157" s="19"/>
      <c r="DG157" s="19"/>
      <c r="DH157" s="19"/>
      <c r="DI157" s="19"/>
      <c r="DJ157" s="19"/>
      <c r="DK157" s="19"/>
      <c r="DL157" s="19"/>
      <c r="DM157" s="19"/>
      <c r="DN157" s="19"/>
      <c r="DO157" s="19"/>
      <c r="DP157" s="19"/>
      <c r="DQ157" s="19"/>
      <c r="DR157" s="19"/>
      <c r="DS157" s="19"/>
      <c r="DT157" s="19"/>
      <c r="DU157" s="19"/>
      <c r="DV157" s="19"/>
      <c r="DW157" s="19"/>
      <c r="DX157" s="19"/>
      <c r="DY157" s="19"/>
      <c r="DZ157" s="19"/>
      <c r="EA157" s="19"/>
    </row>
    <row r="158" spans="1:131">
      <c r="A158" s="19" t="s">
        <v>526</v>
      </c>
      <c r="B158" s="19"/>
      <c r="C158" s="71">
        <v>8.1209976752336903</v>
      </c>
      <c r="D158" s="71">
        <v>35</v>
      </c>
      <c r="E158" s="71">
        <v>7</v>
      </c>
      <c r="F158" s="71">
        <v>42</v>
      </c>
      <c r="G158" s="71">
        <v>36.417075484407398</v>
      </c>
      <c r="H158" s="71">
        <v>7.463620051844706</v>
      </c>
      <c r="I158" s="71">
        <v>45304.778392195847</v>
      </c>
      <c r="J158" s="71">
        <v>220.76391539719245</v>
      </c>
      <c r="K158" s="71">
        <v>300.72144798318516</v>
      </c>
      <c r="L158" s="368">
        <v>0.20494836426501037</v>
      </c>
      <c r="M158" s="71">
        <v>0.12023679323060449</v>
      </c>
      <c r="N158" s="71">
        <v>1.0318462142459056E-3</v>
      </c>
      <c r="O158" s="71">
        <v>0.20520410947234621</v>
      </c>
      <c r="P158" s="71">
        <v>0.22984027109487185</v>
      </c>
      <c r="Q158" s="71">
        <v>0.33940212912993423</v>
      </c>
      <c r="R158" s="71">
        <v>0.38502666330945395</v>
      </c>
      <c r="S158" s="71">
        <v>0.57052843891527116</v>
      </c>
      <c r="T158" s="71">
        <v>0.78831524207598491</v>
      </c>
      <c r="U158" s="71">
        <v>0.91579963000688891</v>
      </c>
      <c r="V158" s="71">
        <v>1.0512397323395286</v>
      </c>
      <c r="W158" s="71">
        <v>0.82081560605527537</v>
      </c>
      <c r="X158" s="71">
        <v>0.60117246609809749</v>
      </c>
      <c r="Y158" s="71">
        <v>0.31418262632035321</v>
      </c>
      <c r="Z158" s="71">
        <v>0.20693648408082296</v>
      </c>
      <c r="AA158" s="71"/>
      <c r="AB158" s="71">
        <v>6.16502338234797E-2</v>
      </c>
      <c r="AC158" s="71">
        <v>6.2693006121039438E-2</v>
      </c>
      <c r="AD158" s="71">
        <v>7.2112979249159784E-2</v>
      </c>
      <c r="AE158" s="71">
        <v>0.10053299499913369</v>
      </c>
      <c r="AF158" s="71">
        <v>0.14558699008103598</v>
      </c>
      <c r="AG158" s="71">
        <v>0.17784208661548781</v>
      </c>
      <c r="AH158" s="71">
        <v>0.27706630853990705</v>
      </c>
      <c r="AI158" s="71">
        <v>0.24875109306407722</v>
      </c>
      <c r="AJ158" s="71">
        <v>0.25920946882826135</v>
      </c>
      <c r="AK158" s="71">
        <v>0.1346415149342739</v>
      </c>
      <c r="AL158" s="71">
        <v>9.1093948774520442E-2</v>
      </c>
      <c r="AM158" s="40">
        <v>6.1353651304482129E-2</v>
      </c>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40"/>
      <c r="CI158" s="40"/>
      <c r="CJ158" s="40"/>
      <c r="CK158" s="40"/>
      <c r="CL158" s="40"/>
      <c r="CM158" s="40"/>
      <c r="CN158" s="40"/>
      <c r="CO158" s="40"/>
      <c r="CP158" s="40"/>
      <c r="CQ158" s="40"/>
      <c r="CR158" s="40"/>
      <c r="CS158" s="40"/>
      <c r="CT158" s="40"/>
      <c r="CU158" s="40"/>
      <c r="CV158" s="40"/>
      <c r="CW158" s="40"/>
      <c r="CX158" s="19"/>
      <c r="CY158" s="19"/>
      <c r="CZ158" s="19"/>
      <c r="DA158" s="19"/>
      <c r="DB158" s="19"/>
      <c r="DC158" s="19"/>
      <c r="DD158" s="19"/>
      <c r="DE158" s="19"/>
      <c r="DF158" s="19"/>
      <c r="DG158" s="19"/>
      <c r="DH158" s="19"/>
      <c r="DI158" s="19"/>
      <c r="DJ158" s="19"/>
      <c r="DK158" s="19"/>
      <c r="DL158" s="19"/>
      <c r="DM158" s="19"/>
      <c r="DN158" s="19"/>
      <c r="DO158" s="19"/>
      <c r="DP158" s="19"/>
      <c r="DQ158" s="19"/>
      <c r="DR158" s="19"/>
      <c r="DS158" s="19"/>
      <c r="DT158" s="19"/>
      <c r="DU158" s="19"/>
      <c r="DV158" s="19"/>
      <c r="DW158" s="19"/>
      <c r="DX158" s="19"/>
      <c r="DY158" s="19"/>
      <c r="DZ158" s="19"/>
      <c r="EA158" s="19"/>
    </row>
    <row r="159" spans="1:131">
      <c r="A159" s="19" t="s">
        <v>527</v>
      </c>
      <c r="B159" s="19"/>
      <c r="C159" s="71">
        <v>7.6883722283034297</v>
      </c>
      <c r="D159" s="71">
        <v>35</v>
      </c>
      <c r="E159" s="71">
        <v>7</v>
      </c>
      <c r="F159" s="71">
        <v>42</v>
      </c>
      <c r="G159" s="71">
        <v>36.417075484407398</v>
      </c>
      <c r="H159" s="71">
        <v>5.9881768571093517</v>
      </c>
      <c r="I159" s="71">
        <v>47854.082642560585</v>
      </c>
      <c r="J159" s="71">
        <v>233.59225113681387</v>
      </c>
      <c r="K159" s="71">
        <v>329.60399444935678</v>
      </c>
      <c r="L159" s="368">
        <v>0.16443321649134876</v>
      </c>
      <c r="M159" s="71">
        <v>9.4729736556574226E-2</v>
      </c>
      <c r="N159" s="71">
        <v>9.7687723784011123E-4</v>
      </c>
      <c r="O159" s="71">
        <v>0.19427238370136879</v>
      </c>
      <c r="P159" s="71">
        <v>0.21759611662254222</v>
      </c>
      <c r="Q159" s="71">
        <v>0.32132134599515833</v>
      </c>
      <c r="R159" s="71">
        <v>0.36451534943452096</v>
      </c>
      <c r="S159" s="71">
        <v>0.54013499087564465</v>
      </c>
      <c r="T159" s="71">
        <v>0.74631975733829903</v>
      </c>
      <c r="U159" s="71">
        <v>0.86701273951945923</v>
      </c>
      <c r="V159" s="71">
        <v>0.99523761570043612</v>
      </c>
      <c r="W159" s="71">
        <v>0.77708874728520716</v>
      </c>
      <c r="X159" s="71">
        <v>0.56914653563625039</v>
      </c>
      <c r="Y159" s="71">
        <v>0.29744534790146065</v>
      </c>
      <c r="Z159" s="71">
        <v>0.19591247046921131</v>
      </c>
      <c r="AA159" s="71"/>
      <c r="AB159" s="71">
        <v>5.8365974791787463E-2</v>
      </c>
      <c r="AC159" s="71">
        <v>5.9353196053708548E-2</v>
      </c>
      <c r="AD159" s="71">
        <v>6.8271344129341507E-2</v>
      </c>
      <c r="AE159" s="71">
        <v>9.5177355996135665E-2</v>
      </c>
      <c r="AF159" s="71">
        <v>0.13783121435373571</v>
      </c>
      <c r="AG159" s="71">
        <v>0.16836800285362766</v>
      </c>
      <c r="AH159" s="71">
        <v>0.26230630732393018</v>
      </c>
      <c r="AI159" s="71">
        <v>0.23549951276385994</v>
      </c>
      <c r="AJ159" s="71">
        <v>0.24540074522249389</v>
      </c>
      <c r="AK159" s="71">
        <v>0.12746883149028665</v>
      </c>
      <c r="AL159" s="71">
        <v>8.6241150894599231E-2</v>
      </c>
      <c r="AM159" s="40">
        <v>5.8085191950362054E-2</v>
      </c>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40"/>
      <c r="CI159" s="40"/>
      <c r="CJ159" s="40"/>
      <c r="CK159" s="40"/>
      <c r="CL159" s="40"/>
      <c r="CM159" s="40"/>
      <c r="CN159" s="40"/>
      <c r="CO159" s="40"/>
      <c r="CP159" s="40"/>
      <c r="CQ159" s="40"/>
      <c r="CR159" s="40"/>
      <c r="CS159" s="40"/>
      <c r="CT159" s="40"/>
      <c r="CU159" s="40"/>
      <c r="CV159" s="40"/>
      <c r="CW159" s="40"/>
      <c r="CX159" s="19"/>
      <c r="CY159" s="19"/>
      <c r="CZ159" s="19"/>
      <c r="DA159" s="19"/>
      <c r="DB159" s="19"/>
      <c r="DC159" s="19"/>
      <c r="DD159" s="19"/>
      <c r="DE159" s="19"/>
      <c r="DF159" s="19"/>
      <c r="DG159" s="19"/>
      <c r="DH159" s="19"/>
      <c r="DI159" s="19"/>
      <c r="DJ159" s="19"/>
      <c r="DK159" s="19"/>
      <c r="DL159" s="19"/>
      <c r="DM159" s="19"/>
      <c r="DN159" s="19"/>
      <c r="DO159" s="19"/>
      <c r="DP159" s="19"/>
      <c r="DQ159" s="19"/>
      <c r="DR159" s="19"/>
      <c r="DS159" s="19"/>
      <c r="DT159" s="19"/>
      <c r="DU159" s="19"/>
      <c r="DV159" s="19"/>
      <c r="DW159" s="19"/>
      <c r="DX159" s="19"/>
      <c r="DY159" s="19"/>
      <c r="DZ159" s="19"/>
      <c r="EA159" s="19"/>
    </row>
    <row r="160" spans="1:131">
      <c r="A160" s="19"/>
      <c r="B160" s="19"/>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40"/>
      <c r="BM160" s="40"/>
      <c r="BN160" s="40"/>
      <c r="BO160" s="40"/>
      <c r="BP160" s="40"/>
      <c r="BQ160" s="40"/>
      <c r="BR160" s="40"/>
      <c r="BS160" s="40"/>
      <c r="BT160" s="40"/>
      <c r="BU160" s="40"/>
      <c r="BV160" s="40"/>
      <c r="BW160" s="40"/>
      <c r="BX160" s="40"/>
      <c r="BY160" s="40"/>
      <c r="BZ160" s="40"/>
      <c r="CA160" s="40"/>
      <c r="CB160" s="40"/>
      <c r="CC160" s="40"/>
      <c r="CD160" s="40"/>
      <c r="CE160" s="40"/>
      <c r="CF160" s="40"/>
      <c r="CG160" s="40"/>
      <c r="CH160" s="40"/>
      <c r="CI160" s="40"/>
      <c r="CJ160" s="40"/>
      <c r="CK160" s="40"/>
      <c r="CL160" s="40"/>
      <c r="CM160" s="40"/>
      <c r="CN160" s="40"/>
      <c r="CO160" s="40"/>
      <c r="CP160" s="40"/>
      <c r="CQ160" s="40"/>
      <c r="CR160" s="40"/>
      <c r="CS160" s="40"/>
      <c r="CT160" s="40"/>
      <c r="CU160" s="40"/>
      <c r="CV160" s="40"/>
      <c r="CW160" s="40"/>
      <c r="CX160" s="19"/>
      <c r="CY160" s="19"/>
      <c r="CZ160" s="19"/>
      <c r="DA160" s="19"/>
      <c r="DB160" s="19"/>
      <c r="DC160" s="19"/>
      <c r="DD160" s="19"/>
      <c r="DE160" s="19"/>
      <c r="DF160" s="19"/>
      <c r="DG160" s="19"/>
      <c r="DH160" s="19"/>
      <c r="DI160" s="19"/>
      <c r="DJ160" s="19"/>
      <c r="DK160" s="19"/>
      <c r="DL160" s="19"/>
      <c r="DM160" s="19"/>
      <c r="DN160" s="19"/>
      <c r="DO160" s="19"/>
      <c r="DP160" s="19"/>
      <c r="DQ160" s="19"/>
      <c r="DR160" s="19"/>
      <c r="DS160" s="19"/>
      <c r="DT160" s="19"/>
      <c r="DU160" s="19"/>
      <c r="DV160" s="19"/>
      <c r="DW160" s="19"/>
      <c r="DX160" s="19"/>
      <c r="DY160" s="19"/>
      <c r="DZ160" s="19"/>
      <c r="EA160" s="19"/>
    </row>
  </sheetData>
  <mergeCells count="3">
    <mergeCell ref="I6:N6"/>
    <mergeCell ref="O6:P6"/>
    <mergeCell ref="R6:T6"/>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dimension ref="B2:V26"/>
  <sheetViews>
    <sheetView topLeftCell="E1" workbookViewId="0">
      <selection activeCell="K6" sqref="K6:K26"/>
    </sheetView>
  </sheetViews>
  <sheetFormatPr defaultRowHeight="15"/>
  <cols>
    <col min="1" max="1" width="9.140625" style="231"/>
    <col min="2" max="2" width="69.85546875" style="231" customWidth="1"/>
    <col min="3" max="3" width="74.140625" style="231" customWidth="1"/>
    <col min="4" max="4" width="51.140625" style="231" customWidth="1"/>
    <col min="5" max="6" width="11.42578125" style="231" customWidth="1"/>
    <col min="7" max="7" width="9.140625" style="231"/>
    <col min="8" max="8" width="14.140625" style="231" customWidth="1"/>
    <col min="9" max="9" width="17.28515625" style="231" customWidth="1"/>
    <col min="10" max="10" width="39.140625" style="231" customWidth="1"/>
    <col min="11" max="11" width="25.7109375" style="231" customWidth="1"/>
    <col min="12" max="12" width="9.140625" style="231"/>
    <col min="13" max="14" width="11.140625" style="231" customWidth="1"/>
    <col min="15" max="16" width="9.140625" style="231"/>
    <col min="17" max="17" width="32.7109375" style="231" customWidth="1"/>
    <col min="18" max="18" width="34.85546875" style="231" customWidth="1"/>
    <col min="19" max="20" width="10.85546875" style="231" customWidth="1"/>
    <col min="21" max="21" width="10.28515625" style="231" customWidth="1"/>
    <col min="22" max="22" width="9.42578125" style="231" customWidth="1"/>
    <col min="23" max="23" width="16.5703125" style="231" customWidth="1"/>
    <col min="24" max="16384" width="9.140625" style="231"/>
  </cols>
  <sheetData>
    <row r="2" spans="2:22">
      <c r="C2" s="231" t="s">
        <v>487</v>
      </c>
      <c r="J2" s="322" t="s">
        <v>482</v>
      </c>
      <c r="K2" s="322"/>
    </row>
    <row r="5" spans="2:22" ht="30">
      <c r="B5" s="342" t="s">
        <v>486</v>
      </c>
      <c r="C5" s="342" t="s">
        <v>23</v>
      </c>
      <c r="D5" s="342" t="s">
        <v>392</v>
      </c>
      <c r="E5" s="342" t="s">
        <v>393</v>
      </c>
      <c r="F5" s="342" t="s">
        <v>394</v>
      </c>
      <c r="G5" s="342" t="s">
        <v>395</v>
      </c>
      <c r="H5" s="342" t="s">
        <v>483</v>
      </c>
      <c r="I5" s="342" t="s">
        <v>456</v>
      </c>
      <c r="J5" s="342" t="s">
        <v>457</v>
      </c>
      <c r="K5" s="342" t="s">
        <v>749</v>
      </c>
      <c r="L5" s="342" t="s">
        <v>472</v>
      </c>
      <c r="M5" s="342" t="s">
        <v>745</v>
      </c>
      <c r="N5" s="342" t="s">
        <v>713</v>
      </c>
      <c r="O5" s="342" t="s">
        <v>488</v>
      </c>
      <c r="P5" s="342" t="s">
        <v>371</v>
      </c>
      <c r="Q5" s="342" t="s">
        <v>492</v>
      </c>
      <c r="R5" s="230" t="s">
        <v>493</v>
      </c>
      <c r="S5" s="342" t="s">
        <v>714</v>
      </c>
      <c r="T5" s="342" t="s">
        <v>715</v>
      </c>
      <c r="U5" s="342" t="s">
        <v>741</v>
      </c>
      <c r="V5" s="342" t="s">
        <v>716</v>
      </c>
    </row>
    <row r="6" spans="2:22">
      <c r="B6" s="231" t="str">
        <f>C6</f>
        <v>SGSWindow-Small Office (AC with Gas Furnace)-Portland</v>
      </c>
      <c r="C6" s="231" t="str">
        <f>CONCATENATE($C$2,"-",D6,"-",E6)</f>
        <v>SGSWindow-Small Office (AC with Gas Furnace)-Portland</v>
      </c>
      <c r="D6" s="231" t="str">
        <f>'Energy Savings SmOff_Gas'!$A$1</f>
        <v>Small Office (AC with Gas Furnace)</v>
      </c>
      <c r="E6" s="231" t="s">
        <v>396</v>
      </c>
      <c r="F6" s="232">
        <f>VLOOKUP($E6,Small_Office__AC_with_Gas_Furnace,MATCH(F$5,'Energy Savings SmOff_Gas'!$K$4:$V$4,0),FALSE)</f>
        <v>0.18353909465020579</v>
      </c>
      <c r="G6" s="233">
        <f>VLOOKUP($E6,Small_Office__AC_with_Gas_Furnace,MATCH(H6,'Energy Savings SmOff_Gas'!$K$4:$V$4,0),FALSE)</f>
        <v>7.1670781893004101</v>
      </c>
      <c r="H6" s="357" t="s">
        <v>395</v>
      </c>
      <c r="I6" s="231" t="str">
        <f>LEFT(D6,12)</f>
        <v>Small Office</v>
      </c>
      <c r="J6" s="231" t="str">
        <f>RIGHT(D6,LEN(D6)-13)</f>
        <v>(AC with Gas Furnace)</v>
      </c>
      <c r="K6" s="231" t="str">
        <f>CONCATENATE($C$2,"-",J6)</f>
        <v>SGSWindow-(AC with Gas Furnace)</v>
      </c>
      <c r="L6" s="356">
        <f>VLOOKUP(E6,'CBSA Data'!$AE$30:$AI$32,4,FALSE)</f>
        <v>0.78745238715647869</v>
      </c>
      <c r="M6" s="356">
        <f>INDEX(Single_Glaze_by_System_Type,MATCH(I6,'CBSA Window by Size'!$Z$40:$Z$43,0),MATCH(MMap!J6,'CBSA Window by Size'!$Z$40:$AE$40,0))</f>
        <v>0.39209783571476819</v>
      </c>
      <c r="N6" s="398">
        <f>L6*M6</f>
        <v>0.30875837673248302</v>
      </c>
      <c r="O6" s="231">
        <v>30</v>
      </c>
      <c r="P6" s="360">
        <f>'Cost Data'!$C$9</f>
        <v>35</v>
      </c>
      <c r="Q6" s="231" t="s">
        <v>490</v>
      </c>
      <c r="R6" s="231" t="s">
        <v>494</v>
      </c>
      <c r="S6" s="430">
        <f>'CBSA Data'!$M$54</f>
        <v>0.75904546894898162</v>
      </c>
      <c r="T6" s="430">
        <f>'CBSA Data'!$X$19</f>
        <v>0.84993247112714732</v>
      </c>
      <c r="U6" s="430">
        <v>0.8</v>
      </c>
      <c r="V6" s="430">
        <f>S6*T6*U6</f>
        <v>0.51610991289733787</v>
      </c>
    </row>
    <row r="7" spans="2:22">
      <c r="B7" s="231" t="str">
        <f t="shared" ref="B7:B26" si="0">C7</f>
        <v>SGSWindow-Small Office (AC with Gas Furnace)-Spokane</v>
      </c>
      <c r="C7" s="231" t="str">
        <f t="shared" ref="C7:C26" si="1">CONCATENATE($C$2,"-",D7,"-",E7)</f>
        <v>SGSWindow-Small Office (AC with Gas Furnace)-Spokane</v>
      </c>
      <c r="D7" s="231" t="str">
        <f>'Energy Savings SmOff_Gas'!$A$1</f>
        <v>Small Office (AC with Gas Furnace)</v>
      </c>
      <c r="E7" s="231" t="s">
        <v>397</v>
      </c>
      <c r="F7" s="232">
        <f>VLOOKUP($E7,Small_Office__AC_with_Gas_Furnace,MATCH(F$5,'Energy Savings SmOff_Gas'!$K$4:$V$4,0),FALSE)</f>
        <v>0.40740740740740744</v>
      </c>
      <c r="G7" s="233">
        <f>VLOOKUP($E7,Small_Office__AC_with_Gas_Furnace,MATCH(H7,'Energy Savings SmOff_Gas'!$K$4:$V$4,0),FALSE)</f>
        <v>8.3753086419753089</v>
      </c>
      <c r="H7" s="357" t="s">
        <v>395</v>
      </c>
      <c r="I7" s="231" t="str">
        <f t="shared" ref="I7:I11" si="2">LEFT(D7,12)</f>
        <v>Small Office</v>
      </c>
      <c r="J7" s="231" t="str">
        <f t="shared" ref="J7:J11" si="3">RIGHT(D7,LEN(D7)-13)</f>
        <v>(AC with Gas Furnace)</v>
      </c>
      <c r="K7" s="231" t="str">
        <f t="shared" ref="K7:K26" si="4">CONCATENATE($C$2,"-",J7)</f>
        <v>SGSWindow-(AC with Gas Furnace)</v>
      </c>
      <c r="L7" s="356">
        <f>VLOOKUP(E7,'CBSA Data'!$AE$30:$AI$32,4,FALSE)</f>
        <v>0.17817348209185718</v>
      </c>
      <c r="M7" s="356">
        <f>INDEX(Single_Glaze_by_System_Type,MATCH(I7,'CBSA Window by Size'!$Z$40:$Z$43,0),MATCH(MMap!J7,'CBSA Window by Size'!$Z$40:$AE$40,0))</f>
        <v>0.39209783571476819</v>
      </c>
      <c r="N7" s="398">
        <f t="shared" ref="N7:N26" si="5">L7*M7</f>
        <v>6.9861436709981212E-2</v>
      </c>
      <c r="O7" s="231">
        <v>30</v>
      </c>
      <c r="P7" s="360">
        <f>'Cost Data'!$C$9</f>
        <v>35</v>
      </c>
      <c r="Q7" s="231" t="s">
        <v>490</v>
      </c>
      <c r="R7" s="231" t="s">
        <v>494</v>
      </c>
      <c r="S7" s="430">
        <f>'CBSA Data'!$M$54</f>
        <v>0.75904546894898162</v>
      </c>
      <c r="T7" s="430">
        <f>'CBSA Data'!$X$19</f>
        <v>0.84993247112714732</v>
      </c>
      <c r="U7" s="430">
        <v>0.8</v>
      </c>
      <c r="V7" s="430">
        <f t="shared" ref="V7:V26" si="6">S7*T7*U7</f>
        <v>0.51610991289733787</v>
      </c>
    </row>
    <row r="8" spans="2:22">
      <c r="B8" s="231" t="str">
        <f t="shared" si="0"/>
        <v>SGSWindow-Small Office (AC with Gas Furnace)-Missoula</v>
      </c>
      <c r="C8" s="231" t="str">
        <f t="shared" si="1"/>
        <v>SGSWindow-Small Office (AC with Gas Furnace)-Missoula</v>
      </c>
      <c r="D8" s="231" t="str">
        <f>'Energy Savings SmOff_Gas'!$A$1</f>
        <v>Small Office (AC with Gas Furnace)</v>
      </c>
      <c r="E8" s="231" t="s">
        <v>398</v>
      </c>
      <c r="F8" s="232">
        <f>VLOOKUP($E8,Small_Office__AC_with_Gas_Furnace,MATCH(F$5,'Energy Savings SmOff_Gas'!$K$4:$V$4,0),FALSE)</f>
        <v>0.3646090534979427</v>
      </c>
      <c r="G8" s="233">
        <f>VLOOKUP($E8,Small_Office__AC_with_Gas_Furnace,MATCH(H8,'Energy Savings SmOff_Gas'!$K$4:$V$4,0),FALSE)</f>
        <v>7.5703703703703713</v>
      </c>
      <c r="H8" s="357" t="s">
        <v>395</v>
      </c>
      <c r="I8" s="231" t="str">
        <f t="shared" si="2"/>
        <v>Small Office</v>
      </c>
      <c r="J8" s="231" t="str">
        <f t="shared" si="3"/>
        <v>(AC with Gas Furnace)</v>
      </c>
      <c r="K8" s="231" t="str">
        <f t="shared" si="4"/>
        <v>SGSWindow-(AC with Gas Furnace)</v>
      </c>
      <c r="L8" s="356">
        <f>VLOOKUP(E8,'CBSA Data'!$AE$30:$AI$32,4,FALSE)</f>
        <v>3.4374130751664171E-2</v>
      </c>
      <c r="M8" s="356">
        <f>INDEX(Single_Glaze_by_System_Type,MATCH(I8,'CBSA Window by Size'!$Z$40:$Z$43,0),MATCH(MMap!J8,'CBSA Window by Size'!$Z$40:$AE$40,0))</f>
        <v>0.39209783571476819</v>
      </c>
      <c r="N8" s="398">
        <f t="shared" si="5"/>
        <v>1.3478022272303979E-2</v>
      </c>
      <c r="O8" s="231">
        <v>30</v>
      </c>
      <c r="P8" s="360">
        <f>'Cost Data'!$C$9</f>
        <v>35</v>
      </c>
      <c r="Q8" s="231" t="s">
        <v>490</v>
      </c>
      <c r="R8" s="231" t="s">
        <v>494</v>
      </c>
      <c r="S8" s="430">
        <f>'CBSA Data'!$M$54</f>
        <v>0.75904546894898162</v>
      </c>
      <c r="T8" s="430">
        <f>'CBSA Data'!$X$19</f>
        <v>0.84993247112714732</v>
      </c>
      <c r="U8" s="430">
        <v>0.8</v>
      </c>
      <c r="V8" s="430">
        <f t="shared" si="6"/>
        <v>0.51610991289733787</v>
      </c>
    </row>
    <row r="9" spans="2:22">
      <c r="B9" s="231" t="str">
        <f t="shared" si="0"/>
        <v>SGSWindow-Small Office (Air-source Heat Pump)-Portland</v>
      </c>
      <c r="C9" s="231" t="str">
        <f t="shared" si="1"/>
        <v>SGSWindow-Small Office (Air-source Heat Pump)-Portland</v>
      </c>
      <c r="D9" s="231" t="str">
        <f>'Energy Savings SmOff_HP'!$A$1</f>
        <v>Small Office (Air-source Heat Pump)</v>
      </c>
      <c r="E9" s="231" t="s">
        <v>396</v>
      </c>
      <c r="F9" s="233">
        <f>VLOOKUP($E9,Small_Office__Air_source_Heat_Pump,MATCH(F$5,'Energy Savings SmOff_Gas'!$K$4:$V$4,0),FALSE)</f>
        <v>0</v>
      </c>
      <c r="G9" s="233">
        <f>VLOOKUP($E9,Small_Office__Air_source_Heat_Pump,MATCH(H9,'Energy Savings SmOff_Gas'!$K$4:$V$4,0),FALSE)</f>
        <v>9.1407407407407426</v>
      </c>
      <c r="H9" s="357" t="s">
        <v>395</v>
      </c>
      <c r="I9" s="231" t="str">
        <f t="shared" si="2"/>
        <v>Small Office</v>
      </c>
      <c r="J9" s="231" t="str">
        <f t="shared" si="3"/>
        <v>(Air-source Heat Pump)</v>
      </c>
      <c r="K9" s="231" t="str">
        <f t="shared" si="4"/>
        <v>SGSWindow-(Air-source Heat Pump)</v>
      </c>
      <c r="L9" s="356">
        <f>VLOOKUP(E9,'CBSA Data'!$AE$30:$AI$32,4,FALSE)</f>
        <v>0.78745238715647869</v>
      </c>
      <c r="M9" s="356">
        <f>INDEX(Single_Glaze_by_System_Type,MATCH(I9,'CBSA Window by Size'!$Z$40:$Z$43,0),MATCH(MMap!J9,'CBSA Window by Size'!$Z$40:$AE$40,0))</f>
        <v>0.19191886881983269</v>
      </c>
      <c r="N9" s="398">
        <f t="shared" si="5"/>
        <v>0.15112697139254835</v>
      </c>
      <c r="O9" s="231">
        <v>30</v>
      </c>
      <c r="P9" s="360">
        <f>'Cost Data'!$C$9</f>
        <v>35</v>
      </c>
      <c r="Q9" s="231" t="s">
        <v>489</v>
      </c>
      <c r="R9" s="231" t="s">
        <v>494</v>
      </c>
      <c r="S9" s="430">
        <f>'CBSA Data'!$M$54</f>
        <v>0.75904546894898162</v>
      </c>
      <c r="T9" s="430">
        <f>'CBSA Data'!$X$19</f>
        <v>0.84993247112714732</v>
      </c>
      <c r="U9" s="430">
        <v>0.8</v>
      </c>
      <c r="V9" s="430">
        <f t="shared" si="6"/>
        <v>0.51610991289733787</v>
      </c>
    </row>
    <row r="10" spans="2:22">
      <c r="B10" s="231" t="str">
        <f t="shared" si="0"/>
        <v>SGSWindow-Small Office (Air-source Heat Pump)-Spokane</v>
      </c>
      <c r="C10" s="231" t="str">
        <f t="shared" si="1"/>
        <v>SGSWindow-Small Office (Air-source Heat Pump)-Spokane</v>
      </c>
      <c r="D10" s="231" t="str">
        <f>'Energy Savings SmOff_HP'!$A$1</f>
        <v>Small Office (Air-source Heat Pump)</v>
      </c>
      <c r="E10" s="231" t="s">
        <v>397</v>
      </c>
      <c r="F10" s="233">
        <f>VLOOKUP($E10,Small_Office__Air_source_Heat_Pump,MATCH(F$5,'Energy Savings SmOff_Gas'!$K$4:$V$4,0),FALSE)</f>
        <v>0</v>
      </c>
      <c r="G10" s="233">
        <f>VLOOKUP($E10,Small_Office__Air_source_Heat_Pump,MATCH(H10,'Energy Savings SmOff_Gas'!$K$4:$V$4,0),FALSE)</f>
        <v>12.393415637860082</v>
      </c>
      <c r="H10" s="357" t="s">
        <v>395</v>
      </c>
      <c r="I10" s="231" t="str">
        <f t="shared" si="2"/>
        <v>Small Office</v>
      </c>
      <c r="J10" s="231" t="str">
        <f t="shared" si="3"/>
        <v>(Air-source Heat Pump)</v>
      </c>
      <c r="K10" s="231" t="str">
        <f t="shared" si="4"/>
        <v>SGSWindow-(Air-source Heat Pump)</v>
      </c>
      <c r="L10" s="356">
        <f>VLOOKUP(E10,'CBSA Data'!$AE$30:$AI$32,4,FALSE)</f>
        <v>0.17817348209185718</v>
      </c>
      <c r="M10" s="356">
        <f>INDEX(Single_Glaze_by_System_Type,MATCH(I10,'CBSA Window by Size'!$Z$40:$Z$43,0),MATCH(MMap!J10,'CBSA Window by Size'!$Z$40:$AE$40,0))</f>
        <v>0.19191886881983269</v>
      </c>
      <c r="N10" s="398">
        <f t="shared" si="5"/>
        <v>3.4194853136759948E-2</v>
      </c>
      <c r="O10" s="231">
        <v>30</v>
      </c>
      <c r="P10" s="360">
        <f>'Cost Data'!$C$9</f>
        <v>35</v>
      </c>
      <c r="Q10" s="231" t="s">
        <v>489</v>
      </c>
      <c r="R10" s="231" t="s">
        <v>494</v>
      </c>
      <c r="S10" s="430">
        <f>'CBSA Data'!$M$54</f>
        <v>0.75904546894898162</v>
      </c>
      <c r="T10" s="430">
        <f>'CBSA Data'!$X$19</f>
        <v>0.84993247112714732</v>
      </c>
      <c r="U10" s="430">
        <v>0.8</v>
      </c>
      <c r="V10" s="430">
        <f t="shared" si="6"/>
        <v>0.51610991289733787</v>
      </c>
    </row>
    <row r="11" spans="2:22">
      <c r="B11" s="231" t="str">
        <f t="shared" si="0"/>
        <v>SGSWindow-Small Office (Air-source Heat Pump)-Missoula</v>
      </c>
      <c r="C11" s="231" t="str">
        <f t="shared" si="1"/>
        <v>SGSWindow-Small Office (Air-source Heat Pump)-Missoula</v>
      </c>
      <c r="D11" s="231" t="str">
        <f>'Energy Savings SmOff_HP'!$A$1</f>
        <v>Small Office (Air-source Heat Pump)</v>
      </c>
      <c r="E11" s="231" t="s">
        <v>398</v>
      </c>
      <c r="F11" s="233">
        <f>VLOOKUP($E11,Small_Office__Air_source_Heat_Pump,MATCH(F$5,'Energy Savings SmOff_Gas'!$K$4:$V$4,0),FALSE)</f>
        <v>0</v>
      </c>
      <c r="G11" s="233">
        <f>VLOOKUP($E11,Small_Office__Air_source_Heat_Pump,MATCH(H11,'Energy Savings SmOff_Gas'!$K$4:$V$4,0),FALSE)</f>
        <v>11.357201646090534</v>
      </c>
      <c r="H11" s="357" t="s">
        <v>395</v>
      </c>
      <c r="I11" s="231" t="str">
        <f t="shared" si="2"/>
        <v>Small Office</v>
      </c>
      <c r="J11" s="231" t="str">
        <f t="shared" si="3"/>
        <v>(Air-source Heat Pump)</v>
      </c>
      <c r="K11" s="231" t="str">
        <f t="shared" si="4"/>
        <v>SGSWindow-(Air-source Heat Pump)</v>
      </c>
      <c r="L11" s="356">
        <f>VLOOKUP(E11,'CBSA Data'!$AE$30:$AI$32,4,FALSE)</f>
        <v>3.4374130751664171E-2</v>
      </c>
      <c r="M11" s="356">
        <f>INDEX(Single_Glaze_by_System_Type,MATCH(I11,'CBSA Window by Size'!$Z$40:$Z$43,0),MATCH(MMap!J11,'CBSA Window by Size'!$Z$40:$AE$40,0))</f>
        <v>0.19191886881983269</v>
      </c>
      <c r="N11" s="398">
        <f t="shared" si="5"/>
        <v>6.5970442905244134E-3</v>
      </c>
      <c r="O11" s="231">
        <v>30</v>
      </c>
      <c r="P11" s="360">
        <f>'Cost Data'!$C$9</f>
        <v>35</v>
      </c>
      <c r="Q11" s="231" t="s">
        <v>489</v>
      </c>
      <c r="R11" s="231" t="s">
        <v>494</v>
      </c>
      <c r="S11" s="430">
        <f>'CBSA Data'!$M$54</f>
        <v>0.75904546894898162</v>
      </c>
      <c r="T11" s="430">
        <f>'CBSA Data'!$X$19</f>
        <v>0.84993247112714732</v>
      </c>
      <c r="U11" s="430">
        <v>0.8</v>
      </c>
      <c r="V11" s="430">
        <f t="shared" si="6"/>
        <v>0.51610991289733787</v>
      </c>
    </row>
    <row r="12" spans="2:22">
      <c r="B12" s="231" t="str">
        <f t="shared" si="0"/>
        <v>SGSWindow-Mid-rise Office (Apackaged VAV with Electric reheat)-Portland</v>
      </c>
      <c r="C12" s="231" t="str">
        <f t="shared" si="1"/>
        <v>SGSWindow-Mid-rise Office (Apackaged VAV with Electric reheat)-Portland</v>
      </c>
      <c r="D12" s="231" t="str">
        <f>'Energy Savings MidOff_PVAV_E'!$A$1</f>
        <v>Mid-rise Office (Apackaged VAV with Electric reheat)</v>
      </c>
      <c r="E12" s="231" t="s">
        <v>396</v>
      </c>
      <c r="F12" s="233">
        <f>VLOOKUP($E12,Mid_rise_Office__Apackaged_VAV_with_Electric_reheat,MATCH(F$5,'Energy Savings SmOff_Gas'!$K$4:$V$4,0),FALSE)</f>
        <v>0</v>
      </c>
      <c r="G12" s="233">
        <f>VLOOKUP($E12,Mid_rise_Office__Apackaged_VAV_with_Electric_reheat,MATCH(H12,'Energy Savings SmOff_Gas'!$K$4:$V$4,0),FALSE)</f>
        <v>27.774657305249079</v>
      </c>
      <c r="H12" s="357" t="s">
        <v>395</v>
      </c>
      <c r="I12" s="231" t="str">
        <f>LEFT(D12,15)</f>
        <v>Mid-rise Office</v>
      </c>
      <c r="J12" s="231" t="str">
        <f>RIGHT(D12,LEN(D12)-16)</f>
        <v>(Apackaged VAV with Electric reheat)</v>
      </c>
      <c r="K12" s="231" t="str">
        <f t="shared" si="4"/>
        <v>SGSWindow-(Apackaged VAV with Electric reheat)</v>
      </c>
      <c r="L12" s="356">
        <f>VLOOKUP(E12,'CBSA Data'!$AE$30:$AI$32,4,FALSE)</f>
        <v>0.78745238715647869</v>
      </c>
      <c r="M12" s="356">
        <f>INDEX(Single_Glaze_by_System_Type,MATCH(I12,'CBSA Window by Size'!$Z$40:$Z$43,0),MATCH(MMap!J12,'CBSA Window by Size'!$Z$40:$AE$40,0))</f>
        <v>3.9893285555158725E-2</v>
      </c>
      <c r="N12" s="398">
        <f t="shared" si="5"/>
        <v>3.1414062941924809E-2</v>
      </c>
      <c r="O12" s="231">
        <v>30</v>
      </c>
      <c r="P12" s="360">
        <f>'Cost Data'!$C$9</f>
        <v>35</v>
      </c>
      <c r="Q12" s="231" t="s">
        <v>489</v>
      </c>
      <c r="R12" s="231" t="s">
        <v>494</v>
      </c>
      <c r="S12" s="430">
        <f>'CBSA Data'!$M$54</f>
        <v>0.75904546894898162</v>
      </c>
      <c r="T12" s="430">
        <f>'CBSA Data'!$X$19</f>
        <v>0.84993247112714732</v>
      </c>
      <c r="U12" s="430">
        <v>0.8</v>
      </c>
      <c r="V12" s="430">
        <f t="shared" si="6"/>
        <v>0.51610991289733787</v>
      </c>
    </row>
    <row r="13" spans="2:22">
      <c r="B13" s="231" t="str">
        <f t="shared" si="0"/>
        <v>SGSWindow-Mid-rise Office (Apackaged VAV with Electric reheat)-Spokane</v>
      </c>
      <c r="C13" s="231" t="str">
        <f t="shared" si="1"/>
        <v>SGSWindow-Mid-rise Office (Apackaged VAV with Electric reheat)-Spokane</v>
      </c>
      <c r="D13" s="231" t="str">
        <f>'Energy Savings MidOff_PVAV_E'!$A$1</f>
        <v>Mid-rise Office (Apackaged VAV with Electric reheat)</v>
      </c>
      <c r="E13" s="231" t="s">
        <v>397</v>
      </c>
      <c r="F13" s="233">
        <f>VLOOKUP($E13,Mid_rise_Office__Apackaged_VAV_with_Electric_reheat,MATCH(F$5,'Energy Savings SmOff_Gas'!$K$4:$V$4,0),FALSE)</f>
        <v>0</v>
      </c>
      <c r="G13" s="233">
        <f>VLOOKUP($E13,Mid_rise_Office__Apackaged_VAV_with_Electric_reheat,MATCH(H13,'Energy Savings SmOff_Gas'!$K$4:$V$4,0),FALSE)</f>
        <v>46.806753594115676</v>
      </c>
      <c r="H13" s="357" t="s">
        <v>395</v>
      </c>
      <c r="I13" s="231" t="str">
        <f t="shared" ref="I13:I17" si="7">LEFT(D13,15)</f>
        <v>Mid-rise Office</v>
      </c>
      <c r="J13" s="231" t="str">
        <f t="shared" ref="J13:J17" si="8">RIGHT(D13,LEN(D13)-16)</f>
        <v>(Apackaged VAV with Electric reheat)</v>
      </c>
      <c r="K13" s="231" t="str">
        <f t="shared" si="4"/>
        <v>SGSWindow-(Apackaged VAV with Electric reheat)</v>
      </c>
      <c r="L13" s="356">
        <f>VLOOKUP(E13,'CBSA Data'!$AE$30:$AI$32,4,FALSE)</f>
        <v>0.17817348209185718</v>
      </c>
      <c r="M13" s="356">
        <f>INDEX(Single_Glaze_by_System_Type,MATCH(I13,'CBSA Window by Size'!$Z$40:$Z$43,0),MATCH(MMap!J13,'CBSA Window by Size'!$Z$40:$AE$40,0))</f>
        <v>3.9893285555158725E-2</v>
      </c>
      <c r="N13" s="398">
        <f t="shared" si="5"/>
        <v>7.1079255994474181E-3</v>
      </c>
      <c r="O13" s="231">
        <v>30</v>
      </c>
      <c r="P13" s="360">
        <f>'Cost Data'!$C$9</f>
        <v>35</v>
      </c>
      <c r="Q13" s="231" t="s">
        <v>489</v>
      </c>
      <c r="R13" s="231" t="s">
        <v>494</v>
      </c>
      <c r="S13" s="430">
        <f>'CBSA Data'!$M$54</f>
        <v>0.75904546894898162</v>
      </c>
      <c r="T13" s="430">
        <f>'CBSA Data'!$X$19</f>
        <v>0.84993247112714732</v>
      </c>
      <c r="U13" s="430">
        <v>0.8</v>
      </c>
      <c r="V13" s="430">
        <f t="shared" si="6"/>
        <v>0.51610991289733787</v>
      </c>
    </row>
    <row r="14" spans="2:22">
      <c r="B14" s="231" t="str">
        <f t="shared" si="0"/>
        <v>SGSWindow-Mid-rise Office (Apackaged VAV with Electric reheat)-Missoula</v>
      </c>
      <c r="C14" s="231" t="str">
        <f t="shared" si="1"/>
        <v>SGSWindow-Mid-rise Office (Apackaged VAV with Electric reheat)-Missoula</v>
      </c>
      <c r="D14" s="231" t="str">
        <f>'Energy Savings MidOff_PVAV_E'!$A$1</f>
        <v>Mid-rise Office (Apackaged VAV with Electric reheat)</v>
      </c>
      <c r="E14" s="231" t="s">
        <v>398</v>
      </c>
      <c r="F14" s="233">
        <f>VLOOKUP($E14,Mid_rise_Office__Apackaged_VAV_with_Electric_reheat,MATCH(F$5,'Energy Savings SmOff_Gas'!$K$4:$V$4,0),FALSE)</f>
        <v>-3.7445670344366432E-2</v>
      </c>
      <c r="G14" s="233">
        <f>VLOOKUP($E14,Mid_rise_Office__Apackaged_VAV_with_Electric_reheat,MATCH(H14,'Energy Savings SmOff_Gas'!$K$4:$V$4,0),FALSE)</f>
        <v>40.555332664660654</v>
      </c>
      <c r="H14" s="357" t="s">
        <v>395</v>
      </c>
      <c r="I14" s="231" t="str">
        <f t="shared" si="7"/>
        <v>Mid-rise Office</v>
      </c>
      <c r="J14" s="231" t="str">
        <f t="shared" si="8"/>
        <v>(Apackaged VAV with Electric reheat)</v>
      </c>
      <c r="K14" s="231" t="str">
        <f t="shared" si="4"/>
        <v>SGSWindow-(Apackaged VAV with Electric reheat)</v>
      </c>
      <c r="L14" s="356">
        <f>VLOOKUP(E14,'CBSA Data'!$AE$30:$AI$32,4,FALSE)</f>
        <v>3.4374130751664171E-2</v>
      </c>
      <c r="M14" s="356">
        <f>INDEX(Single_Glaze_by_System_Type,MATCH(I14,'CBSA Window by Size'!$Z$40:$Z$43,0),MATCH(MMap!J14,'CBSA Window by Size'!$Z$40:$AE$40,0))</f>
        <v>3.9893285555158725E-2</v>
      </c>
      <c r="N14" s="398">
        <f t="shared" si="5"/>
        <v>1.3712970137865015E-3</v>
      </c>
      <c r="O14" s="231">
        <v>30</v>
      </c>
      <c r="P14" s="360">
        <f>'Cost Data'!$C$9</f>
        <v>35</v>
      </c>
      <c r="Q14" s="231" t="s">
        <v>489</v>
      </c>
      <c r="R14" s="231" t="s">
        <v>494</v>
      </c>
      <c r="S14" s="430">
        <f>'CBSA Data'!$M$54</f>
        <v>0.75904546894898162</v>
      </c>
      <c r="T14" s="430">
        <f>'CBSA Data'!$X$19</f>
        <v>0.84993247112714732</v>
      </c>
      <c r="U14" s="430">
        <v>0.8</v>
      </c>
      <c r="V14" s="430">
        <f t="shared" si="6"/>
        <v>0.51610991289733787</v>
      </c>
    </row>
    <row r="15" spans="2:22">
      <c r="B15" s="231" t="str">
        <f t="shared" si="0"/>
        <v>SGSWindow-Mid-rise Office (Apackaged VAV with Gas)-Portland</v>
      </c>
      <c r="C15" s="231" t="str">
        <f t="shared" si="1"/>
        <v>SGSWindow-Mid-rise Office (Apackaged VAV with Gas)-Portland</v>
      </c>
      <c r="D15" s="231" t="str">
        <f>'Energy Savings MidOff_PVAV_G'!$A$1</f>
        <v>Mid-rise Office (Apackaged VAV with Gas)</v>
      </c>
      <c r="E15" s="231" t="s">
        <v>396</v>
      </c>
      <c r="F15" s="232">
        <f>VLOOKUP($E15,Mid_rise_Office__Apackaged_VAV_with_Gas,MATCH(F$5,'Energy Savings SmOff_Gas'!$K$4:$V$4,0),FALSE)</f>
        <v>0.8946840521564694</v>
      </c>
      <c r="G15" s="233">
        <f>VLOOKUP($E15,Mid_rise_Office__Apackaged_VAV_with_Gas,MATCH(H15,'Energy Savings SmOff_Gas'!$K$4:$V$4,0),FALSE)</f>
        <v>6.4607154797726496</v>
      </c>
      <c r="H15" s="357" t="s">
        <v>395</v>
      </c>
      <c r="I15" s="231" t="str">
        <f t="shared" si="7"/>
        <v>Mid-rise Office</v>
      </c>
      <c r="J15" s="231" t="str">
        <f>RIGHT(D15,LEN(D15)-16)</f>
        <v>(Apackaged VAV with Gas)</v>
      </c>
      <c r="K15" s="231" t="str">
        <f t="shared" si="4"/>
        <v>SGSWindow-(Apackaged VAV with Gas)</v>
      </c>
      <c r="L15" s="356">
        <f>VLOOKUP(E15,'CBSA Data'!$AE$30:$AI$32,4,FALSE)</f>
        <v>0.78745238715647869</v>
      </c>
      <c r="M15" s="356">
        <f>INDEX(Single_Glaze_by_System_Type,MATCH(I15,'CBSA Window by Size'!$Z$40:$Z$43,0),MATCH(MMap!J15,'CBSA Window by Size'!$Z$40:$AE$40,0))</f>
        <v>0.20861167098581326</v>
      </c>
      <c r="N15" s="398">
        <f t="shared" si="5"/>
        <v>0.16427175830648058</v>
      </c>
      <c r="O15" s="231">
        <v>30</v>
      </c>
      <c r="P15" s="360">
        <f>'Cost Data'!$C$9</f>
        <v>35</v>
      </c>
      <c r="Q15" s="231" t="s">
        <v>491</v>
      </c>
      <c r="R15" s="231" t="s">
        <v>494</v>
      </c>
      <c r="S15" s="430">
        <f>'CBSA Data'!$M$54</f>
        <v>0.75904546894898162</v>
      </c>
      <c r="T15" s="430">
        <f>'CBSA Data'!$X$19</f>
        <v>0.84993247112714732</v>
      </c>
      <c r="U15" s="430">
        <v>0.8</v>
      </c>
      <c r="V15" s="430">
        <f t="shared" si="6"/>
        <v>0.51610991289733787</v>
      </c>
    </row>
    <row r="16" spans="2:22">
      <c r="B16" s="231" t="str">
        <f t="shared" si="0"/>
        <v>SGSWindow-Mid-rise Office (Apackaged VAV with Gas)-Spokane</v>
      </c>
      <c r="C16" s="231" t="str">
        <f t="shared" si="1"/>
        <v>SGSWindow-Mid-rise Office (Apackaged VAV with Gas)-Spokane</v>
      </c>
      <c r="D16" s="231" t="str">
        <f>'Energy Savings MidOff_PVAV_G'!$A$1</f>
        <v>Mid-rise Office (Apackaged VAV with Gas)</v>
      </c>
      <c r="E16" s="231" t="s">
        <v>397</v>
      </c>
      <c r="F16" s="232">
        <f>VLOOKUP($E16,Mid_rise_Office__Apackaged_VAV_with_Gas,MATCH(F$5,'Energy Savings SmOff_Gas'!$K$4:$V$4,0),FALSE)</f>
        <v>1.6506185222333669</v>
      </c>
      <c r="G16" s="233">
        <f>VLOOKUP($E16,Mid_rise_Office__Apackaged_VAV_with_Gas,MATCH(H16,'Energy Savings SmOff_Gas'!$K$4:$V$4,0),FALSE)</f>
        <v>8.4302908726178529</v>
      </c>
      <c r="H16" s="357" t="s">
        <v>395</v>
      </c>
      <c r="I16" s="231" t="str">
        <f t="shared" si="7"/>
        <v>Mid-rise Office</v>
      </c>
      <c r="J16" s="231" t="str">
        <f t="shared" si="8"/>
        <v>(Apackaged VAV with Gas)</v>
      </c>
      <c r="K16" s="231" t="str">
        <f t="shared" si="4"/>
        <v>SGSWindow-(Apackaged VAV with Gas)</v>
      </c>
      <c r="L16" s="356">
        <f>VLOOKUP(E16,'CBSA Data'!$AE$30:$AI$32,4,FALSE)</f>
        <v>0.17817348209185718</v>
      </c>
      <c r="M16" s="356">
        <f>INDEX(Single_Glaze_by_System_Type,MATCH(I16,'CBSA Window by Size'!$Z$40:$Z$43,0),MATCH(MMap!J16,'CBSA Window by Size'!$Z$40:$AE$40,0))</f>
        <v>0.20861167098581326</v>
      </c>
      <c r="N16" s="398">
        <f t="shared" si="5"/>
        <v>3.7169067824543205E-2</v>
      </c>
      <c r="O16" s="231">
        <v>30</v>
      </c>
      <c r="P16" s="360">
        <f>'Cost Data'!$C$9</f>
        <v>35</v>
      </c>
      <c r="Q16" s="231" t="s">
        <v>491</v>
      </c>
      <c r="R16" s="231" t="s">
        <v>494</v>
      </c>
      <c r="S16" s="430">
        <f>'CBSA Data'!$M$54</f>
        <v>0.75904546894898162</v>
      </c>
      <c r="T16" s="430">
        <f>'CBSA Data'!$X$19</f>
        <v>0.84993247112714732</v>
      </c>
      <c r="U16" s="430">
        <v>0.8</v>
      </c>
      <c r="V16" s="430">
        <f t="shared" si="6"/>
        <v>0.51610991289733787</v>
      </c>
    </row>
    <row r="17" spans="2:22">
      <c r="B17" s="231" t="str">
        <f t="shared" si="0"/>
        <v>SGSWindow-Mid-rise Office (Apackaged VAV with Gas)-Missoula</v>
      </c>
      <c r="C17" s="231" t="str">
        <f t="shared" si="1"/>
        <v>SGSWindow-Mid-rise Office (Apackaged VAV with Gas)-Missoula</v>
      </c>
      <c r="D17" s="231" t="str">
        <f>'Energy Savings MidOff_PVAV_G'!$A$1</f>
        <v>Mid-rise Office (Apackaged VAV with Gas)</v>
      </c>
      <c r="E17" s="231" t="s">
        <v>398</v>
      </c>
      <c r="F17" s="232">
        <f>VLOOKUP($E17,Mid_rise_Office__Apackaged_VAV_with_Gas,MATCH(F$5,'Energy Savings SmOff_Gas'!$K$4:$V$4,0),FALSE)</f>
        <v>1.3704446673353394</v>
      </c>
      <c r="G17" s="233">
        <f>VLOOKUP($E17,Mid_rise_Office__Apackaged_VAV_with_Gas,MATCH(H17,'Energy Savings SmOff_Gas'!$K$4:$V$4,0),FALSE)</f>
        <v>6.892343697759947</v>
      </c>
      <c r="H17" s="357" t="s">
        <v>395</v>
      </c>
      <c r="I17" s="231" t="str">
        <f t="shared" si="7"/>
        <v>Mid-rise Office</v>
      </c>
      <c r="J17" s="231" t="str">
        <f t="shared" si="8"/>
        <v>(Apackaged VAV with Gas)</v>
      </c>
      <c r="K17" s="231" t="str">
        <f t="shared" si="4"/>
        <v>SGSWindow-(Apackaged VAV with Gas)</v>
      </c>
      <c r="L17" s="356">
        <f>VLOOKUP(E17,'CBSA Data'!$AE$30:$AI$32,4,FALSE)</f>
        <v>3.4374130751664171E-2</v>
      </c>
      <c r="M17" s="356">
        <f>INDEX(Single_Glaze_by_System_Type,MATCH(I17,'CBSA Window by Size'!$Z$40:$Z$43,0),MATCH(MMap!J17,'CBSA Window by Size'!$Z$40:$AE$40,0))</f>
        <v>0.20861167098581326</v>
      </c>
      <c r="N17" s="398">
        <f t="shared" si="5"/>
        <v>7.1708448547894918E-3</v>
      </c>
      <c r="O17" s="231">
        <v>30</v>
      </c>
      <c r="P17" s="360">
        <f>'Cost Data'!$C$9</f>
        <v>35</v>
      </c>
      <c r="Q17" s="231" t="s">
        <v>491</v>
      </c>
      <c r="R17" s="231" t="s">
        <v>494</v>
      </c>
      <c r="S17" s="430">
        <f>'CBSA Data'!$M$54</f>
        <v>0.75904546894898162</v>
      </c>
      <c r="T17" s="430">
        <f>'CBSA Data'!$X$19</f>
        <v>0.84993247112714732</v>
      </c>
      <c r="U17" s="430">
        <v>0.8</v>
      </c>
      <c r="V17" s="430">
        <f t="shared" si="6"/>
        <v>0.51610991289733787</v>
      </c>
    </row>
    <row r="18" spans="2:22">
      <c r="B18" s="231" t="str">
        <f t="shared" si="0"/>
        <v>SGSWindow-High-rise Office (VAV with Central Chillers / Gas Boilers)-Portland</v>
      </c>
      <c r="C18" s="231" t="str">
        <f t="shared" si="1"/>
        <v>SGSWindow-High-rise Office (VAV with Central Chillers / Gas Boilers)-Portland</v>
      </c>
      <c r="D18" s="231" t="str">
        <f>'Energy Savings LrgOff_G'!$A$1</f>
        <v>High-rise Office (VAV with Central Chillers / Gas Boilers)</v>
      </c>
      <c r="E18" s="231" t="s">
        <v>396</v>
      </c>
      <c r="F18" s="232">
        <f>VLOOKUP($E18,High_rise_Office__VAV_with_Central_Chillers___Gas_Boilers,MATCH(F$5,'Energy Savings SmOff_Gas'!$K$4:$V$4,0),FALSE)</f>
        <v>0.70805341790988041</v>
      </c>
      <c r="G18" s="232">
        <f>VLOOKUP($E18,High_rise_Office__VAV_with_Central_Chillers___Gas_Boilers,MATCH(H18,'Energy Savings SmOff_Gas'!$K$4:$V$4,0),FALSE)</f>
        <v>9.7257743044429841</v>
      </c>
      <c r="H18" s="358" t="s">
        <v>395</v>
      </c>
      <c r="I18" s="231" t="str">
        <f>LEFT(D18,16)</f>
        <v>High-rise Office</v>
      </c>
      <c r="J18" s="231" t="str">
        <f>RIGHT(D18,LEN(D18)-17)</f>
        <v>(VAV with Central Chillers / Gas Boilers)</v>
      </c>
      <c r="K18" s="231" t="str">
        <f t="shared" si="4"/>
        <v>SGSWindow-(VAV with Central Chillers / Gas Boilers)</v>
      </c>
      <c r="L18" s="356">
        <f>VLOOKUP(E18,'CBSA Data'!$AE$30:$AI$32,4,FALSE)</f>
        <v>0.78745238715647869</v>
      </c>
      <c r="M18" s="356">
        <f>INDEX(Single_Glaze_by_System_Type,MATCH(I18,'CBSA Window by Size'!$Z$40:$Z$43,0),MATCH(MMap!J18,'CBSA Window by Size'!$Z$40:$AE$40,0))</f>
        <v>3.8986714990011502E-2</v>
      </c>
      <c r="N18" s="398">
        <f t="shared" si="5"/>
        <v>3.0700181786273827E-2</v>
      </c>
      <c r="O18" s="231">
        <v>30</v>
      </c>
      <c r="P18" s="360">
        <f>'Cost Data'!$C$9</f>
        <v>35</v>
      </c>
      <c r="Q18" s="231" t="s">
        <v>491</v>
      </c>
      <c r="R18" s="231" t="s">
        <v>494</v>
      </c>
      <c r="S18" s="430">
        <f>'CBSA Data'!$M$54</f>
        <v>0.75904546894898162</v>
      </c>
      <c r="T18" s="430">
        <f>'CBSA Data'!$X$19</f>
        <v>0.84993247112714732</v>
      </c>
      <c r="U18" s="430">
        <v>0.8</v>
      </c>
      <c r="V18" s="430">
        <f t="shared" si="6"/>
        <v>0.51610991289733787</v>
      </c>
    </row>
    <row r="19" spans="2:22">
      <c r="B19" s="231" t="str">
        <f t="shared" si="0"/>
        <v>SGSWindow-High-rise Office (VAV with Central Chillers / Gas Boilers)-Spokane</v>
      </c>
      <c r="C19" s="231" t="str">
        <f t="shared" si="1"/>
        <v>SGSWindow-High-rise Office (VAV with Central Chillers / Gas Boilers)-Spokane</v>
      </c>
      <c r="D19" s="231" t="str">
        <f>'Energy Savings LrgOff_G'!$A$1</f>
        <v>High-rise Office (VAV with Central Chillers / Gas Boilers)</v>
      </c>
      <c r="E19" s="231" t="s">
        <v>397</v>
      </c>
      <c r="F19" s="232">
        <f>VLOOKUP($E19,High_rise_Office__VAV_with_Central_Chillers___Gas_Boilers,MATCH(F$5,'Energy Savings SmOff_Gas'!$K$4:$V$4,0),FALSE)</f>
        <v>1.1052011317906076</v>
      </c>
      <c r="G19" s="232">
        <f>VLOOKUP($E19,High_rise_Office__VAV_with_Central_Chillers___Gas_Boilers,MATCH(H19,'Energy Savings SmOff_Gas'!$K$4:$V$4,0),FALSE)</f>
        <v>11.06241684000152</v>
      </c>
      <c r="H19" s="358" t="s">
        <v>395</v>
      </c>
      <c r="I19" s="231" t="str">
        <f t="shared" ref="I19:I20" si="9">LEFT(D19,16)</f>
        <v>High-rise Office</v>
      </c>
      <c r="J19" s="231" t="str">
        <f t="shared" ref="J19:J20" si="10">RIGHT(D19,LEN(D19)-17)</f>
        <v>(VAV with Central Chillers / Gas Boilers)</v>
      </c>
      <c r="K19" s="231" t="str">
        <f t="shared" si="4"/>
        <v>SGSWindow-(VAV with Central Chillers / Gas Boilers)</v>
      </c>
      <c r="L19" s="356">
        <f>VLOOKUP(E19,'CBSA Data'!$AE$30:$AI$32,4,FALSE)</f>
        <v>0.17817348209185718</v>
      </c>
      <c r="M19" s="356">
        <f>INDEX(Single_Glaze_by_System_Type,MATCH(I19,'CBSA Window by Size'!$Z$40:$Z$43,0),MATCH(MMap!J19,'CBSA Window by Size'!$Z$40:$AE$40,0))</f>
        <v>3.8986714990011502E-2</v>
      </c>
      <c r="N19" s="398">
        <f t="shared" si="5"/>
        <v>6.9463987650931541E-3</v>
      </c>
      <c r="O19" s="231">
        <v>30</v>
      </c>
      <c r="P19" s="360">
        <f>'Cost Data'!$C$9</f>
        <v>35</v>
      </c>
      <c r="Q19" s="231" t="s">
        <v>491</v>
      </c>
      <c r="R19" s="231" t="s">
        <v>494</v>
      </c>
      <c r="S19" s="430">
        <f>'CBSA Data'!$M$54</f>
        <v>0.75904546894898162</v>
      </c>
      <c r="T19" s="430">
        <f>'CBSA Data'!$X$19</f>
        <v>0.84993247112714732</v>
      </c>
      <c r="U19" s="430">
        <v>0.8</v>
      </c>
      <c r="V19" s="430">
        <f t="shared" si="6"/>
        <v>0.51610991289733787</v>
      </c>
    </row>
    <row r="20" spans="2:22">
      <c r="B20" s="231" t="str">
        <f t="shared" si="0"/>
        <v>SGSWindow-High-rise Office (VAV with Central Chillers / Gas Boilers)-Missoula</v>
      </c>
      <c r="C20" s="231" t="str">
        <f t="shared" si="1"/>
        <v>SGSWindow-High-rise Office (VAV with Central Chillers / Gas Boilers)-Missoula</v>
      </c>
      <c r="D20" s="231" t="str">
        <f>'Energy Savings LrgOff_G'!$A$1</f>
        <v>High-rise Office (VAV with Central Chillers / Gas Boilers)</v>
      </c>
      <c r="E20" s="231" t="s">
        <v>398</v>
      </c>
      <c r="F20" s="232">
        <f>VLOOKUP($E20,High_rise_Office__VAV_with_Central_Chillers___Gas_Boilers,MATCH(F$5,'Energy Savings SmOff_Gas'!$K$4:$V$4,0),FALSE)</f>
        <v>1.0642741931104147</v>
      </c>
      <c r="G20" s="232">
        <f>VLOOKUP($E20,High_rise_Office__VAV_with_Central_Chillers___Gas_Boilers,MATCH(H20,'Energy Savings SmOff_Gas'!$K$4:$V$4,0),FALSE)</f>
        <v>10.277180081788707</v>
      </c>
      <c r="H20" s="358" t="s">
        <v>395</v>
      </c>
      <c r="I20" s="231" t="str">
        <f t="shared" si="9"/>
        <v>High-rise Office</v>
      </c>
      <c r="J20" s="231" t="str">
        <f t="shared" si="10"/>
        <v>(VAV with Central Chillers / Gas Boilers)</v>
      </c>
      <c r="K20" s="231" t="str">
        <f t="shared" si="4"/>
        <v>SGSWindow-(VAV with Central Chillers / Gas Boilers)</v>
      </c>
      <c r="L20" s="356">
        <f>VLOOKUP(E20,'CBSA Data'!$AE$30:$AI$32,4,FALSE)</f>
        <v>3.4374130751664171E-2</v>
      </c>
      <c r="M20" s="356">
        <f>INDEX(Single_Glaze_by_System_Type,MATCH(I20,'CBSA Window by Size'!$Z$40:$Z$43,0),MATCH(MMap!J20,'CBSA Window by Size'!$Z$40:$AE$40,0))</f>
        <v>3.8986714990011502E-2</v>
      </c>
      <c r="N20" s="398">
        <f t="shared" si="5"/>
        <v>1.3401344386445209E-3</v>
      </c>
      <c r="O20" s="231">
        <v>30</v>
      </c>
      <c r="P20" s="360">
        <f>'Cost Data'!$C$9</f>
        <v>35</v>
      </c>
      <c r="Q20" s="231" t="s">
        <v>491</v>
      </c>
      <c r="R20" s="231" t="s">
        <v>494</v>
      </c>
      <c r="S20" s="430">
        <f>'CBSA Data'!$M$54</f>
        <v>0.75904546894898162</v>
      </c>
      <c r="T20" s="430">
        <f>'CBSA Data'!$X$19</f>
        <v>0.84993247112714732</v>
      </c>
      <c r="U20" s="430">
        <v>0.8</v>
      </c>
      <c r="V20" s="430">
        <f t="shared" si="6"/>
        <v>0.51610991289733787</v>
      </c>
    </row>
    <row r="21" spans="2:22">
      <c r="B21" s="231" t="str">
        <f t="shared" si="0"/>
        <v>SGSWindow-Small Office (AC with Ele Furnace)-Portland</v>
      </c>
      <c r="C21" s="231" t="str">
        <f t="shared" si="1"/>
        <v>SGSWindow-Small Office (AC with Ele Furnace)-Portland</v>
      </c>
      <c r="D21" s="231" t="s">
        <v>484</v>
      </c>
      <c r="E21" s="231" t="s">
        <v>396</v>
      </c>
      <c r="F21" s="359">
        <v>0</v>
      </c>
      <c r="G21" s="233">
        <f>VLOOKUP($E21,Small_Office__AC_with_Gas_Furnace,MATCH(H21,'Energy Savings SmOff_Gas'!$K$4:$V$4,0),FALSE)+G6</f>
        <v>11.470456727406056</v>
      </c>
      <c r="H21" s="322" t="s">
        <v>482</v>
      </c>
      <c r="I21" s="231" t="str">
        <f>LEFT(D21,12)</f>
        <v>Small Office</v>
      </c>
      <c r="J21" s="231" t="s">
        <v>463</v>
      </c>
      <c r="K21" s="231" t="str">
        <f t="shared" si="4"/>
        <v>SGSWindow-(Apackaged VAV with Electric reheat)</v>
      </c>
      <c r="L21" s="356">
        <f>VLOOKUP(E21,'CBSA Data'!$AE$30:$AI$32,4,FALSE)</f>
        <v>0.78745238715647869</v>
      </c>
      <c r="M21" s="356">
        <f>INDEX(Single_Glaze_by_System_Type,MATCH(I21,'CBSA Window by Size'!$Z$40:$Z$43,0),MATCH(MMap!J21,'CBSA Window by Size'!$Z$40:$AE$40,0))</f>
        <v>0.1105244172563993</v>
      </c>
      <c r="N21" s="398">
        <f t="shared" si="5"/>
        <v>8.703271620763034E-2</v>
      </c>
      <c r="O21" s="231">
        <v>30</v>
      </c>
      <c r="P21" s="360">
        <f>'Cost Data'!$C$9</f>
        <v>35</v>
      </c>
      <c r="Q21" s="231" t="s">
        <v>489</v>
      </c>
      <c r="R21" s="231" t="s">
        <v>494</v>
      </c>
      <c r="S21" s="430">
        <f>'CBSA Data'!$M$54</f>
        <v>0.75904546894898162</v>
      </c>
      <c r="T21" s="430">
        <f>'CBSA Data'!$X$19</f>
        <v>0.84993247112714732</v>
      </c>
      <c r="U21" s="430">
        <v>0.8</v>
      </c>
      <c r="V21" s="430">
        <f t="shared" si="6"/>
        <v>0.51610991289733787</v>
      </c>
    </row>
    <row r="22" spans="2:22">
      <c r="B22" s="231" t="str">
        <f t="shared" si="0"/>
        <v>SGSWindow-Small Office (AC with Ele Furnace)-Spokane</v>
      </c>
      <c r="C22" s="231" t="str">
        <f t="shared" si="1"/>
        <v>SGSWindow-Small Office (AC with Ele Furnace)-Spokane</v>
      </c>
      <c r="D22" s="231" t="s">
        <v>484</v>
      </c>
      <c r="E22" s="231" t="s">
        <v>397</v>
      </c>
      <c r="F22" s="359">
        <v>0</v>
      </c>
      <c r="G22" s="233">
        <f>VLOOKUP($E22,Small_Office__AC_with_Gas_Furnace,MATCH(H22,'Energy Savings SmOff_Gas'!$K$4:$V$4,0),FALSE)+G7</f>
        <v>17.927651136873493</v>
      </c>
      <c r="H22" s="322" t="s">
        <v>482</v>
      </c>
      <c r="I22" s="231" t="str">
        <f t="shared" ref="I22:I23" si="11">LEFT(D22,12)</f>
        <v>Small Office</v>
      </c>
      <c r="J22" s="231" t="s">
        <v>463</v>
      </c>
      <c r="K22" s="231" t="str">
        <f t="shared" si="4"/>
        <v>SGSWindow-(Apackaged VAV with Electric reheat)</v>
      </c>
      <c r="L22" s="356">
        <f>VLOOKUP(E22,'CBSA Data'!$AE$30:$AI$32,4,FALSE)</f>
        <v>0.17817348209185718</v>
      </c>
      <c r="M22" s="356">
        <f>INDEX(Single_Glaze_by_System_Type,MATCH(I22,'CBSA Window by Size'!$Z$40:$Z$43,0),MATCH(MMap!J22,'CBSA Window by Size'!$Z$40:$AE$40,0))</f>
        <v>0.1105244172563993</v>
      </c>
      <c r="N22" s="398">
        <f t="shared" si="5"/>
        <v>1.9692520278746014E-2</v>
      </c>
      <c r="O22" s="231">
        <v>30</v>
      </c>
      <c r="P22" s="360">
        <f>'Cost Data'!$C$9</f>
        <v>35</v>
      </c>
      <c r="Q22" s="231" t="s">
        <v>489</v>
      </c>
      <c r="R22" s="231" t="s">
        <v>494</v>
      </c>
      <c r="S22" s="430">
        <f>'CBSA Data'!$M$54</f>
        <v>0.75904546894898162</v>
      </c>
      <c r="T22" s="430">
        <f>'CBSA Data'!$X$19</f>
        <v>0.84993247112714732</v>
      </c>
      <c r="U22" s="430">
        <v>0.8</v>
      </c>
      <c r="V22" s="430">
        <f t="shared" si="6"/>
        <v>0.51610991289733787</v>
      </c>
    </row>
    <row r="23" spans="2:22">
      <c r="B23" s="231" t="str">
        <f t="shared" si="0"/>
        <v>SGSWindow-Small Office (AC with Ele Furnace)-Missoula</v>
      </c>
      <c r="C23" s="231" t="str">
        <f t="shared" si="1"/>
        <v>SGSWindow-Small Office (AC with Ele Furnace)-Missoula</v>
      </c>
      <c r="D23" s="231" t="s">
        <v>484</v>
      </c>
      <c r="E23" s="231" t="s">
        <v>398</v>
      </c>
      <c r="F23" s="359">
        <v>0</v>
      </c>
      <c r="G23" s="233">
        <f>VLOOKUP($E23,Small_Office__AC_with_Gas_Furnace,MATCH(H23,'Energy Savings SmOff_Gas'!$K$4:$V$4,0),FALSE)+G8</f>
        <v>16.119234461764105</v>
      </c>
      <c r="H23" s="322" t="s">
        <v>482</v>
      </c>
      <c r="I23" s="231" t="str">
        <f t="shared" si="11"/>
        <v>Small Office</v>
      </c>
      <c r="J23" s="231" t="s">
        <v>463</v>
      </c>
      <c r="K23" s="231" t="str">
        <f t="shared" si="4"/>
        <v>SGSWindow-(Apackaged VAV with Electric reheat)</v>
      </c>
      <c r="L23" s="356">
        <f>VLOOKUP(E23,'CBSA Data'!$AE$30:$AI$32,4,FALSE)</f>
        <v>3.4374130751664171E-2</v>
      </c>
      <c r="M23" s="356">
        <f>INDEX(Single_Glaze_by_System_Type,MATCH(I23,'CBSA Window by Size'!$Z$40:$Z$43,0),MATCH(MMap!J23,'CBSA Window by Size'!$Z$40:$AE$40,0))</f>
        <v>0.1105244172563993</v>
      </c>
      <c r="N23" s="398">
        <f t="shared" si="5"/>
        <v>3.7991807700229574E-3</v>
      </c>
      <c r="O23" s="231">
        <v>30</v>
      </c>
      <c r="P23" s="360">
        <f>'Cost Data'!$C$9</f>
        <v>35</v>
      </c>
      <c r="Q23" s="231" t="s">
        <v>489</v>
      </c>
      <c r="R23" s="231" t="s">
        <v>494</v>
      </c>
      <c r="S23" s="430">
        <f>'CBSA Data'!$M$54</f>
        <v>0.75904546894898162</v>
      </c>
      <c r="T23" s="430">
        <f>'CBSA Data'!$X$19</f>
        <v>0.84993247112714732</v>
      </c>
      <c r="U23" s="430">
        <v>0.8</v>
      </c>
      <c r="V23" s="430">
        <f t="shared" si="6"/>
        <v>0.51610991289733787</v>
      </c>
    </row>
    <row r="24" spans="2:22">
      <c r="B24" s="231" t="str">
        <f t="shared" si="0"/>
        <v>SGSWindow-High-rise Office (VAV with Central Chillers / Ele Boilers)-Portland</v>
      </c>
      <c r="C24" s="231" t="str">
        <f t="shared" si="1"/>
        <v>SGSWindow-High-rise Office (VAV with Central Chillers / Ele Boilers)-Portland</v>
      </c>
      <c r="D24" s="231" t="s">
        <v>485</v>
      </c>
      <c r="E24" s="231" t="s">
        <v>396</v>
      </c>
      <c r="F24" s="359">
        <v>0</v>
      </c>
      <c r="G24" s="232">
        <f>VLOOKUP($E24,High_rise_Office__VAV_with_Central_Chillers___Gas_Boilers,MATCH(H24,'Energy Savings SmOff_Gas'!$K$4:$V$4,0),FALSE)+G18</f>
        <v>26.327261242540999</v>
      </c>
      <c r="H24" s="322" t="s">
        <v>482</v>
      </c>
      <c r="I24" s="231" t="str">
        <f>LEFT(D24,16)</f>
        <v>High-rise Office</v>
      </c>
      <c r="J24" s="231" t="s">
        <v>463</v>
      </c>
      <c r="K24" s="231" t="str">
        <f t="shared" si="4"/>
        <v>SGSWindow-(Apackaged VAV with Electric reheat)</v>
      </c>
      <c r="L24" s="356">
        <f>VLOOKUP(E24,'CBSA Data'!$AE$30:$AI$32,4,FALSE)</f>
        <v>0.78745238715647869</v>
      </c>
      <c r="M24" s="356">
        <f>INDEX(Single_Glaze_by_System_Type,MATCH(I24,'CBSA Window by Size'!$Z$40:$Z$43,0),MATCH(MMap!J24,'CBSA Window by Size'!$Z$40:$AE$40,0))</f>
        <v>1.4154849976654978E-2</v>
      </c>
      <c r="N24" s="398">
        <f t="shared" si="5"/>
        <v>1.114627040395879E-2</v>
      </c>
      <c r="O24" s="231">
        <v>30</v>
      </c>
      <c r="P24" s="360">
        <f>'Cost Data'!$C$9</f>
        <v>35</v>
      </c>
      <c r="Q24" s="231" t="s">
        <v>489</v>
      </c>
      <c r="R24" s="231" t="s">
        <v>494</v>
      </c>
      <c r="S24" s="430">
        <f>'CBSA Data'!$M$54</f>
        <v>0.75904546894898162</v>
      </c>
      <c r="T24" s="430">
        <f>'CBSA Data'!$X$19</f>
        <v>0.84993247112714732</v>
      </c>
      <c r="U24" s="430">
        <v>0.8</v>
      </c>
      <c r="V24" s="430">
        <f t="shared" si="6"/>
        <v>0.51610991289733787</v>
      </c>
    </row>
    <row r="25" spans="2:22">
      <c r="B25" s="231" t="str">
        <f t="shared" si="0"/>
        <v>SGSWindow-High-rise Office (VAV with Central Chillers / Ele Boilers)-Spokane</v>
      </c>
      <c r="C25" s="231" t="str">
        <f t="shared" si="1"/>
        <v>SGSWindow-High-rise Office (VAV with Central Chillers / Ele Boilers)-Spokane</v>
      </c>
      <c r="D25" s="231" t="s">
        <v>485</v>
      </c>
      <c r="E25" s="231" t="s">
        <v>397</v>
      </c>
      <c r="F25" s="359">
        <v>0</v>
      </c>
      <c r="G25" s="232">
        <f>VLOOKUP($E25,High_rise_Office__VAV_with_Central_Chillers___Gas_Boilers,MATCH(H25,'Energy Savings SmOff_Gas'!$K$4:$V$4,0),FALSE)+G19</f>
        <v>36.975690738960665</v>
      </c>
      <c r="H25" s="322" t="s">
        <v>482</v>
      </c>
      <c r="I25" s="231" t="str">
        <f>LEFT(D25,16)</f>
        <v>High-rise Office</v>
      </c>
      <c r="J25" s="231" t="s">
        <v>463</v>
      </c>
      <c r="K25" s="231" t="str">
        <f t="shared" si="4"/>
        <v>SGSWindow-(Apackaged VAV with Electric reheat)</v>
      </c>
      <c r="L25" s="356">
        <f>VLOOKUP(E25,'CBSA Data'!$AE$30:$AI$32,4,FALSE)</f>
        <v>0.17817348209185718</v>
      </c>
      <c r="M25" s="356">
        <f>INDEX(Single_Glaze_by_System_Type,MATCH(I25,'CBSA Window by Size'!$Z$40:$Z$43,0),MATCH(MMap!J25,'CBSA Window by Size'!$Z$40:$AE$40,0))</f>
        <v>1.4154849976654978E-2</v>
      </c>
      <c r="N25" s="398">
        <f t="shared" si="5"/>
        <v>2.5220189088284608E-3</v>
      </c>
      <c r="O25" s="231">
        <v>30</v>
      </c>
      <c r="P25" s="360">
        <f>'Cost Data'!$C$9</f>
        <v>35</v>
      </c>
      <c r="Q25" s="231" t="s">
        <v>489</v>
      </c>
      <c r="R25" s="231" t="s">
        <v>494</v>
      </c>
      <c r="S25" s="430">
        <f>'CBSA Data'!$M$54</f>
        <v>0.75904546894898162</v>
      </c>
      <c r="T25" s="430">
        <f>'CBSA Data'!$X$19</f>
        <v>0.84993247112714732</v>
      </c>
      <c r="U25" s="430">
        <v>0.8</v>
      </c>
      <c r="V25" s="430">
        <f t="shared" si="6"/>
        <v>0.51610991289733787</v>
      </c>
    </row>
    <row r="26" spans="2:22">
      <c r="B26" s="231" t="str">
        <f t="shared" si="0"/>
        <v>SGSWindow-High-rise Office (VAV with Central Chillers / Ele Boilers)-Missoula</v>
      </c>
      <c r="C26" s="231" t="str">
        <f t="shared" si="1"/>
        <v>SGSWindow-High-rise Office (VAV with Central Chillers / Ele Boilers)-Missoula</v>
      </c>
      <c r="D26" s="231" t="s">
        <v>485</v>
      </c>
      <c r="E26" s="231" t="s">
        <v>398</v>
      </c>
      <c r="F26" s="359">
        <v>0</v>
      </c>
      <c r="G26" s="232">
        <f>VLOOKUP($E26,High_rise_Office__VAV_with_Central_Chillers___Gas_Boilers,MATCH(H26,'Energy Savings SmOff_Gas'!$K$4:$V$4,0),FALSE)+G20</f>
        <v>35.230854011692927</v>
      </c>
      <c r="H26" s="322" t="s">
        <v>482</v>
      </c>
      <c r="I26" s="231" t="str">
        <f>LEFT(D26,16)</f>
        <v>High-rise Office</v>
      </c>
      <c r="J26" s="231" t="s">
        <v>463</v>
      </c>
      <c r="K26" s="231" t="str">
        <f t="shared" si="4"/>
        <v>SGSWindow-(Apackaged VAV with Electric reheat)</v>
      </c>
      <c r="L26" s="356">
        <f>VLOOKUP(E26,'CBSA Data'!$AE$30:$AI$32,4,FALSE)</f>
        <v>3.4374130751664171E-2</v>
      </c>
      <c r="M26" s="356">
        <f>INDEX(Single_Glaze_by_System_Type,MATCH(I26,'CBSA Window by Size'!$Z$40:$Z$43,0),MATCH(MMap!J26,'CBSA Window by Size'!$Z$40:$AE$40,0))</f>
        <v>1.4154849976654978E-2</v>
      </c>
      <c r="N26" s="398">
        <f t="shared" si="5"/>
        <v>4.8656066386772878E-4</v>
      </c>
      <c r="O26" s="231">
        <v>30</v>
      </c>
      <c r="P26" s="360">
        <f>'Cost Data'!$C$9</f>
        <v>35</v>
      </c>
      <c r="Q26" s="231" t="s">
        <v>489</v>
      </c>
      <c r="R26" s="231" t="s">
        <v>494</v>
      </c>
      <c r="S26" s="430">
        <f>'CBSA Data'!$M$54</f>
        <v>0.75904546894898162</v>
      </c>
      <c r="T26" s="430">
        <f>'CBSA Data'!$X$19</f>
        <v>0.84993247112714732</v>
      </c>
      <c r="U26" s="430">
        <v>0.8</v>
      </c>
      <c r="V26" s="430">
        <f t="shared" si="6"/>
        <v>0.51610991289733787</v>
      </c>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dimension ref="A1:AW46"/>
  <sheetViews>
    <sheetView topLeftCell="P22" workbookViewId="0">
      <selection activeCell="AB42" sqref="AB42"/>
    </sheetView>
  </sheetViews>
  <sheetFormatPr defaultRowHeight="12.75"/>
  <cols>
    <col min="1" max="2" width="9.140625" style="303"/>
    <col min="3" max="3" width="14.85546875" style="303" customWidth="1"/>
    <col min="4" max="4" width="14" style="303" customWidth="1"/>
    <col min="5" max="7" width="9.140625" style="303"/>
    <col min="8" max="8" width="15" style="303" customWidth="1"/>
    <col min="9" max="9" width="15.85546875" style="303" customWidth="1"/>
    <col min="10" max="10" width="9.140625" style="303"/>
    <col min="11" max="15" width="10.7109375" style="303" customWidth="1"/>
    <col min="16" max="17" width="14.42578125" style="303" customWidth="1"/>
    <col min="18" max="18" width="14.85546875" style="303" customWidth="1"/>
    <col min="19" max="19" width="13" style="303" customWidth="1"/>
    <col min="20" max="20" width="14.140625" style="303" customWidth="1"/>
    <col min="21" max="21" width="13.42578125" style="303" customWidth="1"/>
    <col min="22" max="22" width="15.5703125" style="303" customWidth="1"/>
    <col min="23" max="24" width="13.42578125" style="303" customWidth="1"/>
    <col min="25" max="28" width="11.7109375" style="303" customWidth="1"/>
    <col min="29" max="29" width="16.42578125" style="303" customWidth="1"/>
    <col min="30" max="34" width="9.140625" style="303"/>
    <col min="35" max="35" width="21.42578125" style="303" customWidth="1"/>
    <col min="36" max="40" width="10.42578125" style="303" customWidth="1"/>
    <col min="41" max="16384" width="9.140625" style="303"/>
  </cols>
  <sheetData>
    <row r="1" spans="1:49" ht="33.75">
      <c r="A1" s="301" t="s">
        <v>219</v>
      </c>
      <c r="B1" s="302"/>
      <c r="C1" s="302"/>
      <c r="D1" s="301" t="s">
        <v>219</v>
      </c>
      <c r="E1" s="302"/>
      <c r="F1" s="302"/>
      <c r="G1" s="301" t="s">
        <v>219</v>
      </c>
      <c r="H1" s="302"/>
      <c r="I1" s="302"/>
      <c r="J1" s="301" t="s">
        <v>219</v>
      </c>
      <c r="K1" s="302"/>
      <c r="L1" s="302"/>
      <c r="M1" s="301" t="s">
        <v>219</v>
      </c>
      <c r="N1" s="302"/>
      <c r="O1" s="302"/>
      <c r="P1" s="302"/>
      <c r="Q1" s="302"/>
      <c r="R1" s="301" t="s">
        <v>219</v>
      </c>
      <c r="S1" s="302"/>
      <c r="T1" s="302"/>
      <c r="U1" s="301" t="s">
        <v>219</v>
      </c>
      <c r="V1" s="302"/>
      <c r="W1" s="302"/>
      <c r="X1" s="301" t="s">
        <v>219</v>
      </c>
      <c r="Y1" s="302"/>
      <c r="Z1" s="302"/>
      <c r="AA1" s="301" t="s">
        <v>219</v>
      </c>
      <c r="AB1" s="302"/>
      <c r="AC1" s="302"/>
      <c r="AD1" s="301" t="s">
        <v>219</v>
      </c>
      <c r="AE1" s="302"/>
      <c r="AF1" s="302"/>
      <c r="AG1" s="301" t="s">
        <v>219</v>
      </c>
    </row>
    <row r="2" spans="1:49">
      <c r="N2" s="328" t="s">
        <v>475</v>
      </c>
      <c r="AB2" s="303" t="s">
        <v>435</v>
      </c>
    </row>
    <row r="3" spans="1:49">
      <c r="N3" s="328" t="s">
        <v>474</v>
      </c>
      <c r="AB3" s="303" t="s">
        <v>436</v>
      </c>
    </row>
    <row r="4" spans="1:49" ht="15">
      <c r="H4" s="328" t="s">
        <v>481</v>
      </c>
      <c r="V4" s="304"/>
      <c r="W4" s="304" t="s">
        <v>237</v>
      </c>
      <c r="X4" s="304"/>
      <c r="Y4" s="304"/>
      <c r="Z4" s="304"/>
      <c r="AA4" s="304"/>
      <c r="AB4" s="304"/>
      <c r="AC4" s="304"/>
      <c r="AD4" s="304"/>
      <c r="AE4" s="304"/>
      <c r="AF4" s="304"/>
      <c r="AL4" s="303" t="s">
        <v>237</v>
      </c>
    </row>
    <row r="5" spans="1:49" ht="15">
      <c r="C5" s="304"/>
      <c r="D5" s="304" t="s">
        <v>229</v>
      </c>
      <c r="E5" s="304"/>
      <c r="H5" s="304"/>
      <c r="I5" s="304" t="s">
        <v>229</v>
      </c>
      <c r="J5" s="304"/>
      <c r="K5" s="456" t="s">
        <v>437</v>
      </c>
      <c r="L5" s="456"/>
      <c r="M5" s="456"/>
      <c r="N5" s="456"/>
      <c r="O5" s="456"/>
      <c r="P5" s="304"/>
      <c r="Q5" s="304"/>
      <c r="V5" s="304"/>
      <c r="W5" s="305" t="s">
        <v>233</v>
      </c>
      <c r="X5" s="305"/>
      <c r="Y5" s="305"/>
      <c r="Z5" s="305"/>
      <c r="AA5" s="305" t="s">
        <v>438</v>
      </c>
      <c r="AB5" s="305"/>
      <c r="AC5" s="305"/>
      <c r="AD5" s="305"/>
      <c r="AE5" s="304" t="s">
        <v>439</v>
      </c>
      <c r="AF5" s="304" t="s">
        <v>440</v>
      </c>
      <c r="AK5" s="116"/>
      <c r="AL5" s="324" t="s">
        <v>233</v>
      </c>
      <c r="AM5" s="324"/>
      <c r="AN5" s="324"/>
      <c r="AO5" s="324"/>
      <c r="AP5" s="324"/>
      <c r="AQ5" s="324" t="s">
        <v>438</v>
      </c>
      <c r="AR5" s="324"/>
      <c r="AS5" s="324"/>
      <c r="AT5" s="324"/>
      <c r="AU5" s="324"/>
      <c r="AV5" s="116" t="s">
        <v>439</v>
      </c>
      <c r="AW5" s="116" t="s">
        <v>440</v>
      </c>
    </row>
    <row r="6" spans="1:49" ht="75">
      <c r="C6" s="306" t="s">
        <v>230</v>
      </c>
      <c r="D6" s="306" t="s">
        <v>233</v>
      </c>
      <c r="E6" s="306" t="s">
        <v>438</v>
      </c>
      <c r="H6" s="306" t="s">
        <v>230</v>
      </c>
      <c r="I6" s="306" t="s">
        <v>233</v>
      </c>
      <c r="J6" s="306" t="s">
        <v>438</v>
      </c>
      <c r="K6" s="307" t="s">
        <v>441</v>
      </c>
      <c r="L6" s="307" t="s">
        <v>442</v>
      </c>
      <c r="M6" s="307" t="s">
        <v>443</v>
      </c>
      <c r="N6" s="307" t="s">
        <v>444</v>
      </c>
      <c r="O6" s="307" t="s">
        <v>445</v>
      </c>
      <c r="P6" s="308" t="s">
        <v>231</v>
      </c>
      <c r="Q6" s="308" t="s">
        <v>232</v>
      </c>
      <c r="R6" s="344" t="s">
        <v>473</v>
      </c>
      <c r="S6" s="344" t="s">
        <v>476</v>
      </c>
      <c r="T6" s="344" t="s">
        <v>477</v>
      </c>
      <c r="V6" s="306" t="s">
        <v>230</v>
      </c>
      <c r="W6" s="309" t="s">
        <v>243</v>
      </c>
      <c r="X6" s="309" t="s">
        <v>246</v>
      </c>
      <c r="Y6" s="309" t="s">
        <v>244</v>
      </c>
      <c r="Z6" s="309" t="s">
        <v>245</v>
      </c>
      <c r="AA6" s="309" t="s">
        <v>243</v>
      </c>
      <c r="AB6" s="309" t="s">
        <v>246</v>
      </c>
      <c r="AC6" s="310" t="s">
        <v>244</v>
      </c>
      <c r="AD6" s="310" t="s">
        <v>245</v>
      </c>
      <c r="AE6" s="306"/>
      <c r="AF6" s="306"/>
      <c r="AK6" s="111" t="s">
        <v>230</v>
      </c>
      <c r="AL6" s="325" t="s">
        <v>446</v>
      </c>
      <c r="AM6" s="325" t="s">
        <v>447</v>
      </c>
      <c r="AN6" s="325" t="s">
        <v>448</v>
      </c>
      <c r="AO6" s="325" t="s">
        <v>449</v>
      </c>
      <c r="AP6" s="325" t="s">
        <v>450</v>
      </c>
      <c r="AQ6" s="325" t="s">
        <v>446</v>
      </c>
      <c r="AR6" s="325" t="s">
        <v>447</v>
      </c>
      <c r="AS6" s="325" t="s">
        <v>448</v>
      </c>
      <c r="AT6" s="325" t="s">
        <v>449</v>
      </c>
      <c r="AU6" s="325" t="s">
        <v>450</v>
      </c>
      <c r="AV6" s="111"/>
      <c r="AW6" s="111"/>
    </row>
    <row r="7" spans="1:49">
      <c r="C7" s="311" t="s">
        <v>243</v>
      </c>
      <c r="D7" s="312">
        <v>632366475.58351636</v>
      </c>
      <c r="E7" s="313">
        <v>0.20258218787773652</v>
      </c>
      <c r="H7" s="311" t="s">
        <v>446</v>
      </c>
      <c r="I7" s="312">
        <v>256348564.45831054</v>
      </c>
      <c r="J7" s="313">
        <v>8.2122716893493722E-2</v>
      </c>
      <c r="K7" s="312">
        <v>21.577670456756923</v>
      </c>
      <c r="L7" s="312">
        <v>726.97973156667581</v>
      </c>
      <c r="M7" s="313">
        <v>0.23108122667570158</v>
      </c>
      <c r="N7" s="312">
        <v>29.144060542277977</v>
      </c>
      <c r="O7" s="312">
        <v>70.85593945772203</v>
      </c>
      <c r="P7" s="312">
        <v>29555673.968007874</v>
      </c>
      <c r="Q7" s="312">
        <v>32828242.314604659</v>
      </c>
      <c r="R7" s="312">
        <f>SUM(P7:Q7)</f>
        <v>62383916.282612532</v>
      </c>
      <c r="S7" s="323">
        <f>P7/R7</f>
        <v>0.47377073658079316</v>
      </c>
      <c r="T7" s="323">
        <f>P7/$P$12</f>
        <v>0.35263645538498067</v>
      </c>
      <c r="V7" s="311" t="s">
        <v>446</v>
      </c>
      <c r="W7" s="314">
        <v>9779310.8051621206</v>
      </c>
      <c r="X7" s="314">
        <v>117899367.51500764</v>
      </c>
      <c r="Y7" s="314">
        <v>55636541.228300236</v>
      </c>
      <c r="Z7" s="314">
        <v>64469405.931716077</v>
      </c>
      <c r="AA7" s="315">
        <v>3.9466979786218076E-2</v>
      </c>
      <c r="AB7" s="315">
        <v>0.47581389396750684</v>
      </c>
      <c r="AC7" s="315">
        <v>0.22453588926464355</v>
      </c>
      <c r="AD7" s="315">
        <v>0.26018323698163159</v>
      </c>
      <c r="AE7" s="312">
        <v>247784625.48018607</v>
      </c>
      <c r="AF7" s="313">
        <v>1</v>
      </c>
      <c r="AK7" s="105" t="s">
        <v>466</v>
      </c>
      <c r="AL7" s="326">
        <v>2768901.55939293</v>
      </c>
      <c r="AM7" s="326">
        <v>5932357.5499163996</v>
      </c>
      <c r="AN7" s="326"/>
      <c r="AO7" s="326"/>
      <c r="AP7" s="326">
        <v>16906649.853959657</v>
      </c>
      <c r="AQ7" s="327">
        <v>1.0801314863002605E-2</v>
      </c>
      <c r="AR7" s="327">
        <v>7.2958804317112044E-3</v>
      </c>
      <c r="AS7" s="327">
        <v>0</v>
      </c>
      <c r="AT7" s="327">
        <v>0</v>
      </c>
      <c r="AU7" s="327">
        <v>2.5327704522464564E-2</v>
      </c>
      <c r="AV7" s="101">
        <v>25607908.963268988</v>
      </c>
      <c r="AW7" s="102">
        <v>8.2036389104371381E-3</v>
      </c>
    </row>
    <row r="8" spans="1:49">
      <c r="C8" s="311" t="s">
        <v>246</v>
      </c>
      <c r="D8" s="312">
        <v>1454877659.6604323</v>
      </c>
      <c r="E8" s="313">
        <v>0.46607831181513376</v>
      </c>
      <c r="H8" s="311" t="s">
        <v>447</v>
      </c>
      <c r="I8" s="312">
        <v>813110577.32411397</v>
      </c>
      <c r="J8" s="313">
        <v>0.26048458623435322</v>
      </c>
      <c r="K8" s="312">
        <v>17.93341584570042</v>
      </c>
      <c r="L8" s="312">
        <v>1253.000188917131</v>
      </c>
      <c r="M8" s="313">
        <v>0.11969285838398808</v>
      </c>
      <c r="N8" s="312">
        <v>17.679259085301183</v>
      </c>
      <c r="O8" s="312">
        <v>82.320740914698817</v>
      </c>
      <c r="P8" s="312">
        <v>25405439.81576439</v>
      </c>
      <c r="Q8" s="312">
        <v>70692594.788724765</v>
      </c>
      <c r="R8" s="312">
        <f t="shared" ref="R8:R12" si="0">SUM(P8:Q8)</f>
        <v>96098034.604489148</v>
      </c>
      <c r="S8" s="323">
        <f t="shared" ref="S8:S12" si="1">P8/R8</f>
        <v>0.2643700250512469</v>
      </c>
      <c r="T8" s="323">
        <f t="shared" ref="T8:T11" si="2">P8/$P$12</f>
        <v>0.30311892917160443</v>
      </c>
      <c r="V8" s="311" t="s">
        <v>447</v>
      </c>
      <c r="W8" s="314">
        <v>79773970.567244112</v>
      </c>
      <c r="X8" s="314">
        <v>468565564.4466337</v>
      </c>
      <c r="Y8" s="314">
        <v>81693770.893935964</v>
      </c>
      <c r="Z8" s="314">
        <v>159981860.76300156</v>
      </c>
      <c r="AA8" s="315">
        <v>0.10097777097548362</v>
      </c>
      <c r="AB8" s="315">
        <v>0.59310958094792665</v>
      </c>
      <c r="AC8" s="315">
        <v>0.10340785131784215</v>
      </c>
      <c r="AD8" s="315">
        <v>0.20250479675874758</v>
      </c>
      <c r="AE8" s="312">
        <v>790015166.67081535</v>
      </c>
      <c r="AF8" s="313">
        <v>1</v>
      </c>
      <c r="AK8" s="105" t="s">
        <v>252</v>
      </c>
      <c r="AL8" s="326">
        <v>382739.37131799106</v>
      </c>
      <c r="AM8" s="326">
        <v>11901933.522925701</v>
      </c>
      <c r="AN8" s="326"/>
      <c r="AO8" s="326"/>
      <c r="AP8" s="326"/>
      <c r="AQ8" s="327">
        <v>1.4930427721596832E-3</v>
      </c>
      <c r="AR8" s="327">
        <v>1.4637533755979513E-2</v>
      </c>
      <c r="AS8" s="327">
        <v>0</v>
      </c>
      <c r="AT8" s="327">
        <v>0</v>
      </c>
      <c r="AU8" s="327">
        <v>0</v>
      </c>
      <c r="AV8" s="101">
        <v>12284672.894243691</v>
      </c>
      <c r="AW8" s="102">
        <v>3.9354646528056451E-3</v>
      </c>
    </row>
    <row r="9" spans="1:49">
      <c r="C9" s="311" t="s">
        <v>244</v>
      </c>
      <c r="D9" s="312">
        <v>485884509.72213298</v>
      </c>
      <c r="E9" s="313">
        <v>0.15565585911963992</v>
      </c>
      <c r="H9" s="311" t="s">
        <v>448</v>
      </c>
      <c r="I9" s="312">
        <v>812473801.17195868</v>
      </c>
      <c r="J9" s="313">
        <v>0.26028059138156956</v>
      </c>
      <c r="K9" s="312">
        <v>21.394104514429412</v>
      </c>
      <c r="L9" s="312">
        <v>3347.8444255995041</v>
      </c>
      <c r="M9" s="313">
        <v>0.1014958555249139</v>
      </c>
      <c r="N9" s="312">
        <v>18.981387836110311</v>
      </c>
      <c r="O9" s="312">
        <v>80.486697270272657</v>
      </c>
      <c r="P9" s="312">
        <v>14923702.536872642</v>
      </c>
      <c r="Q9" s="312">
        <v>65110148.117387861</v>
      </c>
      <c r="R9" s="312">
        <f t="shared" si="0"/>
        <v>80033850.654260501</v>
      </c>
      <c r="S9" s="323">
        <f t="shared" si="1"/>
        <v>0.1864673811752702</v>
      </c>
      <c r="T9" s="323">
        <f t="shared" si="2"/>
        <v>0.17805858765119298</v>
      </c>
      <c r="V9" s="311" t="s">
        <v>448</v>
      </c>
      <c r="W9" s="314">
        <v>122445415.82918324</v>
      </c>
      <c r="X9" s="314">
        <v>461627470.06932807</v>
      </c>
      <c r="Y9" s="314">
        <v>92313263.215162605</v>
      </c>
      <c r="Z9" s="314">
        <v>108620548.91046327</v>
      </c>
      <c r="AA9" s="315">
        <v>0.15598009053601516</v>
      </c>
      <c r="AB9" s="315">
        <v>0.58805545383401814</v>
      </c>
      <c r="AC9" s="315">
        <v>0.11759551026445404</v>
      </c>
      <c r="AD9" s="315">
        <v>0.13836894536551256</v>
      </c>
      <c r="AE9" s="312">
        <v>785006698.02413726</v>
      </c>
      <c r="AF9" s="313">
        <v>1</v>
      </c>
      <c r="AK9" s="105" t="s">
        <v>248</v>
      </c>
      <c r="AL9" s="326"/>
      <c r="AM9" s="326"/>
      <c r="AN9" s="326">
        <v>11245824.47337872</v>
      </c>
      <c r="AO9" s="326">
        <v>12238403.915355381</v>
      </c>
      <c r="AP9" s="326">
        <v>17737335.932137404</v>
      </c>
      <c r="AQ9" s="327">
        <v>0</v>
      </c>
      <c r="AR9" s="327">
        <v>0</v>
      </c>
      <c r="AS9" s="327">
        <v>1.3841461050383532E-2</v>
      </c>
      <c r="AT9" s="327">
        <v>2.1392764018542607E-2</v>
      </c>
      <c r="AU9" s="327">
        <v>2.657214808288309E-2</v>
      </c>
      <c r="AV9" s="101">
        <v>41221564.320871502</v>
      </c>
      <c r="AW9" s="102">
        <v>1.3205561980747524E-2</v>
      </c>
    </row>
    <row r="10" spans="1:49">
      <c r="C10" s="311" t="s">
        <v>245</v>
      </c>
      <c r="D10" s="312">
        <v>447969509.13731349</v>
      </c>
      <c r="E10" s="313">
        <v>0.14350957358992261</v>
      </c>
      <c r="H10" s="311" t="s">
        <v>449</v>
      </c>
      <c r="I10" s="312">
        <v>572081471.32121384</v>
      </c>
      <c r="J10" s="313">
        <v>0.18326954476456919</v>
      </c>
      <c r="K10" s="312">
        <v>26.501126604206227</v>
      </c>
      <c r="L10" s="312">
        <v>7368.7576208179762</v>
      </c>
      <c r="M10" s="313">
        <v>0.10633879128095124</v>
      </c>
      <c r="N10" s="312">
        <v>9.767500019073486</v>
      </c>
      <c r="O10" s="312">
        <v>88.532866280716988</v>
      </c>
      <c r="P10" s="312">
        <v>9155118.4403806329</v>
      </c>
      <c r="Q10" s="312">
        <v>45112940.196269937</v>
      </c>
      <c r="R10" s="312">
        <f t="shared" si="0"/>
        <v>54268058.63665057</v>
      </c>
      <c r="S10" s="323">
        <f t="shared" si="1"/>
        <v>0.16870178647219225</v>
      </c>
      <c r="T10" s="323">
        <f t="shared" si="2"/>
        <v>0.10923210612419348</v>
      </c>
      <c r="V10" s="311" t="s">
        <v>449</v>
      </c>
      <c r="W10" s="314">
        <v>187777756.39950857</v>
      </c>
      <c r="X10" s="314">
        <v>198504084.34852728</v>
      </c>
      <c r="Y10" s="314">
        <v>96174469.960117921</v>
      </c>
      <c r="Z10" s="314">
        <v>71786642.597729191</v>
      </c>
      <c r="AA10" s="315">
        <v>0.33880043991443459</v>
      </c>
      <c r="AB10" s="315">
        <v>0.35815355552021644</v>
      </c>
      <c r="AC10" s="315">
        <v>0.17352402838226053</v>
      </c>
      <c r="AD10" s="315">
        <v>0.12952197618308847</v>
      </c>
      <c r="AE10" s="312">
        <v>554242953.30588293</v>
      </c>
      <c r="AF10" s="313">
        <v>1</v>
      </c>
      <c r="AK10" s="105" t="s">
        <v>467</v>
      </c>
      <c r="AL10" s="326">
        <v>184924423.26419216</v>
      </c>
      <c r="AM10" s="326">
        <v>647024664.07018673</v>
      </c>
      <c r="AN10" s="326">
        <v>428590133.52434027</v>
      </c>
      <c r="AO10" s="326">
        <v>275906060.80313605</v>
      </c>
      <c r="AP10" s="326">
        <v>286635639.7899183</v>
      </c>
      <c r="AQ10" s="327">
        <v>0.72137881347202204</v>
      </c>
      <c r="AR10" s="327">
        <v>0.79574006551420939</v>
      </c>
      <c r="AS10" s="327">
        <v>0.52751255844325973</v>
      </c>
      <c r="AT10" s="327">
        <v>0.48228456021471028</v>
      </c>
      <c r="AU10" s="327">
        <v>0.42940634915357495</v>
      </c>
      <c r="AV10" s="101">
        <v>1823080921.4517736</v>
      </c>
      <c r="AW10" s="102">
        <v>0.58403431555264951</v>
      </c>
    </row>
    <row r="11" spans="1:49">
      <c r="C11" s="311" t="s">
        <v>247</v>
      </c>
      <c r="D11" s="312">
        <v>25088638.303089369</v>
      </c>
      <c r="E11" s="313">
        <v>8.0372876086183074E-3</v>
      </c>
      <c r="H11" s="311" t="s">
        <v>450</v>
      </c>
      <c r="I11" s="312">
        <v>667516072.72440338</v>
      </c>
      <c r="J11" s="313">
        <v>0.21384256072601462</v>
      </c>
      <c r="K11" s="312">
        <v>27.298366725727512</v>
      </c>
      <c r="L11" s="312">
        <v>24850.655739554899</v>
      </c>
      <c r="M11" s="313">
        <v>9.5510273465910567E-2</v>
      </c>
      <c r="N11" s="312">
        <v>12.456067095609061</v>
      </c>
      <c r="O11" s="312">
        <v>86.819295223231506</v>
      </c>
      <c r="P11" s="312">
        <v>4773504.0274891108</v>
      </c>
      <c r="Q11" s="312">
        <v>65673828.192026913</v>
      </c>
      <c r="R11" s="312">
        <f t="shared" si="0"/>
        <v>70447332.219516024</v>
      </c>
      <c r="S11" s="323">
        <f t="shared" si="1"/>
        <v>6.7759897743391154E-2</v>
      </c>
      <c r="T11" s="323">
        <f t="shared" si="2"/>
        <v>5.6953921668027818E-2</v>
      </c>
      <c r="V11" s="311" t="s">
        <v>450</v>
      </c>
      <c r="W11" s="314">
        <v>232590021.98241845</v>
      </c>
      <c r="X11" s="314">
        <v>208281173.28093502</v>
      </c>
      <c r="Y11" s="314">
        <v>160066464.42461631</v>
      </c>
      <c r="Z11" s="314">
        <v>43111050.934403166</v>
      </c>
      <c r="AA11" s="315">
        <v>0.36113731484324585</v>
      </c>
      <c r="AB11" s="315">
        <v>0.32339351022015655</v>
      </c>
      <c r="AC11" s="315">
        <v>0.24853161225947792</v>
      </c>
      <c r="AD11" s="315">
        <v>6.6937562677119616E-2</v>
      </c>
      <c r="AE11" s="312">
        <v>644048710.62237298</v>
      </c>
      <c r="AF11" s="313">
        <v>1</v>
      </c>
      <c r="AK11" s="105" t="s">
        <v>249</v>
      </c>
      <c r="AL11" s="326">
        <v>2571240.7054235702</v>
      </c>
      <c r="AM11" s="326"/>
      <c r="AN11" s="326">
        <v>45269981.269138828</v>
      </c>
      <c r="AO11" s="326">
        <v>22446515.22727548</v>
      </c>
      <c r="AP11" s="326">
        <v>21523422.201023743</v>
      </c>
      <c r="AQ11" s="327">
        <v>1.0030252015870864E-2</v>
      </c>
      <c r="AR11" s="327">
        <v>0</v>
      </c>
      <c r="AS11" s="327">
        <v>5.5718696656850739E-2</v>
      </c>
      <c r="AT11" s="327">
        <v>3.9236570930073253E-2</v>
      </c>
      <c r="AU11" s="327">
        <v>3.2244050863341672E-2</v>
      </c>
      <c r="AV11" s="101">
        <v>91811159.402861625</v>
      </c>
      <c r="AW11" s="102">
        <v>2.941222576079925E-2</v>
      </c>
    </row>
    <row r="12" spans="1:49" ht="15">
      <c r="C12" s="311" t="s">
        <v>252</v>
      </c>
      <c r="D12" s="312">
        <v>12284672.894243691</v>
      </c>
      <c r="E12" s="313">
        <v>3.9354646528056451E-3</v>
      </c>
      <c r="H12" s="316" t="s">
        <v>242</v>
      </c>
      <c r="I12" s="317">
        <v>3121530486.9999995</v>
      </c>
      <c r="J12" s="318">
        <v>1</v>
      </c>
      <c r="K12" s="317">
        <v>22.228200291910422</v>
      </c>
      <c r="L12" s="317">
        <v>6491.564515402144</v>
      </c>
      <c r="M12" s="318">
        <v>0.13370688685087692</v>
      </c>
      <c r="N12" s="317">
        <v>18.575672672295951</v>
      </c>
      <c r="O12" s="317">
        <v>80.961294323923141</v>
      </c>
      <c r="P12" s="319">
        <v>83813438.788514704</v>
      </c>
      <c r="Q12" s="319">
        <v>279417753.60901403</v>
      </c>
      <c r="R12" s="321">
        <f t="shared" si="0"/>
        <v>363231192.39752877</v>
      </c>
      <c r="S12" s="343">
        <f t="shared" si="1"/>
        <v>0.23074405652030924</v>
      </c>
      <c r="T12" s="343">
        <f>SUM(T7:T11)</f>
        <v>0.99999999999999944</v>
      </c>
      <c r="V12" s="316" t="s">
        <v>242</v>
      </c>
      <c r="W12" s="317">
        <v>632366475.58351648</v>
      </c>
      <c r="X12" s="317">
        <v>1454877659.6604316</v>
      </c>
      <c r="Y12" s="317">
        <v>485884509.72213304</v>
      </c>
      <c r="Z12" s="317">
        <v>447969509.13731331</v>
      </c>
      <c r="AA12" s="318">
        <v>0.20931675944543801</v>
      </c>
      <c r="AB12" s="318">
        <v>0.48157245658647324</v>
      </c>
      <c r="AC12" s="318">
        <v>0.16083042818790322</v>
      </c>
      <c r="AD12" s="318">
        <v>0.14828035578018559</v>
      </c>
      <c r="AE12" s="317">
        <v>3021098154.103395</v>
      </c>
      <c r="AF12" s="318">
        <v>1</v>
      </c>
      <c r="AK12" s="105" t="s">
        <v>468</v>
      </c>
      <c r="AL12" s="326"/>
      <c r="AM12" s="326">
        <v>17327321.015009329</v>
      </c>
      <c r="AN12" s="326">
        <v>55949110.188265651</v>
      </c>
      <c r="AO12" s="326">
        <v>104327358.18216448</v>
      </c>
      <c r="AP12" s="326">
        <v>228381132.85912725</v>
      </c>
      <c r="AQ12" s="327">
        <v>0</v>
      </c>
      <c r="AR12" s="327">
        <v>2.1309919583179272E-2</v>
      </c>
      <c r="AS12" s="327">
        <v>6.8862663765356436E-2</v>
      </c>
      <c r="AT12" s="327">
        <v>0.18236451172106996</v>
      </c>
      <c r="AU12" s="327">
        <v>0.34213578098128988</v>
      </c>
      <c r="AV12" s="101">
        <v>405984922.24456668</v>
      </c>
      <c r="AW12" s="102">
        <v>0.13005957299963627</v>
      </c>
    </row>
    <row r="13" spans="1:49">
      <c r="C13" s="311" t="s">
        <v>248</v>
      </c>
      <c r="D13" s="312">
        <v>24090431.822482333</v>
      </c>
      <c r="E13" s="313">
        <v>7.7175064997154173E-3</v>
      </c>
      <c r="P13" s="323">
        <f>P12/R12</f>
        <v>0.23074405652030924</v>
      </c>
      <c r="AK13" s="105" t="s">
        <v>469</v>
      </c>
      <c r="AL13" s="326">
        <v>3486592.9344898001</v>
      </c>
      <c r="AM13" s="326">
        <v>19003201.675874211</v>
      </c>
      <c r="AN13" s="326">
        <v>32189662.920687295</v>
      </c>
      <c r="AO13" s="326">
        <v>17342745.587337546</v>
      </c>
      <c r="AP13" s="326">
        <v>21571770.53220699</v>
      </c>
      <c r="AQ13" s="327">
        <v>1.3600984822588383E-2</v>
      </c>
      <c r="AR13" s="327">
        <v>2.3370993079947791E-2</v>
      </c>
      <c r="AS13" s="327">
        <v>3.9619324185290752E-2</v>
      </c>
      <c r="AT13" s="327">
        <v>3.0315167431108587E-2</v>
      </c>
      <c r="AU13" s="327">
        <v>3.2316481076124295E-2</v>
      </c>
      <c r="AV13" s="101">
        <v>93593973.650595844</v>
      </c>
      <c r="AW13" s="102">
        <v>2.9983360418993032E-2</v>
      </c>
    </row>
    <row r="14" spans="1:49">
      <c r="C14" s="311" t="s">
        <v>249</v>
      </c>
      <c r="D14" s="312">
        <v>38968589.876789875</v>
      </c>
      <c r="E14" s="313">
        <v>1.2483808836427961E-2</v>
      </c>
      <c r="H14" s="303" t="s">
        <v>451</v>
      </c>
      <c r="AK14" s="105" t="s">
        <v>470</v>
      </c>
      <c r="AL14" s="326">
        <v>62214666.623494029</v>
      </c>
      <c r="AM14" s="326">
        <v>111921099.49020116</v>
      </c>
      <c r="AN14" s="326">
        <v>239229088.79614788</v>
      </c>
      <c r="AO14" s="326">
        <v>139820387.60594493</v>
      </c>
      <c r="AP14" s="326">
        <v>74760121.556030065</v>
      </c>
      <c r="AQ14" s="327">
        <v>0.24269559205435651</v>
      </c>
      <c r="AR14" s="327">
        <v>0.13764560763497283</v>
      </c>
      <c r="AS14" s="327">
        <v>0.29444529589885871</v>
      </c>
      <c r="AT14" s="327">
        <v>0.24440642568449517</v>
      </c>
      <c r="AU14" s="327">
        <v>0.11199748532032155</v>
      </c>
      <c r="AV14" s="101">
        <v>627945364.07181811</v>
      </c>
      <c r="AW14" s="102">
        <v>0.20116585972393167</v>
      </c>
    </row>
    <row r="15" spans="1:49" ht="15">
      <c r="C15" s="316" t="s">
        <v>242</v>
      </c>
      <c r="D15" s="317">
        <v>3121530487</v>
      </c>
      <c r="E15" s="318">
        <v>1</v>
      </c>
      <c r="H15" s="303" t="s">
        <v>228</v>
      </c>
      <c r="I15" s="303" t="s">
        <v>240</v>
      </c>
      <c r="AK15" s="113" t="s">
        <v>242</v>
      </c>
      <c r="AL15" s="114">
        <v>256348564.45831046</v>
      </c>
      <c r="AM15" s="114">
        <v>813110577.32411349</v>
      </c>
      <c r="AN15" s="114">
        <v>812473801.17195868</v>
      </c>
      <c r="AO15" s="114">
        <v>572081471.32121396</v>
      </c>
      <c r="AP15" s="114">
        <v>667516072.72440338</v>
      </c>
      <c r="AQ15" s="115">
        <v>1</v>
      </c>
      <c r="AR15" s="115">
        <v>1</v>
      </c>
      <c r="AS15" s="115">
        <v>1</v>
      </c>
      <c r="AT15" s="115">
        <v>1</v>
      </c>
      <c r="AU15" s="115">
        <v>1</v>
      </c>
      <c r="AV15" s="114">
        <v>3121530487</v>
      </c>
      <c r="AW15" s="115">
        <v>1</v>
      </c>
    </row>
    <row r="17" spans="8:32" ht="15">
      <c r="H17" s="304"/>
      <c r="I17" s="304" t="s">
        <v>229</v>
      </c>
      <c r="J17" s="304"/>
      <c r="K17" s="456" t="s">
        <v>437</v>
      </c>
      <c r="L17" s="456"/>
      <c r="M17" s="456"/>
      <c r="N17" s="456"/>
      <c r="O17" s="456"/>
      <c r="P17" s="304"/>
      <c r="Q17" s="304"/>
    </row>
    <row r="18" spans="8:32" ht="75">
      <c r="H18" s="306" t="s">
        <v>230</v>
      </c>
      <c r="I18" s="306" t="s">
        <v>233</v>
      </c>
      <c r="J18" s="306" t="s">
        <v>438</v>
      </c>
      <c r="K18" s="307" t="s">
        <v>441</v>
      </c>
      <c r="L18" s="307" t="s">
        <v>442</v>
      </c>
      <c r="M18" s="307" t="s">
        <v>443</v>
      </c>
      <c r="N18" s="307" t="s">
        <v>444</v>
      </c>
      <c r="O18" s="307" t="s">
        <v>445</v>
      </c>
      <c r="P18" s="308" t="s">
        <v>231</v>
      </c>
      <c r="Q18" s="308" t="s">
        <v>232</v>
      </c>
      <c r="R18" s="344" t="s">
        <v>473</v>
      </c>
      <c r="S18" s="344"/>
      <c r="T18" s="344"/>
    </row>
    <row r="19" spans="8:32">
      <c r="H19" s="311" t="s">
        <v>446</v>
      </c>
      <c r="I19" s="312">
        <v>197492391.95187879</v>
      </c>
      <c r="J19" s="313">
        <v>8.7404206194353434E-2</v>
      </c>
      <c r="K19" s="312">
        <v>18.848951609504798</v>
      </c>
      <c r="L19" s="312">
        <v>665.9645288028147</v>
      </c>
      <c r="M19" s="313">
        <v>0.19472857065210941</v>
      </c>
      <c r="N19" s="312">
        <v>21.885548567594228</v>
      </c>
      <c r="O19" s="312">
        <v>78.114451432405758</v>
      </c>
      <c r="P19" s="312">
        <v>22565975.886346158</v>
      </c>
      <c r="Q19" s="312">
        <v>21290852.83748883</v>
      </c>
      <c r="R19" s="312">
        <f>SUM(P19:Q19)</f>
        <v>43856828.723834991</v>
      </c>
      <c r="S19" s="312"/>
      <c r="T19" s="312"/>
    </row>
    <row r="20" spans="8:32">
      <c r="H20" s="311" t="s">
        <v>447</v>
      </c>
      <c r="I20" s="312">
        <v>593784070.8605957</v>
      </c>
      <c r="J20" s="313">
        <v>0.26279101109407749</v>
      </c>
      <c r="K20" s="312">
        <v>17.436305720430269</v>
      </c>
      <c r="L20" s="312">
        <v>1145.9972941564695</v>
      </c>
      <c r="M20" s="313">
        <v>0.11294864161089985</v>
      </c>
      <c r="N20" s="312">
        <v>15.193744619702152</v>
      </c>
      <c r="O20" s="312">
        <v>84.806255380297856</v>
      </c>
      <c r="P20" s="312">
        <v>11256767.250029657</v>
      </c>
      <c r="Q20" s="312">
        <v>56879395.490897283</v>
      </c>
      <c r="R20" s="312">
        <f t="shared" ref="R20:R24" si="3">SUM(P20:Q20)</f>
        <v>68136162.740926936</v>
      </c>
      <c r="S20" s="312"/>
      <c r="T20" s="312"/>
    </row>
    <row r="21" spans="8:32">
      <c r="H21" s="311" t="s">
        <v>448</v>
      </c>
      <c r="I21" s="312">
        <v>624323685.40084517</v>
      </c>
      <c r="J21" s="313">
        <v>0.27630692803644985</v>
      </c>
      <c r="K21" s="312">
        <v>20.792931953321666</v>
      </c>
      <c r="L21" s="312">
        <v>3324.2757913680043</v>
      </c>
      <c r="M21" s="313">
        <v>9.9256752829348677E-2</v>
      </c>
      <c r="N21" s="312">
        <v>18.79022487168341</v>
      </c>
      <c r="O21" s="312">
        <v>80.524843621467269</v>
      </c>
      <c r="P21" s="312">
        <v>11529326.527404869</v>
      </c>
      <c r="Q21" s="312">
        <v>49448476.197533481</v>
      </c>
      <c r="R21" s="312">
        <f t="shared" si="3"/>
        <v>60977802.724938348</v>
      </c>
      <c r="S21" s="312"/>
      <c r="T21" s="312"/>
    </row>
    <row r="22" spans="8:32">
      <c r="H22" s="311" t="s">
        <v>449</v>
      </c>
      <c r="I22" s="312">
        <v>442192483.7423892</v>
      </c>
      <c r="J22" s="313">
        <v>0.19570112369711154</v>
      </c>
      <c r="K22" s="312">
        <v>26.223134030015601</v>
      </c>
      <c r="L22" s="312">
        <v>7267.9260016899898</v>
      </c>
      <c r="M22" s="313">
        <v>0.10427748930885888</v>
      </c>
      <c r="N22" s="312">
        <v>10.00574714836033</v>
      </c>
      <c r="O22" s="312">
        <v>89.190076184732177</v>
      </c>
      <c r="P22" s="312">
        <v>8289809.4544464741</v>
      </c>
      <c r="Q22" s="312">
        <v>32817313.77649866</v>
      </c>
      <c r="R22" s="312">
        <f t="shared" si="3"/>
        <v>41107123.230945133</v>
      </c>
      <c r="S22" s="312"/>
      <c r="T22" s="312"/>
      <c r="AA22" s="313"/>
      <c r="AB22" s="313"/>
      <c r="AC22" s="313"/>
      <c r="AD22" s="313"/>
      <c r="AE22" s="313"/>
    </row>
    <row r="23" spans="8:32">
      <c r="H23" s="311" t="s">
        <v>450</v>
      </c>
      <c r="I23" s="312">
        <v>401736978.24098438</v>
      </c>
      <c r="J23" s="313">
        <v>0.17779673097800786</v>
      </c>
      <c r="K23" s="312">
        <v>26.250743137171227</v>
      </c>
      <c r="L23" s="312">
        <v>20016.985827140823</v>
      </c>
      <c r="M23" s="313">
        <v>9.085308600644329E-2</v>
      </c>
      <c r="N23" s="312">
        <v>14.429371772529128</v>
      </c>
      <c r="O23" s="312">
        <v>84.506798440236835</v>
      </c>
      <c r="P23" s="312">
        <v>3528204.7743220474</v>
      </c>
      <c r="Q23" s="312">
        <v>31629319.872062009</v>
      </c>
      <c r="R23" s="312">
        <f t="shared" si="3"/>
        <v>35157524.646384053</v>
      </c>
      <c r="S23" s="312"/>
      <c r="T23" s="312"/>
    </row>
    <row r="24" spans="8:32" ht="15">
      <c r="H24" s="316" t="s">
        <v>242</v>
      </c>
      <c r="I24" s="317">
        <v>2259529610.1966929</v>
      </c>
      <c r="J24" s="318">
        <v>1</v>
      </c>
      <c r="K24" s="317">
        <v>21.150527267066717</v>
      </c>
      <c r="L24" s="317">
        <v>5364.7231450528097</v>
      </c>
      <c r="M24" s="318">
        <v>0.12168272542982583</v>
      </c>
      <c r="N24" s="317">
        <v>16.552840459469842</v>
      </c>
      <c r="O24" s="317">
        <v>83.002409342802068</v>
      </c>
      <c r="P24" s="319">
        <v>57170083.892549202</v>
      </c>
      <c r="Q24" s="319">
        <v>192065358.17448035</v>
      </c>
      <c r="R24" s="321">
        <f t="shared" si="3"/>
        <v>249235442.06702954</v>
      </c>
      <c r="S24" s="321"/>
      <c r="T24" s="321"/>
    </row>
    <row r="25" spans="8:32">
      <c r="I25" s="312"/>
      <c r="J25" s="313"/>
      <c r="K25" s="312"/>
      <c r="L25" s="312"/>
      <c r="M25" s="313"/>
      <c r="N25" s="312"/>
      <c r="O25" s="312"/>
      <c r="P25" s="312"/>
      <c r="Q25" s="312"/>
    </row>
    <row r="26" spans="8:32">
      <c r="I26" s="312"/>
      <c r="J26" s="313"/>
      <c r="K26" s="312"/>
      <c r="L26" s="312"/>
      <c r="M26" s="313"/>
      <c r="N26" s="312"/>
      <c r="O26" s="312"/>
      <c r="P26" s="312"/>
      <c r="Q26" s="312"/>
    </row>
    <row r="27" spans="8:32">
      <c r="I27" s="312"/>
      <c r="J27" s="313"/>
      <c r="K27" s="312"/>
      <c r="L27" s="312"/>
      <c r="M27" s="313"/>
      <c r="N27" s="312"/>
      <c r="O27" s="312"/>
      <c r="P27" s="312"/>
      <c r="Q27" s="312"/>
    </row>
    <row r="28" spans="8:32">
      <c r="I28" s="312"/>
      <c r="J28" s="313"/>
      <c r="K28" s="312"/>
      <c r="L28" s="312"/>
      <c r="M28" s="313"/>
      <c r="N28" s="312"/>
      <c r="O28" s="312"/>
      <c r="P28" s="312"/>
      <c r="Q28" s="312"/>
      <c r="Z28" s="329" t="s">
        <v>471</v>
      </c>
      <c r="AA28" s="330"/>
      <c r="AB28" s="330"/>
      <c r="AC28" s="330"/>
      <c r="AD28" s="330"/>
      <c r="AE28" s="331"/>
      <c r="AF28" s="341"/>
    </row>
    <row r="29" spans="8:32" ht="77.25">
      <c r="O29" s="306" t="s">
        <v>230</v>
      </c>
      <c r="P29" s="308" t="s">
        <v>231</v>
      </c>
      <c r="Q29" s="310" t="s">
        <v>244</v>
      </c>
      <c r="R29" s="308" t="s">
        <v>452</v>
      </c>
      <c r="S29" s="310" t="s">
        <v>245</v>
      </c>
      <c r="T29" s="308" t="s">
        <v>453</v>
      </c>
      <c r="U29" s="320" t="s">
        <v>454</v>
      </c>
      <c r="V29" s="308" t="s">
        <v>455</v>
      </c>
      <c r="Z29" s="332"/>
      <c r="AA29" s="333" t="s">
        <v>461</v>
      </c>
      <c r="AB29" s="333" t="s">
        <v>462</v>
      </c>
      <c r="AC29" s="333" t="s">
        <v>463</v>
      </c>
      <c r="AD29" s="333" t="s">
        <v>464</v>
      </c>
      <c r="AE29" s="334" t="s">
        <v>465</v>
      </c>
      <c r="AF29" s="341"/>
    </row>
    <row r="30" spans="8:32">
      <c r="O30" s="311" t="s">
        <v>446</v>
      </c>
      <c r="P30" s="312">
        <v>29555673.968007874</v>
      </c>
      <c r="Q30" s="315">
        <f t="shared" ref="Q30:Q35" si="4">AC7</f>
        <v>0.22453588926464355</v>
      </c>
      <c r="R30" s="312">
        <f>P30*Q30</f>
        <v>6636309.5372225242</v>
      </c>
      <c r="S30" s="315">
        <f t="shared" ref="S30:S35" si="5">AD7</f>
        <v>0.26018323698163159</v>
      </c>
      <c r="T30" s="312">
        <f>P30*S30</f>
        <v>7689890.9241700321</v>
      </c>
      <c r="U30" s="315">
        <f>SUM(AA7:AB7)</f>
        <v>0.51528087375372489</v>
      </c>
      <c r="V30" s="312">
        <f>P30*U30</f>
        <v>15229473.506615318</v>
      </c>
      <c r="W30" s="321">
        <f t="shared" ref="W30:W34" si="6">SUM(R30,T30,V30)</f>
        <v>29555673.968007874</v>
      </c>
      <c r="Z30" s="335" t="s">
        <v>458</v>
      </c>
      <c r="AA30" s="352">
        <v>1</v>
      </c>
      <c r="AB30" s="352">
        <v>1</v>
      </c>
      <c r="AC30" s="352">
        <v>1</v>
      </c>
      <c r="AD30" s="352">
        <v>1</v>
      </c>
      <c r="AE30" s="353">
        <v>1</v>
      </c>
      <c r="AF30" s="336"/>
    </row>
    <row r="31" spans="8:32">
      <c r="O31" s="311" t="s">
        <v>447</v>
      </c>
      <c r="P31" s="312">
        <v>25405439.81576439</v>
      </c>
      <c r="Q31" s="315">
        <f t="shared" si="4"/>
        <v>0.10340785131784215</v>
      </c>
      <c r="R31" s="312">
        <f t="shared" ref="R31:R34" si="7">P31*Q31</f>
        <v>2627121.9431329509</v>
      </c>
      <c r="S31" s="315">
        <f t="shared" si="5"/>
        <v>0.20250479675874758</v>
      </c>
      <c r="T31" s="312">
        <f t="shared" ref="T31:T34" si="8">P31*S31</f>
        <v>5144723.4264579611</v>
      </c>
      <c r="U31" s="315">
        <f t="shared" ref="U31:U34" si="9">SUM(AA8:AB8)</f>
        <v>0.69408735192341031</v>
      </c>
      <c r="V31" s="312">
        <f t="shared" ref="V31:V34" si="10">P31*U31</f>
        <v>17633594.446173478</v>
      </c>
      <c r="W31" s="321">
        <f t="shared" si="6"/>
        <v>25405439.81576439</v>
      </c>
      <c r="Z31" s="335" t="s">
        <v>459</v>
      </c>
      <c r="AA31" s="352">
        <v>1</v>
      </c>
      <c r="AB31" s="352">
        <v>1</v>
      </c>
      <c r="AC31" s="352">
        <v>1</v>
      </c>
      <c r="AD31" s="352">
        <v>1</v>
      </c>
      <c r="AE31" s="353">
        <v>1</v>
      </c>
      <c r="AF31" s="336"/>
    </row>
    <row r="32" spans="8:32">
      <c r="O32" s="311" t="s">
        <v>448</v>
      </c>
      <c r="P32" s="312">
        <v>14923702.536872642</v>
      </c>
      <c r="Q32" s="315">
        <f t="shared" si="4"/>
        <v>0.11759551026445404</v>
      </c>
      <c r="R32" s="312">
        <f t="shared" si="7"/>
        <v>1754960.4148584655</v>
      </c>
      <c r="S32" s="315">
        <f t="shared" si="5"/>
        <v>0.13836894536551256</v>
      </c>
      <c r="T32" s="312">
        <f t="shared" si="8"/>
        <v>2064976.9809756917</v>
      </c>
      <c r="U32" s="315">
        <f t="shared" si="9"/>
        <v>0.74403554437003327</v>
      </c>
      <c r="V32" s="312">
        <f t="shared" si="10"/>
        <v>11103765.141038483</v>
      </c>
      <c r="W32" s="321">
        <f t="shared" si="6"/>
        <v>14923702.53687264</v>
      </c>
      <c r="Z32" s="338" t="s">
        <v>460</v>
      </c>
      <c r="AA32" s="354">
        <v>1</v>
      </c>
      <c r="AB32" s="354">
        <v>1</v>
      </c>
      <c r="AC32" s="354">
        <v>1</v>
      </c>
      <c r="AD32" s="354">
        <v>1</v>
      </c>
      <c r="AE32" s="355">
        <v>1</v>
      </c>
      <c r="AF32" s="336"/>
    </row>
    <row r="33" spans="15:31">
      <c r="O33" s="311" t="s">
        <v>449</v>
      </c>
      <c r="P33" s="312">
        <v>9155118.4403806329</v>
      </c>
      <c r="Q33" s="315">
        <f t="shared" si="4"/>
        <v>0.17352402838226053</v>
      </c>
      <c r="R33" s="312">
        <f t="shared" si="7"/>
        <v>1588633.0320915657</v>
      </c>
      <c r="S33" s="315">
        <f t="shared" si="5"/>
        <v>0.12952197618308847</v>
      </c>
      <c r="T33" s="312">
        <f t="shared" si="8"/>
        <v>1185789.0325883345</v>
      </c>
      <c r="U33" s="315">
        <f t="shared" si="9"/>
        <v>0.69695399543465109</v>
      </c>
      <c r="V33" s="312">
        <f t="shared" si="10"/>
        <v>6380696.3757007336</v>
      </c>
      <c r="W33" s="321">
        <f t="shared" si="6"/>
        <v>9155118.4403806329</v>
      </c>
    </row>
    <row r="34" spans="15:31">
      <c r="O34" s="311" t="s">
        <v>450</v>
      </c>
      <c r="P34" s="312">
        <v>4773504.0274891108</v>
      </c>
      <c r="Q34" s="315">
        <f t="shared" si="4"/>
        <v>0.24853161225947792</v>
      </c>
      <c r="R34" s="312">
        <f t="shared" si="7"/>
        <v>1186366.6520789799</v>
      </c>
      <c r="S34" s="315">
        <f t="shared" si="5"/>
        <v>6.6937562677119616E-2</v>
      </c>
      <c r="T34" s="312">
        <f t="shared" si="8"/>
        <v>319526.7250295353</v>
      </c>
      <c r="U34" s="315">
        <f t="shared" si="9"/>
        <v>0.68453082506340235</v>
      </c>
      <c r="V34" s="312">
        <f t="shared" si="10"/>
        <v>3267610.6503805951</v>
      </c>
      <c r="W34" s="321">
        <f t="shared" si="6"/>
        <v>4773504.0274891108</v>
      </c>
    </row>
    <row r="35" spans="15:31" ht="15">
      <c r="O35" s="316" t="s">
        <v>242</v>
      </c>
      <c r="P35" s="319">
        <v>83813438.788514704</v>
      </c>
      <c r="Q35" s="318">
        <f t="shared" si="4"/>
        <v>0.16083042818790322</v>
      </c>
      <c r="R35" s="321">
        <f>SUM(R30:R34)</f>
        <v>13793391.579384487</v>
      </c>
      <c r="S35" s="318">
        <f t="shared" si="5"/>
        <v>0.14828035578018559</v>
      </c>
      <c r="T35" s="321">
        <f>SUM(T30:T34)</f>
        <v>16404907.089221554</v>
      </c>
      <c r="U35" s="318">
        <f>SUM(AA12:AB12)</f>
        <v>0.69088921603191122</v>
      </c>
      <c r="V35" s="321">
        <f>SUM(V30:V34)</f>
        <v>53615140.119908608</v>
      </c>
      <c r="W35" s="321">
        <f>SUM(R35,T35,V35)</f>
        <v>83813438.788514644</v>
      </c>
    </row>
    <row r="39" spans="15:31">
      <c r="Z39" s="329" t="s">
        <v>478</v>
      </c>
      <c r="AA39" s="330"/>
      <c r="AB39" s="330"/>
      <c r="AC39" s="330"/>
      <c r="AD39" s="330"/>
      <c r="AE39" s="331"/>
    </row>
    <row r="40" spans="15:31" ht="77.25">
      <c r="O40" s="306" t="s">
        <v>230</v>
      </c>
      <c r="P40" s="308" t="s">
        <v>231</v>
      </c>
      <c r="Q40" s="310" t="s">
        <v>244</v>
      </c>
      <c r="R40" s="308" t="s">
        <v>452</v>
      </c>
      <c r="S40" s="310" t="s">
        <v>245</v>
      </c>
      <c r="T40" s="308" t="s">
        <v>453</v>
      </c>
      <c r="U40" s="320" t="s">
        <v>454</v>
      </c>
      <c r="V40" s="308" t="s">
        <v>455</v>
      </c>
      <c r="Z40" s="332"/>
      <c r="AA40" s="333" t="s">
        <v>461</v>
      </c>
      <c r="AB40" s="333" t="s">
        <v>462</v>
      </c>
      <c r="AC40" s="333" t="s">
        <v>463</v>
      </c>
      <c r="AD40" s="333" t="s">
        <v>464</v>
      </c>
      <c r="AE40" s="334" t="s">
        <v>465</v>
      </c>
    </row>
    <row r="41" spans="15:31">
      <c r="O41" s="311" t="s">
        <v>446</v>
      </c>
      <c r="P41" s="312"/>
      <c r="Q41" s="315"/>
      <c r="R41" s="323">
        <f>R30/$W$35</f>
        <v>7.9179540096998499E-2</v>
      </c>
      <c r="S41" s="315"/>
      <c r="T41" s="323">
        <f>T30/$W$35</f>
        <v>9.175009443979304E-2</v>
      </c>
      <c r="U41" s="315"/>
      <c r="V41" s="323">
        <f>V30/$W$35</f>
        <v>0.1817068208481894</v>
      </c>
      <c r="Z41" s="335" t="s">
        <v>458</v>
      </c>
      <c r="AA41" s="347">
        <f>SUM(V41:V42)</f>
        <v>0.39209783571476819</v>
      </c>
      <c r="AB41" s="347">
        <f>SUM(T41:T44)</f>
        <v>0.19191886881983269</v>
      </c>
      <c r="AC41" s="347">
        <f>SUM(R41:R42)</f>
        <v>0.1105244172563993</v>
      </c>
      <c r="AD41" s="336">
        <v>0</v>
      </c>
      <c r="AE41" s="337">
        <v>0</v>
      </c>
    </row>
    <row r="42" spans="15:31">
      <c r="O42" s="311" t="s">
        <v>447</v>
      </c>
      <c r="P42" s="312"/>
      <c r="Q42" s="315"/>
      <c r="R42" s="323">
        <f t="shared" ref="R42:T45" si="11">R31/$W$35</f>
        <v>3.1344877159400812E-2</v>
      </c>
      <c r="S42" s="315"/>
      <c r="T42" s="323">
        <f t="shared" si="11"/>
        <v>6.1383037145624993E-2</v>
      </c>
      <c r="U42" s="315"/>
      <c r="V42" s="323">
        <f t="shared" ref="V42" si="12">V31/$W$35</f>
        <v>0.21039101486657882</v>
      </c>
      <c r="Z42" s="335" t="s">
        <v>459</v>
      </c>
      <c r="AA42" s="347">
        <v>0</v>
      </c>
      <c r="AB42" s="347">
        <v>0</v>
      </c>
      <c r="AC42" s="347">
        <f>SUM(R43:R44)</f>
        <v>3.9893285555158725E-2</v>
      </c>
      <c r="AD42" s="336">
        <f>SUM(V43:V44)*AD31</f>
        <v>0.20861167098581326</v>
      </c>
      <c r="AE42" s="337">
        <v>0</v>
      </c>
    </row>
    <row r="43" spans="15:31">
      <c r="O43" s="311" t="s">
        <v>448</v>
      </c>
      <c r="P43" s="312"/>
      <c r="Q43" s="315"/>
      <c r="R43" s="323">
        <f t="shared" si="11"/>
        <v>2.0938890471810068E-2</v>
      </c>
      <c r="S43" s="315"/>
      <c r="T43" s="323">
        <f t="shared" si="11"/>
        <v>2.4637778986568267E-2</v>
      </c>
      <c r="U43" s="315"/>
      <c r="V43" s="323">
        <f t="shared" ref="V43" si="13">V32/$W$35</f>
        <v>0.13248191819281474</v>
      </c>
      <c r="Z43" s="338" t="s">
        <v>460</v>
      </c>
      <c r="AA43" s="339">
        <v>0</v>
      </c>
      <c r="AB43" s="346">
        <v>0</v>
      </c>
      <c r="AC43" s="346">
        <f>R45</f>
        <v>1.4154849976654978E-2</v>
      </c>
      <c r="AD43" s="339">
        <v>0</v>
      </c>
      <c r="AE43" s="340">
        <f>V45</f>
        <v>3.8986714990011502E-2</v>
      </c>
    </row>
    <row r="44" spans="15:31">
      <c r="O44" s="311" t="s">
        <v>449</v>
      </c>
      <c r="P44" s="312"/>
      <c r="Q44" s="315"/>
      <c r="R44" s="323">
        <f t="shared" si="11"/>
        <v>1.8954395083348657E-2</v>
      </c>
      <c r="S44" s="315"/>
      <c r="T44" s="323">
        <f t="shared" si="11"/>
        <v>1.4147958247846393E-2</v>
      </c>
      <c r="U44" s="315"/>
      <c r="V44" s="323">
        <f t="shared" ref="V44" si="14">V33/$W$35</f>
        <v>7.6129752792998523E-2</v>
      </c>
    </row>
    <row r="45" spans="15:31">
      <c r="O45" s="311" t="s">
        <v>450</v>
      </c>
      <c r="P45" s="312"/>
      <c r="Q45" s="315"/>
      <c r="R45" s="323">
        <f t="shared" si="11"/>
        <v>1.4154849976654978E-2</v>
      </c>
      <c r="S45" s="315"/>
      <c r="T45" s="345">
        <f t="shared" si="11"/>
        <v>3.8123567013613759E-3</v>
      </c>
      <c r="U45" s="315"/>
      <c r="V45" s="323">
        <f t="shared" ref="V45" si="15">V34/$W$35</f>
        <v>3.8986714990011502E-2</v>
      </c>
    </row>
    <row r="46" spans="15:31" ht="15">
      <c r="O46" s="316" t="s">
        <v>242</v>
      </c>
      <c r="P46" s="319"/>
      <c r="Q46" s="318"/>
      <c r="R46" s="343">
        <f>SUM(R41:R45)</f>
        <v>0.16457255278821301</v>
      </c>
      <c r="S46" s="318"/>
      <c r="T46" s="343">
        <f>SUM(T41:T45)</f>
        <v>0.19573122552119407</v>
      </c>
      <c r="U46" s="318"/>
      <c r="V46" s="343">
        <f>SUM(V41:V45)</f>
        <v>0.63969622169059293</v>
      </c>
    </row>
  </sheetData>
  <mergeCells count="2">
    <mergeCell ref="K5:O5"/>
    <mergeCell ref="K17:O1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4:BH55"/>
  <sheetViews>
    <sheetView topLeftCell="D28" workbookViewId="0">
      <selection activeCell="M54" sqref="M54"/>
    </sheetView>
  </sheetViews>
  <sheetFormatPr defaultRowHeight="12.75"/>
  <cols>
    <col min="1" max="1" width="15.5703125" customWidth="1"/>
    <col min="2" max="2" width="17.85546875" customWidth="1"/>
    <col min="3" max="3" width="18.42578125" customWidth="1"/>
    <col min="4" max="4" width="21.7109375" customWidth="1"/>
    <col min="5" max="5" width="22.42578125" customWidth="1"/>
    <col min="6" max="6" width="16.7109375" customWidth="1"/>
    <col min="7" max="7" width="16.5703125" customWidth="1"/>
    <col min="8" max="11" width="15.5703125" customWidth="1"/>
    <col min="12" max="12" width="17.85546875" customWidth="1"/>
    <col min="13" max="13" width="28.140625" customWidth="1"/>
    <col min="14" max="14" width="18.42578125" customWidth="1"/>
    <col min="15" max="15" width="21.7109375" customWidth="1"/>
    <col min="16" max="16" width="12.5703125" customWidth="1"/>
    <col min="17" max="17" width="20" customWidth="1"/>
    <col min="18" max="18" width="19.7109375" customWidth="1"/>
    <col min="19" max="19" width="12" customWidth="1"/>
    <col min="20" max="20" width="17.140625" customWidth="1"/>
    <col min="21" max="21" width="14.42578125" customWidth="1"/>
    <col min="22" max="22" width="21.5703125" customWidth="1"/>
    <col min="23" max="23" width="17.85546875" customWidth="1"/>
    <col min="24" max="24" width="27.42578125" customWidth="1"/>
    <col min="25" max="26" width="12" customWidth="1"/>
    <col min="27" max="27" width="21.5703125" customWidth="1"/>
    <col min="28" max="28" width="15" customWidth="1"/>
    <col min="29" max="29" width="27.42578125" customWidth="1"/>
    <col min="30" max="30" width="15.28515625" customWidth="1"/>
    <col min="31" max="31" width="21.5703125" customWidth="1"/>
    <col min="32" max="32" width="31.42578125" customWidth="1"/>
    <col min="33" max="33" width="16.5703125" customWidth="1"/>
    <col min="34" max="34" width="12.5703125" customWidth="1"/>
    <col min="35" max="35" width="14.7109375" customWidth="1"/>
    <col min="36" max="36" width="16.42578125" customWidth="1"/>
    <col min="37" max="37" width="12" customWidth="1"/>
    <col min="38" max="38" width="25" customWidth="1"/>
    <col min="39" max="39" width="17.85546875" customWidth="1"/>
    <col min="40" max="40" width="18" customWidth="1"/>
    <col min="41" max="41" width="18.42578125" customWidth="1"/>
    <col min="42" max="42" width="16.7109375" customWidth="1"/>
    <col min="43" max="43" width="15.7109375" customWidth="1"/>
    <col min="44" max="44" width="16.7109375" customWidth="1"/>
    <col min="45" max="45" width="13.28515625" customWidth="1"/>
    <col min="46" max="46" width="17.85546875" customWidth="1"/>
    <col min="47" max="47" width="17.28515625" customWidth="1"/>
    <col min="48" max="48" width="17.85546875" customWidth="1"/>
    <col min="49" max="49" width="18" customWidth="1"/>
    <col min="50" max="50" width="12" customWidth="1"/>
    <col min="51" max="51" width="20.7109375" customWidth="1"/>
    <col min="52" max="52" width="18" customWidth="1"/>
    <col min="53" max="53" width="11.140625" customWidth="1"/>
    <col min="54" max="55" width="11.7109375" customWidth="1"/>
    <col min="56" max="56" width="3.7109375" customWidth="1"/>
    <col min="57" max="57" width="6.28515625" customWidth="1"/>
    <col min="58" max="58" width="9.85546875" customWidth="1"/>
    <col min="59" max="59" width="11.85546875" customWidth="1"/>
    <col min="60" max="60" width="43.42578125" customWidth="1"/>
    <col min="61" max="61" width="21.140625" customWidth="1"/>
    <col min="62" max="62" width="32.140625" customWidth="1"/>
    <col min="63" max="63" width="12" bestFit="1" customWidth="1"/>
    <col min="64" max="64" width="12" customWidth="1"/>
    <col min="65" max="65" width="11" customWidth="1"/>
    <col min="66" max="66" width="12" bestFit="1" customWidth="1"/>
    <col min="67" max="68" width="12" customWidth="1"/>
    <col min="69" max="69" width="12" bestFit="1" customWidth="1"/>
    <col min="70" max="71" width="12" customWidth="1"/>
    <col min="72" max="74" width="12" bestFit="1" customWidth="1"/>
    <col min="75" max="75" width="11" customWidth="1"/>
    <col min="76" max="76" width="12" bestFit="1" customWidth="1"/>
    <col min="77" max="78" width="15.5703125" customWidth="1"/>
    <col min="79" max="79" width="16.85546875" customWidth="1"/>
    <col min="80" max="80" width="28.140625" customWidth="1"/>
    <col min="81" max="81" width="13.140625" customWidth="1"/>
    <col min="82" max="82" width="12" bestFit="1" customWidth="1"/>
    <col min="83" max="83" width="11" customWidth="1"/>
    <col min="84" max="85" width="12" bestFit="1" customWidth="1"/>
    <col min="86" max="86" width="12" customWidth="1"/>
    <col min="87" max="88" width="12" bestFit="1" customWidth="1"/>
    <col min="89" max="89" width="12" customWidth="1"/>
    <col min="90" max="90" width="12" bestFit="1" customWidth="1"/>
    <col min="91" max="91" width="11" customWidth="1"/>
    <col min="92" max="98" width="12" bestFit="1" customWidth="1"/>
    <col min="99" max="99" width="12" customWidth="1"/>
    <col min="100" max="100" width="11" bestFit="1" customWidth="1"/>
    <col min="101" max="101" width="12" bestFit="1" customWidth="1"/>
    <col min="102" max="102" width="10.5703125" customWidth="1"/>
    <col min="103" max="103" width="12" bestFit="1" customWidth="1"/>
    <col min="104" max="104" width="12" customWidth="1"/>
    <col min="105" max="107" width="12" bestFit="1" customWidth="1"/>
    <col min="108" max="108" width="12" customWidth="1"/>
    <col min="109" max="110" width="12" bestFit="1" customWidth="1"/>
    <col min="111" max="111" width="12" customWidth="1"/>
    <col min="112" max="113" width="12" bestFit="1" customWidth="1"/>
    <col min="114" max="114" width="11" customWidth="1"/>
    <col min="115" max="115" width="12" bestFit="1" customWidth="1"/>
    <col min="116" max="116" width="12" customWidth="1"/>
    <col min="117" max="117" width="12" bestFit="1" customWidth="1"/>
    <col min="118" max="118" width="12" customWidth="1"/>
    <col min="119" max="121" width="12" bestFit="1" customWidth="1"/>
    <col min="122" max="122" width="12" customWidth="1"/>
    <col min="123" max="123" width="11" customWidth="1"/>
    <col min="124" max="125" width="12" bestFit="1" customWidth="1"/>
    <col min="126" max="127" width="12" customWidth="1"/>
    <col min="128" max="128" width="12" bestFit="1" customWidth="1"/>
    <col min="129" max="136" width="12" customWidth="1"/>
    <col min="137" max="140" width="12" bestFit="1" customWidth="1"/>
    <col min="141" max="141" width="11" bestFit="1" customWidth="1"/>
    <col min="142" max="144" width="12" bestFit="1" customWidth="1"/>
    <col min="145" max="145" width="11.5703125" bestFit="1" customWidth="1"/>
    <col min="146" max="146" width="12" bestFit="1" customWidth="1"/>
    <col min="147" max="147" width="11" bestFit="1" customWidth="1"/>
    <col min="148" max="148" width="12" bestFit="1" customWidth="1"/>
    <col min="149" max="149" width="11" bestFit="1" customWidth="1"/>
    <col min="150" max="188" width="12" bestFit="1" customWidth="1"/>
    <col min="189" max="189" width="11" bestFit="1" customWidth="1"/>
    <col min="190" max="198" width="12" bestFit="1" customWidth="1"/>
    <col min="199" max="199" width="10" bestFit="1" customWidth="1"/>
    <col min="200" max="200" width="11" bestFit="1" customWidth="1"/>
    <col min="201" max="212" width="12" bestFit="1" customWidth="1"/>
    <col min="213" max="213" width="11" bestFit="1" customWidth="1"/>
    <col min="214" max="217" width="12" bestFit="1" customWidth="1"/>
    <col min="218" max="218" width="11" bestFit="1" customWidth="1"/>
    <col min="219" max="228" width="12" bestFit="1" customWidth="1"/>
    <col min="229" max="229" width="11" bestFit="1" customWidth="1"/>
    <col min="230" max="241" width="12" bestFit="1" customWidth="1"/>
    <col min="242" max="242" width="11" bestFit="1" customWidth="1"/>
    <col min="243" max="244" width="12" bestFit="1" customWidth="1"/>
    <col min="245" max="245" width="10.5703125" bestFit="1" customWidth="1"/>
    <col min="246" max="251" width="12" bestFit="1" customWidth="1"/>
    <col min="252" max="252" width="11" bestFit="1" customWidth="1"/>
    <col min="253" max="278" width="12" bestFit="1" customWidth="1"/>
    <col min="279" max="279" width="11" bestFit="1" customWidth="1"/>
    <col min="280" max="285" width="12" bestFit="1" customWidth="1"/>
    <col min="286" max="286" width="11" bestFit="1" customWidth="1"/>
    <col min="287" max="302" width="12" bestFit="1" customWidth="1"/>
    <col min="303" max="303" width="11" bestFit="1" customWidth="1"/>
    <col min="304" max="305" width="12" bestFit="1" customWidth="1"/>
    <col min="306" max="306" width="11" bestFit="1" customWidth="1"/>
    <col min="307" max="318" width="12" bestFit="1" customWidth="1"/>
    <col min="319" max="319" width="10.5703125" bestFit="1" customWidth="1"/>
    <col min="320" max="337" width="12" bestFit="1" customWidth="1"/>
    <col min="338" max="338" width="11" bestFit="1" customWidth="1"/>
    <col min="339" max="344" width="12" bestFit="1" customWidth="1"/>
    <col min="345" max="345" width="11" bestFit="1" customWidth="1"/>
    <col min="346" max="351" width="12" bestFit="1" customWidth="1"/>
    <col min="352" max="352" width="11" bestFit="1" customWidth="1"/>
    <col min="353" max="353" width="12" bestFit="1" customWidth="1"/>
    <col min="354" max="354" width="11" bestFit="1" customWidth="1"/>
    <col min="355" max="363" width="12" bestFit="1" customWidth="1"/>
    <col min="364" max="364" width="11" bestFit="1" customWidth="1"/>
    <col min="365" max="366" width="12" bestFit="1" customWidth="1"/>
    <col min="367" max="368" width="12.5703125" bestFit="1" customWidth="1"/>
    <col min="369" max="369" width="23.42578125" bestFit="1" customWidth="1"/>
    <col min="370" max="412" width="12" bestFit="1" customWidth="1"/>
    <col min="413" max="413" width="11" bestFit="1" customWidth="1"/>
    <col min="414" max="416" width="12" bestFit="1" customWidth="1"/>
    <col min="417" max="417" width="11" bestFit="1" customWidth="1"/>
    <col min="418" max="422" width="12" bestFit="1" customWidth="1"/>
    <col min="423" max="423" width="11" bestFit="1" customWidth="1"/>
    <col min="424" max="432" width="12" bestFit="1" customWidth="1"/>
    <col min="433" max="433" width="11" bestFit="1" customWidth="1"/>
    <col min="434" max="434" width="12" bestFit="1" customWidth="1"/>
    <col min="435" max="435" width="11" bestFit="1" customWidth="1"/>
    <col min="436" max="440" width="12" bestFit="1" customWidth="1"/>
    <col min="441" max="441" width="11" bestFit="1" customWidth="1"/>
    <col min="442" max="448" width="12" bestFit="1" customWidth="1"/>
    <col min="449" max="449" width="11" bestFit="1" customWidth="1"/>
    <col min="450" max="457" width="12" bestFit="1" customWidth="1"/>
    <col min="458" max="458" width="11" bestFit="1" customWidth="1"/>
    <col min="459" max="459" width="12" bestFit="1" customWidth="1"/>
    <col min="460" max="460" width="10.5703125" bestFit="1" customWidth="1"/>
    <col min="461" max="471" width="12" bestFit="1" customWidth="1"/>
    <col min="472" max="472" width="11" bestFit="1" customWidth="1"/>
    <col min="473" max="480" width="12" bestFit="1" customWidth="1"/>
    <col min="481" max="481" width="11" bestFit="1" customWidth="1"/>
    <col min="482" max="498" width="12" bestFit="1" customWidth="1"/>
    <col min="499" max="499" width="11" bestFit="1" customWidth="1"/>
    <col min="500" max="502" width="12" bestFit="1" customWidth="1"/>
    <col min="503" max="503" width="11.5703125" bestFit="1" customWidth="1"/>
    <col min="504" max="504" width="12" bestFit="1" customWidth="1"/>
    <col min="505" max="505" width="11" bestFit="1" customWidth="1"/>
    <col min="506" max="506" width="12" bestFit="1" customWidth="1"/>
    <col min="507" max="507" width="11" bestFit="1" customWidth="1"/>
    <col min="508" max="546" width="12" bestFit="1" customWidth="1"/>
    <col min="547" max="547" width="11" bestFit="1" customWidth="1"/>
    <col min="548" max="556" width="12" bestFit="1" customWidth="1"/>
    <col min="557" max="557" width="10.5703125" bestFit="1" customWidth="1"/>
    <col min="558" max="558" width="11" bestFit="1" customWidth="1"/>
    <col min="559" max="570" width="12" bestFit="1" customWidth="1"/>
    <col min="571" max="571" width="11" bestFit="1" customWidth="1"/>
    <col min="572" max="575" width="12" bestFit="1" customWidth="1"/>
    <col min="576" max="576" width="11" bestFit="1" customWidth="1"/>
    <col min="577" max="586" width="12" bestFit="1" customWidth="1"/>
    <col min="587" max="587" width="11" bestFit="1" customWidth="1"/>
    <col min="588" max="599" width="12" bestFit="1" customWidth="1"/>
    <col min="600" max="600" width="11" bestFit="1" customWidth="1"/>
    <col min="601" max="602" width="12" bestFit="1" customWidth="1"/>
    <col min="603" max="603" width="10.5703125" bestFit="1" customWidth="1"/>
    <col min="604" max="609" width="12" bestFit="1" customWidth="1"/>
    <col min="610" max="610" width="11" bestFit="1" customWidth="1"/>
    <col min="611" max="636" width="12" bestFit="1" customWidth="1"/>
    <col min="637" max="637" width="11" bestFit="1" customWidth="1"/>
    <col min="638" max="643" width="12" bestFit="1" customWidth="1"/>
    <col min="644" max="644" width="11" bestFit="1" customWidth="1"/>
    <col min="645" max="660" width="12" bestFit="1" customWidth="1"/>
    <col min="661" max="661" width="11" bestFit="1" customWidth="1"/>
    <col min="662" max="663" width="12" bestFit="1" customWidth="1"/>
    <col min="664" max="664" width="11" bestFit="1" customWidth="1"/>
    <col min="665" max="676" width="12" bestFit="1" customWidth="1"/>
    <col min="677" max="677" width="10.5703125" bestFit="1" customWidth="1"/>
    <col min="678" max="695" width="12" bestFit="1" customWidth="1"/>
    <col min="696" max="696" width="11" bestFit="1" customWidth="1"/>
    <col min="697" max="702" width="12" bestFit="1" customWidth="1"/>
    <col min="703" max="703" width="11" bestFit="1" customWidth="1"/>
    <col min="704" max="709" width="12" bestFit="1" customWidth="1"/>
    <col min="710" max="710" width="11" bestFit="1" customWidth="1"/>
    <col min="711" max="711" width="12" bestFit="1" customWidth="1"/>
    <col min="712" max="712" width="11" bestFit="1" customWidth="1"/>
    <col min="713" max="721" width="12" bestFit="1" customWidth="1"/>
    <col min="722" max="722" width="11" bestFit="1" customWidth="1"/>
    <col min="723" max="724" width="12" bestFit="1" customWidth="1"/>
    <col min="725" max="726" width="12.5703125" bestFit="1" customWidth="1"/>
    <col min="727" max="727" width="27.42578125" bestFit="1" customWidth="1"/>
    <col min="728" max="770" width="12" bestFit="1" customWidth="1"/>
    <col min="771" max="771" width="11" bestFit="1" customWidth="1"/>
    <col min="772" max="774" width="12" bestFit="1" customWidth="1"/>
    <col min="775" max="775" width="11" bestFit="1" customWidth="1"/>
    <col min="776" max="780" width="12" bestFit="1" customWidth="1"/>
    <col min="781" max="781" width="11" bestFit="1" customWidth="1"/>
    <col min="782" max="790" width="12" bestFit="1" customWidth="1"/>
    <col min="791" max="791" width="11" bestFit="1" customWidth="1"/>
    <col min="792" max="792" width="12" bestFit="1" customWidth="1"/>
    <col min="793" max="793" width="11" bestFit="1" customWidth="1"/>
    <col min="794" max="798" width="12" bestFit="1" customWidth="1"/>
    <col min="799" max="799" width="11" bestFit="1" customWidth="1"/>
    <col min="800" max="806" width="12" bestFit="1" customWidth="1"/>
    <col min="807" max="807" width="11" bestFit="1" customWidth="1"/>
    <col min="808" max="815" width="12" bestFit="1" customWidth="1"/>
    <col min="816" max="816" width="11" bestFit="1" customWidth="1"/>
    <col min="817" max="817" width="12" bestFit="1" customWidth="1"/>
    <col min="818" max="818" width="10.5703125" bestFit="1" customWidth="1"/>
    <col min="819" max="829" width="12" bestFit="1" customWidth="1"/>
    <col min="830" max="830" width="11" bestFit="1" customWidth="1"/>
    <col min="831" max="838" width="12" bestFit="1" customWidth="1"/>
    <col min="839" max="839" width="11" bestFit="1" customWidth="1"/>
    <col min="840" max="856" width="12" bestFit="1" customWidth="1"/>
    <col min="857" max="857" width="11" bestFit="1" customWidth="1"/>
    <col min="858" max="860" width="12" bestFit="1" customWidth="1"/>
    <col min="861" max="861" width="11" bestFit="1" customWidth="1"/>
    <col min="862" max="862" width="12" bestFit="1" customWidth="1"/>
    <col min="863" max="863" width="11" bestFit="1" customWidth="1"/>
    <col min="864" max="864" width="12" bestFit="1" customWidth="1"/>
    <col min="865" max="865" width="11" bestFit="1" customWidth="1"/>
    <col min="866" max="904" width="12" bestFit="1" customWidth="1"/>
    <col min="905" max="905" width="11" bestFit="1" customWidth="1"/>
    <col min="906" max="914" width="12" bestFit="1" customWidth="1"/>
    <col min="915" max="915" width="10.5703125" bestFit="1" customWidth="1"/>
    <col min="916" max="916" width="11" bestFit="1" customWidth="1"/>
    <col min="917" max="928" width="12" bestFit="1" customWidth="1"/>
    <col min="929" max="929" width="11" bestFit="1" customWidth="1"/>
    <col min="930" max="933" width="12" bestFit="1" customWidth="1"/>
    <col min="934" max="934" width="11" bestFit="1" customWidth="1"/>
    <col min="935" max="944" width="12" bestFit="1" customWidth="1"/>
    <col min="945" max="945" width="11" bestFit="1" customWidth="1"/>
    <col min="946" max="957" width="12" bestFit="1" customWidth="1"/>
    <col min="958" max="958" width="11" bestFit="1" customWidth="1"/>
    <col min="959" max="960" width="12" bestFit="1" customWidth="1"/>
    <col min="961" max="961" width="10.5703125" bestFit="1" customWidth="1"/>
    <col min="962" max="967" width="12" bestFit="1" customWidth="1"/>
    <col min="968" max="968" width="11" bestFit="1" customWidth="1"/>
    <col min="969" max="994" width="12" bestFit="1" customWidth="1"/>
    <col min="995" max="995" width="11" bestFit="1" customWidth="1"/>
    <col min="996" max="1001" width="12" bestFit="1" customWidth="1"/>
    <col min="1002" max="1002" width="11" bestFit="1" customWidth="1"/>
    <col min="1003" max="1018" width="12" bestFit="1" customWidth="1"/>
    <col min="1019" max="1019" width="11" bestFit="1" customWidth="1"/>
    <col min="1020" max="1021" width="12" bestFit="1" customWidth="1"/>
    <col min="1022" max="1022" width="11" bestFit="1" customWidth="1"/>
    <col min="1023" max="1034" width="12" bestFit="1" customWidth="1"/>
    <col min="1035" max="1035" width="10.5703125" bestFit="1" customWidth="1"/>
    <col min="1036" max="1053" width="12" bestFit="1" customWidth="1"/>
    <col min="1054" max="1054" width="11" bestFit="1" customWidth="1"/>
    <col min="1055" max="1060" width="12" bestFit="1" customWidth="1"/>
    <col min="1061" max="1061" width="11" bestFit="1" customWidth="1"/>
    <col min="1062" max="1067" width="12" bestFit="1" customWidth="1"/>
    <col min="1068" max="1068" width="11" bestFit="1" customWidth="1"/>
    <col min="1069" max="1069" width="12" bestFit="1" customWidth="1"/>
    <col min="1070" max="1070" width="11" bestFit="1" customWidth="1"/>
    <col min="1071" max="1079" width="12" bestFit="1" customWidth="1"/>
    <col min="1080" max="1080" width="11" bestFit="1" customWidth="1"/>
    <col min="1081" max="1082" width="12" bestFit="1" customWidth="1"/>
    <col min="1083" max="1084" width="12.5703125" bestFit="1" customWidth="1"/>
    <col min="1085" max="1085" width="23.85546875" bestFit="1" customWidth="1"/>
    <col min="1086" max="1128" width="12" bestFit="1" customWidth="1"/>
    <col min="1129" max="1129" width="11" bestFit="1" customWidth="1"/>
    <col min="1130" max="1132" width="12" bestFit="1" customWidth="1"/>
    <col min="1133" max="1133" width="11" bestFit="1" customWidth="1"/>
    <col min="1134" max="1138" width="12" bestFit="1" customWidth="1"/>
    <col min="1139" max="1139" width="11" bestFit="1" customWidth="1"/>
    <col min="1140" max="1148" width="12" bestFit="1" customWidth="1"/>
    <col min="1149" max="1149" width="11" bestFit="1" customWidth="1"/>
    <col min="1150" max="1150" width="12" bestFit="1" customWidth="1"/>
    <col min="1151" max="1151" width="11" bestFit="1" customWidth="1"/>
    <col min="1152" max="1156" width="12" bestFit="1" customWidth="1"/>
    <col min="1157" max="1157" width="11" bestFit="1" customWidth="1"/>
    <col min="1158" max="1164" width="12" bestFit="1" customWidth="1"/>
    <col min="1165" max="1165" width="11" bestFit="1" customWidth="1"/>
    <col min="1166" max="1173" width="12" bestFit="1" customWidth="1"/>
    <col min="1174" max="1174" width="11" bestFit="1" customWidth="1"/>
    <col min="1175" max="1175" width="12" bestFit="1" customWidth="1"/>
    <col min="1176" max="1176" width="9" customWidth="1"/>
    <col min="1177" max="1187" width="12" bestFit="1" customWidth="1"/>
    <col min="1188" max="1188" width="11" bestFit="1" customWidth="1"/>
    <col min="1189" max="1196" width="12" bestFit="1" customWidth="1"/>
    <col min="1197" max="1197" width="11" bestFit="1" customWidth="1"/>
    <col min="1198" max="1214" width="12" bestFit="1" customWidth="1"/>
    <col min="1215" max="1215" width="11" bestFit="1" customWidth="1"/>
    <col min="1216" max="1218" width="12" bestFit="1" customWidth="1"/>
    <col min="1219" max="1219" width="11" bestFit="1" customWidth="1"/>
    <col min="1220" max="1220" width="12" bestFit="1" customWidth="1"/>
    <col min="1221" max="1221" width="11" bestFit="1" customWidth="1"/>
    <col min="1222" max="1222" width="12" bestFit="1" customWidth="1"/>
    <col min="1223" max="1223" width="11" bestFit="1" customWidth="1"/>
    <col min="1224" max="1262" width="12" bestFit="1" customWidth="1"/>
    <col min="1263" max="1263" width="11" bestFit="1" customWidth="1"/>
    <col min="1264" max="1272" width="12" bestFit="1" customWidth="1"/>
    <col min="1273" max="1273" width="10" bestFit="1" customWidth="1"/>
    <col min="1274" max="1274" width="11" bestFit="1" customWidth="1"/>
    <col min="1275" max="1286" width="12" bestFit="1" customWidth="1"/>
    <col min="1287" max="1287" width="11" bestFit="1" customWidth="1"/>
    <col min="1288" max="1291" width="12" bestFit="1" customWidth="1"/>
    <col min="1292" max="1292" width="11" bestFit="1" customWidth="1"/>
    <col min="1293" max="1302" width="12" bestFit="1" customWidth="1"/>
    <col min="1303" max="1303" width="11" bestFit="1" customWidth="1"/>
    <col min="1304" max="1315" width="12" bestFit="1" customWidth="1"/>
    <col min="1316" max="1316" width="11" bestFit="1" customWidth="1"/>
    <col min="1317" max="1318" width="12" bestFit="1" customWidth="1"/>
    <col min="1319" max="1319" width="10" bestFit="1" customWidth="1"/>
    <col min="1320" max="1325" width="12" bestFit="1" customWidth="1"/>
    <col min="1326" max="1326" width="11" bestFit="1" customWidth="1"/>
    <col min="1327" max="1352" width="12" bestFit="1" customWidth="1"/>
    <col min="1353" max="1353" width="11" bestFit="1" customWidth="1"/>
    <col min="1354" max="1359" width="12" bestFit="1" customWidth="1"/>
    <col min="1360" max="1360" width="11" bestFit="1" customWidth="1"/>
    <col min="1361" max="1376" width="12" bestFit="1" customWidth="1"/>
    <col min="1377" max="1377" width="11" bestFit="1" customWidth="1"/>
    <col min="1378" max="1379" width="12" bestFit="1" customWidth="1"/>
    <col min="1380" max="1380" width="11" bestFit="1" customWidth="1"/>
    <col min="1381" max="1392" width="12" bestFit="1" customWidth="1"/>
    <col min="1393" max="1393" width="10" bestFit="1" customWidth="1"/>
    <col min="1394" max="1411" width="12" bestFit="1" customWidth="1"/>
    <col min="1412" max="1412" width="11" bestFit="1" customWidth="1"/>
    <col min="1413" max="1418" width="12" bestFit="1" customWidth="1"/>
    <col min="1419" max="1419" width="11" bestFit="1" customWidth="1"/>
    <col min="1420" max="1425" width="12" bestFit="1" customWidth="1"/>
    <col min="1426" max="1426" width="11" bestFit="1" customWidth="1"/>
    <col min="1427" max="1427" width="12" bestFit="1" customWidth="1"/>
    <col min="1428" max="1428" width="11" bestFit="1" customWidth="1"/>
    <col min="1429" max="1437" width="12" bestFit="1" customWidth="1"/>
    <col min="1438" max="1438" width="11" bestFit="1" customWidth="1"/>
    <col min="1439" max="1440" width="12" bestFit="1" customWidth="1"/>
    <col min="1441" max="1441" width="12.5703125" bestFit="1" customWidth="1"/>
    <col min="1442" max="1442" width="5.140625" customWidth="1"/>
    <col min="1443" max="1443" width="20" bestFit="1" customWidth="1"/>
    <col min="1444" max="1444" width="28.42578125" bestFit="1" customWidth="1"/>
    <col min="1445" max="1445" width="32.42578125" bestFit="1" customWidth="1"/>
    <col min="1446" max="1446" width="28.85546875" bestFit="1" customWidth="1"/>
  </cols>
  <sheetData>
    <row r="4" spans="1:60" s="54" customFormat="1" ht="51" customHeight="1">
      <c r="A4" s="104" t="s">
        <v>219</v>
      </c>
      <c r="K4" s="104" t="s">
        <v>219</v>
      </c>
      <c r="V4" s="104" t="s">
        <v>219</v>
      </c>
      <c r="AF4" s="104" t="s">
        <v>219</v>
      </c>
      <c r="AP4" s="104" t="s">
        <v>219</v>
      </c>
    </row>
    <row r="6" spans="1:60">
      <c r="K6" t="s">
        <v>220</v>
      </c>
      <c r="AF6" s="283"/>
      <c r="AG6" s="283"/>
      <c r="AH6" s="283"/>
      <c r="AI6" s="283"/>
      <c r="AJ6" s="283"/>
      <c r="AK6" s="283"/>
      <c r="AL6" s="283"/>
      <c r="AM6" s="283"/>
      <c r="AN6" s="283"/>
      <c r="AO6" s="283"/>
      <c r="AP6" s="283"/>
      <c r="AQ6" s="283"/>
      <c r="AR6" s="283"/>
      <c r="AS6" s="283"/>
      <c r="AT6" s="283"/>
      <c r="AU6" s="283"/>
      <c r="AV6" s="283"/>
      <c r="AW6" s="283"/>
      <c r="AX6" s="283"/>
      <c r="AY6" s="283"/>
      <c r="AZ6" s="283"/>
      <c r="BA6" s="283"/>
      <c r="BB6" s="283"/>
      <c r="BC6" s="283"/>
      <c r="BD6" s="283"/>
      <c r="BE6" s="283"/>
      <c r="BF6" s="283"/>
      <c r="BG6" s="283"/>
      <c r="BH6" s="283"/>
    </row>
    <row r="7" spans="1:60">
      <c r="A7" t="s">
        <v>221</v>
      </c>
      <c r="H7" t="s">
        <v>222</v>
      </c>
      <c r="K7" t="s">
        <v>223</v>
      </c>
      <c r="P7" t="s">
        <v>224</v>
      </c>
      <c r="T7" t="s">
        <v>225</v>
      </c>
      <c r="W7" t="s">
        <v>226</v>
      </c>
      <c r="Z7" t="s">
        <v>227</v>
      </c>
      <c r="AF7" s="283"/>
      <c r="AG7" s="283"/>
      <c r="AH7" s="283"/>
      <c r="AI7" s="283"/>
      <c r="AJ7" s="283"/>
      <c r="AK7" s="283"/>
      <c r="AL7" s="283"/>
      <c r="AM7" s="283"/>
      <c r="AN7" s="283"/>
      <c r="AO7" s="283"/>
      <c r="AP7" s="283"/>
      <c r="AQ7" s="283"/>
      <c r="AR7" s="283"/>
      <c r="AS7" s="283"/>
      <c r="AT7" s="283"/>
      <c r="AU7" s="283"/>
      <c r="AV7" s="283"/>
      <c r="AW7" s="283"/>
      <c r="AX7" s="283"/>
      <c r="AY7" s="284"/>
      <c r="AZ7" s="284"/>
      <c r="BA7" s="283"/>
      <c r="BB7" s="283"/>
      <c r="BC7" s="283"/>
      <c r="BD7" s="283"/>
      <c r="BE7" s="283"/>
      <c r="BF7" s="283"/>
      <c r="BG7" s="283"/>
      <c r="BH7" s="283"/>
    </row>
    <row r="8" spans="1:60">
      <c r="B8" t="s">
        <v>229</v>
      </c>
      <c r="L8" t="s">
        <v>229</v>
      </c>
      <c r="Q8" t="s">
        <v>229</v>
      </c>
      <c r="AF8" s="283"/>
      <c r="AG8" s="283"/>
      <c r="AH8" s="283"/>
      <c r="AI8" s="283"/>
      <c r="AJ8" s="283"/>
      <c r="AK8" s="283"/>
      <c r="AL8" s="283"/>
      <c r="AM8" s="283"/>
      <c r="AN8" s="283"/>
      <c r="AO8" s="283"/>
      <c r="AP8" s="283"/>
      <c r="AQ8" s="283"/>
      <c r="AR8" s="283"/>
      <c r="AS8" s="283"/>
      <c r="AT8" s="283"/>
      <c r="AU8" s="283"/>
      <c r="AV8" s="283"/>
      <c r="AW8" s="283"/>
      <c r="AX8" s="283"/>
      <c r="AY8" s="283"/>
      <c r="AZ8" s="283"/>
      <c r="BA8" s="283"/>
      <c r="BB8" s="283"/>
      <c r="BC8" s="283"/>
      <c r="BD8" s="283"/>
      <c r="BE8" s="283"/>
      <c r="BF8" s="283"/>
      <c r="BG8" s="283"/>
      <c r="BH8" s="283"/>
    </row>
    <row r="9" spans="1:60" ht="60">
      <c r="A9" s="111" t="s">
        <v>230</v>
      </c>
      <c r="B9" s="112" t="s">
        <v>231</v>
      </c>
      <c r="C9" s="112" t="s">
        <v>232</v>
      </c>
      <c r="H9" s="111" t="s">
        <v>230</v>
      </c>
      <c r="I9" s="111" t="s">
        <v>233</v>
      </c>
      <c r="K9" s="111" t="s">
        <v>230</v>
      </c>
      <c r="L9" s="111" t="s">
        <v>233</v>
      </c>
      <c r="M9" s="111" t="s">
        <v>234</v>
      </c>
      <c r="N9" s="111" t="s">
        <v>235</v>
      </c>
      <c r="P9" s="111" t="s">
        <v>230</v>
      </c>
      <c r="Q9" s="112" t="s">
        <v>236</v>
      </c>
      <c r="R9" s="112" t="s">
        <v>233</v>
      </c>
      <c r="T9" s="111" t="s">
        <v>230</v>
      </c>
      <c r="U9" s="112" t="s">
        <v>236</v>
      </c>
      <c r="W9" s="111" t="s">
        <v>230</v>
      </c>
      <c r="X9" s="112" t="s">
        <v>236</v>
      </c>
      <c r="Z9" s="116" t="s">
        <v>236</v>
      </c>
      <c r="AA9" s="116" t="s">
        <v>237</v>
      </c>
      <c r="AB9" s="116"/>
      <c r="AC9" s="116"/>
      <c r="AD9" s="116"/>
      <c r="AF9" s="296"/>
      <c r="AG9" s="285" t="s">
        <v>229</v>
      </c>
      <c r="AH9" s="283"/>
      <c r="AI9" s="283"/>
      <c r="AJ9" s="296"/>
      <c r="AK9" s="285"/>
      <c r="AL9" s="283"/>
      <c r="AM9" s="296"/>
      <c r="AN9" s="285"/>
      <c r="AO9" s="283"/>
      <c r="AP9" s="283"/>
      <c r="AQ9" s="296"/>
      <c r="AR9" s="285"/>
      <c r="AS9" s="283"/>
      <c r="AT9" s="283"/>
      <c r="AU9" s="296"/>
      <c r="AV9" s="285"/>
      <c r="AW9" s="283"/>
      <c r="AX9" s="283"/>
      <c r="AY9" s="285"/>
      <c r="AZ9" s="285"/>
      <c r="BA9" s="285"/>
      <c r="BB9" s="285"/>
      <c r="BC9" s="285"/>
      <c r="BD9" s="285"/>
      <c r="BE9" s="285"/>
      <c r="BF9" s="285"/>
      <c r="BG9" s="285"/>
      <c r="BH9" s="283"/>
    </row>
    <row r="10" spans="1:60" ht="15">
      <c r="A10" s="105" t="s">
        <v>238</v>
      </c>
      <c r="B10" s="101">
        <v>8516089.420728609</v>
      </c>
      <c r="C10" s="101">
        <v>35232315.68845959</v>
      </c>
      <c r="H10" s="106">
        <v>0</v>
      </c>
      <c r="I10" s="101">
        <v>2431714563.0470567</v>
      </c>
      <c r="K10" s="106">
        <v>1.40845070422535</v>
      </c>
      <c r="L10" s="101">
        <v>2003042.2844851101</v>
      </c>
      <c r="M10" s="101">
        <v>1957973.83308419</v>
      </c>
      <c r="N10" s="101">
        <v>1957973.83308419</v>
      </c>
      <c r="P10" s="105" t="s">
        <v>238</v>
      </c>
      <c r="Q10" s="102">
        <v>0.10160768420702967</v>
      </c>
      <c r="R10" s="102">
        <v>0.11817025447491646</v>
      </c>
      <c r="T10" s="105" t="s">
        <v>238</v>
      </c>
      <c r="U10" s="101">
        <v>8516089.420728609</v>
      </c>
      <c r="W10" s="105" t="s">
        <v>239</v>
      </c>
      <c r="X10" s="101">
        <v>1488003.6053084643</v>
      </c>
      <c r="Z10" s="111" t="s">
        <v>230</v>
      </c>
      <c r="AA10" s="111" t="s">
        <v>239</v>
      </c>
      <c r="AB10" s="111" t="s">
        <v>240</v>
      </c>
      <c r="AC10" s="111" t="s">
        <v>241</v>
      </c>
      <c r="AD10" s="111" t="s">
        <v>242</v>
      </c>
      <c r="AF10" s="111" t="s">
        <v>230</v>
      </c>
      <c r="AG10" s="111" t="s">
        <v>233</v>
      </c>
      <c r="AH10" s="111" t="s">
        <v>438</v>
      </c>
      <c r="AI10" s="283"/>
      <c r="AJ10" s="286"/>
      <c r="AK10" s="287"/>
      <c r="AL10" s="283"/>
      <c r="AM10" s="286"/>
      <c r="AN10" s="287"/>
      <c r="AO10" s="283"/>
      <c r="AP10" s="283"/>
      <c r="AQ10" s="288"/>
      <c r="AR10" s="287"/>
      <c r="AS10" s="283"/>
      <c r="AT10" s="288"/>
      <c r="AU10" s="286"/>
      <c r="AV10" s="287"/>
      <c r="AW10" s="283"/>
      <c r="AX10" s="283"/>
      <c r="AY10" s="285"/>
      <c r="AZ10" s="285"/>
      <c r="BA10" s="285"/>
      <c r="BB10" s="285"/>
      <c r="BC10" s="285"/>
      <c r="BD10" s="285"/>
      <c r="BE10" s="285"/>
      <c r="BF10" s="285"/>
      <c r="BG10" s="285"/>
      <c r="BH10" s="283"/>
    </row>
    <row r="11" spans="1:60" ht="15">
      <c r="A11" s="105" t="s">
        <v>250</v>
      </c>
      <c r="B11" s="101">
        <v>1888317.5281153328</v>
      </c>
      <c r="C11" s="101">
        <v>4496094.6030193334</v>
      </c>
      <c r="H11" s="106">
        <v>1.40845070422535</v>
      </c>
      <c r="I11" s="101">
        <v>2003042.2844851101</v>
      </c>
      <c r="K11" s="106">
        <v>3.8461538461538498</v>
      </c>
      <c r="L11" s="101">
        <v>6431667.7349150004</v>
      </c>
      <c r="M11" s="101">
        <v>2533550.93927952</v>
      </c>
      <c r="N11" s="101">
        <v>4919516.3869505199</v>
      </c>
      <c r="P11" s="105" t="s">
        <v>250</v>
      </c>
      <c r="Q11" s="102">
        <v>2.2530008974814879E-2</v>
      </c>
      <c r="R11" s="102">
        <v>2.4706097960977568E-2</v>
      </c>
      <c r="T11" s="105" t="s">
        <v>250</v>
      </c>
      <c r="U11" s="101">
        <v>1888317.5281153328</v>
      </c>
      <c r="W11" s="105" t="s">
        <v>247</v>
      </c>
      <c r="X11" s="101">
        <v>0</v>
      </c>
      <c r="Z11" s="105" t="s">
        <v>238</v>
      </c>
      <c r="AA11" s="101">
        <v>530431.30687581247</v>
      </c>
      <c r="AB11" s="101">
        <v>5232889.7615766516</v>
      </c>
      <c r="AC11" s="101">
        <v>2752768.3522761455</v>
      </c>
      <c r="AD11" s="101">
        <v>8516089.420728609</v>
      </c>
      <c r="AF11" s="348" t="s">
        <v>479</v>
      </c>
      <c r="AG11" s="349">
        <v>917990762.58178186</v>
      </c>
      <c r="AH11" s="350">
        <v>0.32438290380447027</v>
      </c>
      <c r="AI11" s="283"/>
      <c r="AJ11" s="286"/>
      <c r="AK11" s="287"/>
      <c r="AL11" s="283"/>
      <c r="AM11" s="286"/>
      <c r="AN11" s="287"/>
      <c r="AO11" s="283"/>
      <c r="AP11" s="283"/>
      <c r="AQ11" s="297"/>
      <c r="AR11" s="298"/>
      <c r="AS11" s="286"/>
      <c r="AT11" s="288"/>
      <c r="AU11" s="286"/>
      <c r="AV11" s="287"/>
      <c r="AW11" s="283"/>
      <c r="AX11" s="283"/>
      <c r="AY11" s="289"/>
      <c r="AZ11" s="290"/>
      <c r="BA11" s="290"/>
      <c r="BB11" s="290"/>
      <c r="BC11" s="290"/>
      <c r="BD11" s="290"/>
      <c r="BE11" s="290"/>
      <c r="BF11" s="290"/>
      <c r="BG11" s="290"/>
      <c r="BH11" s="283"/>
    </row>
    <row r="12" spans="1:60">
      <c r="A12" s="105" t="s">
        <v>251</v>
      </c>
      <c r="B12" s="101">
        <v>1692296.2783668055</v>
      </c>
      <c r="C12" s="101">
        <v>21314550.409138039</v>
      </c>
      <c r="H12" s="106">
        <v>3.8461538461538498</v>
      </c>
      <c r="I12" s="101">
        <v>6431667.7349150004</v>
      </c>
      <c r="K12" s="106">
        <v>6.25</v>
      </c>
      <c r="L12" s="101">
        <v>40438499.425145097</v>
      </c>
      <c r="M12" s="101">
        <v>2830694.9597601602</v>
      </c>
      <c r="N12" s="101">
        <v>2830694.9597601602</v>
      </c>
      <c r="P12" s="105" t="s">
        <v>251</v>
      </c>
      <c r="Q12" s="102">
        <v>2.0191228314076867E-2</v>
      </c>
      <c r="R12" s="102">
        <v>5.4793931602565196E-2</v>
      </c>
      <c r="T12" s="105" t="s">
        <v>251</v>
      </c>
      <c r="U12" s="101">
        <v>1692296.2783668055</v>
      </c>
      <c r="W12" s="105" t="s">
        <v>252</v>
      </c>
      <c r="X12" s="101">
        <v>0</v>
      </c>
      <c r="Z12" s="105" t="s">
        <v>250</v>
      </c>
      <c r="AA12" s="101">
        <v>18145.055595199567</v>
      </c>
      <c r="AB12" s="101">
        <v>313816.63906144293</v>
      </c>
      <c r="AC12" s="107">
        <v>1556355.8334586904</v>
      </c>
      <c r="AD12" s="101">
        <v>1888317.5281153331</v>
      </c>
      <c r="AF12" s="351" t="s">
        <v>466</v>
      </c>
      <c r="AG12" s="101">
        <v>16608036.393122099</v>
      </c>
      <c r="AH12" s="102">
        <v>5.8686462775940171E-3</v>
      </c>
      <c r="AI12" s="283"/>
      <c r="AJ12" s="286"/>
      <c r="AK12" s="287"/>
      <c r="AL12" s="283"/>
      <c r="AM12" s="286"/>
      <c r="AN12" s="287"/>
      <c r="AO12" s="283"/>
      <c r="AP12" s="283"/>
      <c r="AQ12" s="283"/>
      <c r="AR12" s="283"/>
      <c r="AS12" s="286"/>
      <c r="AT12" s="288"/>
      <c r="AU12" s="286"/>
      <c r="AV12" s="287"/>
      <c r="AW12" s="283"/>
      <c r="AX12" s="283"/>
      <c r="AY12" s="289"/>
      <c r="AZ12" s="290"/>
      <c r="BA12" s="290"/>
      <c r="BB12" s="290"/>
      <c r="BC12" s="290"/>
      <c r="BD12" s="290"/>
      <c r="BE12" s="290"/>
      <c r="BF12" s="290"/>
      <c r="BG12" s="290"/>
      <c r="BH12" s="283"/>
    </row>
    <row r="13" spans="1:60">
      <c r="A13" s="105" t="s">
        <v>253</v>
      </c>
      <c r="B13" s="101">
        <v>28166049.627062615</v>
      </c>
      <c r="C13" s="101">
        <v>95775271.287275925</v>
      </c>
      <c r="H13" s="106">
        <v>6.25</v>
      </c>
      <c r="I13" s="101">
        <v>40438499.425145097</v>
      </c>
      <c r="K13" s="106">
        <v>7.6923076923076898</v>
      </c>
      <c r="L13" s="101">
        <v>1644431.8863822401</v>
      </c>
      <c r="M13" s="101">
        <v>1644431.8863822401</v>
      </c>
      <c r="N13" s="101">
        <v>0</v>
      </c>
      <c r="P13" s="105" t="s">
        <v>253</v>
      </c>
      <c r="Q13" s="102">
        <v>0.3360564849049284</v>
      </c>
      <c r="R13" s="102">
        <v>0.23525579168882876</v>
      </c>
      <c r="T13" s="105" t="s">
        <v>253</v>
      </c>
      <c r="U13" s="101">
        <v>28166049.627062615</v>
      </c>
      <c r="W13" s="105" t="s">
        <v>240</v>
      </c>
      <c r="X13" s="101">
        <v>57170083.892549202</v>
      </c>
      <c r="Z13" s="105" t="s">
        <v>251</v>
      </c>
      <c r="AA13" s="101">
        <v>0</v>
      </c>
      <c r="AB13" s="101">
        <v>1692296.2783668055</v>
      </c>
      <c r="AC13" s="101">
        <v>0</v>
      </c>
      <c r="AD13" s="101">
        <v>1692296.2783668055</v>
      </c>
      <c r="AF13" s="351" t="s">
        <v>467</v>
      </c>
      <c r="AG13" s="101">
        <v>388513112.60693574</v>
      </c>
      <c r="AH13" s="102">
        <v>0.13728570784210203</v>
      </c>
      <c r="AI13" s="283"/>
      <c r="AJ13" s="286"/>
      <c r="AK13" s="287"/>
      <c r="AL13" s="283"/>
      <c r="AM13" s="286"/>
      <c r="AN13" s="287"/>
      <c r="AO13" s="283"/>
      <c r="AP13" s="283"/>
      <c r="AQ13" s="283"/>
      <c r="AR13" s="283"/>
      <c r="AS13" s="286"/>
      <c r="AT13" s="288"/>
      <c r="AU13" s="286"/>
      <c r="AV13" s="287"/>
      <c r="AW13" s="291"/>
      <c r="AX13" s="283"/>
      <c r="AY13" s="289"/>
      <c r="AZ13" s="290"/>
      <c r="BA13" s="290"/>
      <c r="BB13" s="290"/>
      <c r="BC13" s="290"/>
      <c r="BD13" s="290"/>
      <c r="BE13" s="290"/>
      <c r="BF13" s="290"/>
      <c r="BG13" s="290"/>
      <c r="BH13" s="283"/>
    </row>
    <row r="14" spans="1:60">
      <c r="A14" s="105" t="s">
        <v>248</v>
      </c>
      <c r="B14" s="101">
        <v>2829524.9750329703</v>
      </c>
      <c r="C14" s="101">
        <v>29877832.141258951</v>
      </c>
      <c r="H14" s="106">
        <v>7.6923076923076898</v>
      </c>
      <c r="I14" s="101">
        <v>1644431.8863822401</v>
      </c>
      <c r="K14" s="106">
        <v>10</v>
      </c>
      <c r="L14" s="101">
        <v>1012070.90538824</v>
      </c>
      <c r="M14" s="101">
        <v>1012070.90538824</v>
      </c>
      <c r="N14" s="101">
        <v>1012070.90538824</v>
      </c>
      <c r="P14" s="105" t="s">
        <v>248</v>
      </c>
      <c r="Q14" s="102">
        <v>3.3759800527606E-2</v>
      </c>
      <c r="R14" s="102">
        <v>0.10681762244150081</v>
      </c>
      <c r="T14" s="105" t="s">
        <v>248</v>
      </c>
      <c r="U14" s="101">
        <v>2829524.9750329703</v>
      </c>
      <c r="W14" s="105" t="s">
        <v>241</v>
      </c>
      <c r="X14" s="101">
        <v>25155351.29065698</v>
      </c>
      <c r="Z14" s="105" t="s">
        <v>253</v>
      </c>
      <c r="AA14" s="101">
        <v>590904.88269210292</v>
      </c>
      <c r="AB14" s="101">
        <v>26043865.914003015</v>
      </c>
      <c r="AC14" s="101">
        <v>1531278.8303675009</v>
      </c>
      <c r="AD14" s="101">
        <v>28166049.627062619</v>
      </c>
      <c r="AF14" s="351" t="s">
        <v>468</v>
      </c>
      <c r="AG14" s="101">
        <v>134547531.41857392</v>
      </c>
      <c r="AH14" s="102">
        <v>4.7543963098857403E-2</v>
      </c>
      <c r="AI14" s="283"/>
      <c r="AJ14" s="286"/>
      <c r="AK14" s="287"/>
      <c r="AL14" s="283"/>
      <c r="AM14" s="286"/>
      <c r="AN14" s="287"/>
      <c r="AO14" s="283"/>
      <c r="AP14" s="283"/>
      <c r="AQ14" s="283"/>
      <c r="AR14" s="283"/>
      <c r="AS14" s="286"/>
      <c r="AT14" s="288"/>
      <c r="AU14" s="286"/>
      <c r="AV14" s="287"/>
      <c r="AW14" s="283"/>
      <c r="AX14" s="283"/>
      <c r="AY14" s="289"/>
      <c r="AZ14" s="290"/>
      <c r="BA14" s="290"/>
      <c r="BB14" s="290"/>
      <c r="BC14" s="290"/>
      <c r="BD14" s="290"/>
      <c r="BE14" s="290"/>
      <c r="BF14" s="290"/>
      <c r="BG14" s="290"/>
      <c r="BH14" s="291"/>
    </row>
    <row r="15" spans="1:60" ht="15">
      <c r="A15" s="105" t="s">
        <v>254</v>
      </c>
      <c r="B15" s="101">
        <v>2060398.327863273</v>
      </c>
      <c r="C15" s="101">
        <v>12432695.694547208</v>
      </c>
      <c r="H15" s="106">
        <v>10</v>
      </c>
      <c r="I15" s="101">
        <v>1012070.90538824</v>
      </c>
      <c r="K15" s="106">
        <v>11.2391930340717</v>
      </c>
      <c r="L15" s="101">
        <v>1048103.5362857</v>
      </c>
      <c r="M15" s="101">
        <v>1048103.5362857</v>
      </c>
      <c r="N15" s="101">
        <v>1048103.5362857</v>
      </c>
      <c r="P15" s="105" t="s">
        <v>254</v>
      </c>
      <c r="Q15" s="102">
        <v>2.4583149881992658E-2</v>
      </c>
      <c r="R15" s="102">
        <v>4.009591978077643E-2</v>
      </c>
      <c r="T15" s="105" t="s">
        <v>254</v>
      </c>
      <c r="U15" s="101">
        <v>2060398.327863273</v>
      </c>
      <c r="W15" s="113" t="s">
        <v>242</v>
      </c>
      <c r="X15" s="114">
        <v>83813438.788514644</v>
      </c>
      <c r="Z15" s="105" t="s">
        <v>248</v>
      </c>
      <c r="AA15" s="101">
        <v>38653.000216883956</v>
      </c>
      <c r="AB15" s="101">
        <v>2693238.2886990719</v>
      </c>
      <c r="AC15" s="101">
        <v>97633.686117014498</v>
      </c>
      <c r="AD15" s="101">
        <v>2829524.9750329703</v>
      </c>
      <c r="AF15" s="351" t="s">
        <v>469</v>
      </c>
      <c r="AG15" s="101">
        <v>93593973.650595874</v>
      </c>
      <c r="AH15" s="102">
        <v>3.3072538623366197E-2</v>
      </c>
      <c r="AI15" s="283"/>
      <c r="AJ15" s="286"/>
      <c r="AK15" s="287"/>
      <c r="AL15" s="283"/>
      <c r="AM15" s="286"/>
      <c r="AN15" s="287"/>
      <c r="AO15" s="283"/>
      <c r="AP15" s="283"/>
      <c r="AQ15" s="283"/>
      <c r="AR15" s="283"/>
      <c r="AS15" s="286"/>
      <c r="AT15" s="288"/>
      <c r="AU15" s="286"/>
      <c r="AV15" s="287"/>
      <c r="AW15" s="283"/>
      <c r="AX15" s="283"/>
      <c r="AY15" s="289"/>
      <c r="AZ15" s="290"/>
      <c r="BA15" s="290"/>
      <c r="BB15" s="290"/>
      <c r="BC15" s="290"/>
      <c r="BD15" s="290"/>
      <c r="BE15" s="290"/>
      <c r="BF15" s="290"/>
      <c r="BG15" s="290"/>
      <c r="BH15" s="283"/>
    </row>
    <row r="16" spans="1:60">
      <c r="A16" s="105" t="s">
        <v>255</v>
      </c>
      <c r="B16" s="101">
        <v>1790447.6726602744</v>
      </c>
      <c r="C16" s="101">
        <v>9191197.5325869881</v>
      </c>
      <c r="H16" s="106">
        <v>11.2391930340717</v>
      </c>
      <c r="I16" s="101">
        <v>1048103.5362857</v>
      </c>
      <c r="K16" s="106">
        <v>13.5802471679515</v>
      </c>
      <c r="L16" s="101">
        <v>1135474.8197799299</v>
      </c>
      <c r="M16" s="101">
        <v>1135474.8197799299</v>
      </c>
      <c r="N16" s="101">
        <v>249804.460351585</v>
      </c>
      <c r="P16" s="105" t="s">
        <v>255</v>
      </c>
      <c r="Q16" s="102">
        <v>2.1362298201104565E-2</v>
      </c>
      <c r="R16" s="102">
        <v>1.6990620216870565E-2</v>
      </c>
      <c r="T16" s="105" t="s">
        <v>255</v>
      </c>
      <c r="U16" s="101">
        <v>1790447.6726602744</v>
      </c>
      <c r="Z16" s="105" t="s">
        <v>254</v>
      </c>
      <c r="AA16" s="101">
        <v>0</v>
      </c>
      <c r="AB16" s="101">
        <v>2060398.327863273</v>
      </c>
      <c r="AC16" s="101"/>
      <c r="AD16" s="101">
        <v>2060398.327863273</v>
      </c>
      <c r="AF16" s="351" t="s">
        <v>470</v>
      </c>
      <c r="AG16" s="101">
        <v>284728108.51255411</v>
      </c>
      <c r="AH16" s="102">
        <v>0.10061204796255058</v>
      </c>
      <c r="AI16" s="283"/>
      <c r="AJ16" s="286"/>
      <c r="AK16" s="287"/>
      <c r="AL16" s="283"/>
      <c r="AM16" s="286"/>
      <c r="AN16" s="287"/>
      <c r="AO16" s="283"/>
      <c r="AP16" s="283"/>
      <c r="AQ16" s="283"/>
      <c r="AR16" s="283"/>
      <c r="AS16" s="286"/>
      <c r="AT16" s="288"/>
      <c r="AU16" s="286"/>
      <c r="AV16" s="287"/>
      <c r="AW16" s="283"/>
      <c r="AX16" s="283"/>
      <c r="AY16" s="289"/>
      <c r="AZ16" s="290"/>
      <c r="BA16" s="290"/>
      <c r="BB16" s="290"/>
      <c r="BC16" s="290"/>
      <c r="BD16" s="290"/>
      <c r="BE16" s="290"/>
      <c r="BF16" s="290"/>
      <c r="BG16" s="290"/>
      <c r="BH16" s="283"/>
    </row>
    <row r="17" spans="1:60" ht="15">
      <c r="A17" s="105" t="s">
        <v>256</v>
      </c>
      <c r="B17" s="101">
        <v>22343854.421509862</v>
      </c>
      <c r="C17" s="101">
        <v>32370937.484339811</v>
      </c>
      <c r="H17" s="106">
        <v>13.5802471679515</v>
      </c>
      <c r="I17" s="101">
        <v>1135474.8197799299</v>
      </c>
      <c r="K17" s="106">
        <v>13.8888888888889</v>
      </c>
      <c r="L17" s="101">
        <v>4934583.4383904198</v>
      </c>
      <c r="M17" s="101">
        <v>4934583.4383904198</v>
      </c>
      <c r="N17" s="101">
        <v>4934583.4383904198</v>
      </c>
      <c r="P17" s="105" t="s">
        <v>256</v>
      </c>
      <c r="Q17" s="102">
        <v>0.26659035525185659</v>
      </c>
      <c r="R17" s="102">
        <v>0.18290050037239944</v>
      </c>
      <c r="T17" s="105" t="s">
        <v>256</v>
      </c>
      <c r="U17" s="101">
        <v>22343854.421509862</v>
      </c>
      <c r="Z17" s="105" t="s">
        <v>255</v>
      </c>
      <c r="AA17" s="101"/>
      <c r="AB17" s="101">
        <v>1334817.5043615724</v>
      </c>
      <c r="AC17" s="108">
        <v>455630.16829870222</v>
      </c>
      <c r="AD17" s="101">
        <v>1790447.6726602747</v>
      </c>
      <c r="AF17" s="348" t="s">
        <v>480</v>
      </c>
      <c r="AG17" s="349">
        <v>1911969607.7561171</v>
      </c>
      <c r="AH17" s="350">
        <v>0.67561709619552968</v>
      </c>
      <c r="AI17" s="283"/>
      <c r="AJ17" s="286"/>
      <c r="AK17" s="287"/>
      <c r="AL17" s="283"/>
      <c r="AM17" s="286"/>
      <c r="AN17" s="287"/>
      <c r="AO17" s="283"/>
      <c r="AP17" s="283"/>
      <c r="AQ17" s="283"/>
      <c r="AR17" s="283"/>
      <c r="AS17" s="286"/>
      <c r="AT17" s="288"/>
      <c r="AU17" s="286"/>
      <c r="AV17" s="287"/>
      <c r="AW17" s="283"/>
      <c r="AX17" s="283"/>
      <c r="AY17" s="289"/>
      <c r="AZ17" s="290"/>
      <c r="BA17" s="290"/>
      <c r="BB17" s="290"/>
      <c r="BC17" s="290"/>
      <c r="BD17" s="290"/>
      <c r="BE17" s="290"/>
      <c r="BF17" s="290"/>
      <c r="BG17" s="290"/>
      <c r="BH17" s="283"/>
    </row>
    <row r="18" spans="1:60" ht="15">
      <c r="A18" s="105" t="s">
        <v>257</v>
      </c>
      <c r="B18" s="101">
        <v>5939379.7570398441</v>
      </c>
      <c r="C18" s="101">
        <v>15488510.634880997</v>
      </c>
      <c r="H18" s="106">
        <v>13.8888888888889</v>
      </c>
      <c r="I18" s="101">
        <v>4934583.4383904198</v>
      </c>
      <c r="K18" s="106">
        <v>14.285714285714301</v>
      </c>
      <c r="L18" s="101">
        <v>6641890.2543078698</v>
      </c>
      <c r="M18" s="101">
        <v>6641890.2543078698</v>
      </c>
      <c r="N18" s="101">
        <v>6641890.2543078698</v>
      </c>
      <c r="P18" s="105" t="s">
        <v>257</v>
      </c>
      <c r="Q18" s="102">
        <v>7.0864289103166403E-2</v>
      </c>
      <c r="R18" s="102">
        <v>7.8600277018534198E-2</v>
      </c>
      <c r="T18" s="105" t="s">
        <v>257</v>
      </c>
      <c r="U18" s="101">
        <v>5939379.7570398441</v>
      </c>
      <c r="W18" t="s">
        <v>742</v>
      </c>
      <c r="X18" s="114">
        <f>X15-(50%*X14)</f>
        <v>71235763.143186152</v>
      </c>
      <c r="Z18" s="105" t="s">
        <v>256</v>
      </c>
      <c r="AA18" s="101">
        <v>0</v>
      </c>
      <c r="AB18" s="101">
        <v>4455096.2817935692</v>
      </c>
      <c r="AC18" s="107">
        <v>17888758.13971629</v>
      </c>
      <c r="AD18" s="101">
        <v>22343854.421509858</v>
      </c>
      <c r="AF18" s="351" t="s">
        <v>466</v>
      </c>
      <c r="AG18" s="101">
        <v>8999872.5701468904</v>
      </c>
      <c r="AH18" s="102">
        <v>3.1802115197366878E-3</v>
      </c>
      <c r="AI18" s="283"/>
      <c r="AJ18" s="297"/>
      <c r="AK18" s="298"/>
      <c r="AL18" s="283"/>
      <c r="AM18" s="286"/>
      <c r="AN18" s="287"/>
      <c r="AO18" s="283"/>
      <c r="AP18" s="283"/>
      <c r="AQ18" s="283"/>
      <c r="AR18" s="283"/>
      <c r="AS18" s="286"/>
      <c r="AT18" s="288"/>
      <c r="AU18" s="286"/>
      <c r="AV18" s="287"/>
      <c r="AW18" s="283"/>
      <c r="AX18" s="283"/>
      <c r="AY18" s="289"/>
      <c r="AZ18" s="290"/>
      <c r="BA18" s="290"/>
      <c r="BB18" s="290"/>
      <c r="BC18" s="290"/>
      <c r="BD18" s="290"/>
      <c r="BE18" s="290"/>
      <c r="BF18" s="290"/>
      <c r="BG18" s="290"/>
      <c r="BH18" s="283"/>
    </row>
    <row r="19" spans="1:60" ht="15">
      <c r="A19" s="105" t="s">
        <v>258</v>
      </c>
      <c r="B19" s="101">
        <v>8587080.7801350672</v>
      </c>
      <c r="C19" s="101">
        <v>23238348.133507267</v>
      </c>
      <c r="H19" s="106">
        <v>14.285714285714301</v>
      </c>
      <c r="I19" s="101">
        <v>6641890.2543078698</v>
      </c>
      <c r="K19" s="106">
        <v>14.719626052713901</v>
      </c>
      <c r="L19" s="101">
        <v>10506788.689926101</v>
      </c>
      <c r="M19" s="101">
        <v>3887511.81527266</v>
      </c>
      <c r="N19" s="101">
        <v>3887511.81527266</v>
      </c>
      <c r="P19" s="105" t="s">
        <v>258</v>
      </c>
      <c r="Q19" s="102">
        <v>0.10245470063342389</v>
      </c>
      <c r="R19" s="102">
        <v>0.14166898444263062</v>
      </c>
      <c r="T19" s="105" t="s">
        <v>258</v>
      </c>
      <c r="U19" s="101">
        <v>8587080.7801350672</v>
      </c>
      <c r="W19" t="s">
        <v>742</v>
      </c>
      <c r="X19" s="431">
        <f>X18/X15</f>
        <v>0.84993247112714732</v>
      </c>
      <c r="Z19" s="105" t="s">
        <v>257</v>
      </c>
      <c r="AA19" s="101">
        <v>0</v>
      </c>
      <c r="AB19" s="101">
        <v>5388170.6238285732</v>
      </c>
      <c r="AC19" s="101">
        <v>551209.13321127009</v>
      </c>
      <c r="AD19" s="101">
        <v>5939379.7570398431</v>
      </c>
      <c r="AF19" s="351" t="s">
        <v>467</v>
      </c>
      <c r="AG19" s="101">
        <v>1353750878.8054276</v>
      </c>
      <c r="AH19" s="102">
        <v>0.47836389971912885</v>
      </c>
      <c r="AI19" s="283"/>
      <c r="AJ19" s="283"/>
      <c r="AK19" s="283"/>
      <c r="AL19" s="283"/>
      <c r="AM19" s="297"/>
      <c r="AN19" s="298"/>
      <c r="AO19" s="283"/>
      <c r="AP19" s="283"/>
      <c r="AQ19" s="283"/>
      <c r="AR19" s="283"/>
      <c r="AS19" s="286"/>
      <c r="AT19" s="288"/>
      <c r="AU19" s="286"/>
      <c r="AV19" s="287"/>
      <c r="AW19" s="283"/>
      <c r="AX19" s="283"/>
      <c r="AY19" s="289"/>
      <c r="AZ19" s="290"/>
      <c r="BA19" s="290"/>
      <c r="BB19" s="290"/>
      <c r="BC19" s="290"/>
      <c r="BD19" s="290"/>
      <c r="BE19" s="290"/>
      <c r="BF19" s="290"/>
      <c r="BG19" s="290"/>
      <c r="BH19" s="283"/>
    </row>
    <row r="20" spans="1:60" ht="15">
      <c r="A20" s="113" t="s">
        <v>242</v>
      </c>
      <c r="B20" s="114">
        <v>83813438.788514659</v>
      </c>
      <c r="C20" s="114">
        <v>279417753.60901409</v>
      </c>
      <c r="H20" s="106">
        <v>14.719626052713901</v>
      </c>
      <c r="I20" s="101">
        <v>10506788.689926101</v>
      </c>
      <c r="K20" s="106">
        <v>16.6666666666667</v>
      </c>
      <c r="L20" s="101">
        <v>1480334.8376050701</v>
      </c>
      <c r="M20" s="101">
        <v>1480334.8376050701</v>
      </c>
      <c r="N20" s="101">
        <v>0</v>
      </c>
      <c r="P20" s="113" t="s">
        <v>242</v>
      </c>
      <c r="Q20" s="115">
        <v>1</v>
      </c>
      <c r="R20" s="115">
        <v>1</v>
      </c>
      <c r="T20" s="113" t="s">
        <v>242</v>
      </c>
      <c r="U20" s="114">
        <v>83813438.788514659</v>
      </c>
      <c r="Z20" s="105" t="s">
        <v>258</v>
      </c>
      <c r="AA20" s="101">
        <v>309869.35992846527</v>
      </c>
      <c r="AB20" s="101">
        <v>7955494.2729952307</v>
      </c>
      <c r="AC20" s="101">
        <v>321717.14721137093</v>
      </c>
      <c r="AD20" s="101">
        <v>8587080.7801350672</v>
      </c>
      <c r="AF20" s="351" t="s">
        <v>468</v>
      </c>
      <c r="AG20" s="101">
        <v>237161464.11400321</v>
      </c>
      <c r="AH20" s="102">
        <v>8.3803811035589162E-2</v>
      </c>
      <c r="AI20" s="283"/>
      <c r="AJ20" s="283"/>
      <c r="AK20" s="283"/>
      <c r="AL20" s="283"/>
      <c r="AM20" s="283"/>
      <c r="AN20" s="283"/>
      <c r="AO20" s="283"/>
      <c r="AP20" s="283"/>
      <c r="AQ20" s="283"/>
      <c r="AR20" s="283"/>
      <c r="AS20" s="286"/>
      <c r="AT20" s="288"/>
      <c r="AU20" s="297"/>
      <c r="AV20" s="298"/>
      <c r="AW20" s="283"/>
      <c r="AX20" s="283"/>
      <c r="AY20" s="289"/>
      <c r="AZ20" s="290"/>
      <c r="BA20" s="290"/>
      <c r="BB20" s="290"/>
      <c r="BC20" s="290"/>
      <c r="BD20" s="290"/>
      <c r="BE20" s="290"/>
      <c r="BF20" s="290"/>
      <c r="BG20" s="290"/>
      <c r="BH20" s="283"/>
    </row>
    <row r="21" spans="1:60" ht="15">
      <c r="H21" s="106">
        <v>16.6666666666667</v>
      </c>
      <c r="I21" s="101">
        <v>1480334.8376050701</v>
      </c>
      <c r="K21" s="106">
        <v>20</v>
      </c>
      <c r="L21" s="101">
        <v>1940204.1732769338</v>
      </c>
      <c r="M21" s="101">
        <v>1940204.1732769338</v>
      </c>
      <c r="N21" s="101">
        <v>1859438.815070515</v>
      </c>
      <c r="Z21" s="113" t="s">
        <v>242</v>
      </c>
      <c r="AA21" s="114">
        <v>1488003.605308464</v>
      </c>
      <c r="AB21" s="114">
        <v>57170083.892549209</v>
      </c>
      <c r="AC21" s="114">
        <v>25155351.290656984</v>
      </c>
      <c r="AD21" s="114">
        <v>83813438.788514659</v>
      </c>
      <c r="AF21" s="351" t="s">
        <v>470</v>
      </c>
      <c r="AG21" s="101">
        <v>312057392.26653951</v>
      </c>
      <c r="AH21" s="102">
        <v>0.11026917392107496</v>
      </c>
      <c r="AI21" s="283"/>
      <c r="AJ21" s="283"/>
      <c r="AK21" s="283"/>
      <c r="AL21" s="283"/>
      <c r="AM21" s="283"/>
      <c r="AN21" s="283"/>
      <c r="AO21" s="283"/>
      <c r="AP21" s="283"/>
      <c r="AQ21" s="283"/>
      <c r="AR21" s="283"/>
      <c r="AS21" s="286"/>
      <c r="AT21" s="288"/>
      <c r="AU21" s="283"/>
      <c r="AV21" s="283"/>
      <c r="AW21" s="283"/>
      <c r="AX21" s="283"/>
      <c r="AY21" s="299"/>
      <c r="AZ21" s="300"/>
      <c r="BA21" s="300"/>
      <c r="BB21" s="300"/>
      <c r="BC21" s="300"/>
      <c r="BD21" s="300"/>
      <c r="BE21" s="300"/>
      <c r="BF21" s="300"/>
      <c r="BG21" s="300"/>
      <c r="BH21" s="291"/>
    </row>
    <row r="22" spans="1:60" ht="15">
      <c r="H22" s="106">
        <v>20</v>
      </c>
      <c r="I22" s="101">
        <v>1940204.1732769338</v>
      </c>
      <c r="K22" s="106">
        <v>22.2222222222222</v>
      </c>
      <c r="L22" s="101">
        <v>4182947.14255819</v>
      </c>
      <c r="M22" s="101">
        <v>4182947.14255819</v>
      </c>
      <c r="N22" s="101">
        <v>4182947.14255819</v>
      </c>
      <c r="AF22" s="113" t="s">
        <v>242</v>
      </c>
      <c r="AG22" s="114">
        <v>2829960370.3378992</v>
      </c>
      <c r="AH22" s="115">
        <v>1</v>
      </c>
      <c r="AI22" s="283"/>
      <c r="AJ22" s="283"/>
      <c r="AK22" s="283"/>
      <c r="AL22" s="283"/>
      <c r="AM22" s="283"/>
      <c r="AN22" s="283"/>
      <c r="AO22" s="283"/>
      <c r="AP22" s="283"/>
      <c r="AQ22" s="283"/>
      <c r="AR22" s="283"/>
      <c r="AS22" s="283"/>
      <c r="AT22" s="288"/>
      <c r="AU22" s="287"/>
      <c r="AV22" s="283"/>
      <c r="AW22" s="283"/>
      <c r="AX22" s="283"/>
      <c r="AY22" s="283"/>
      <c r="AZ22" s="283"/>
      <c r="BA22" s="283"/>
      <c r="BB22" s="283"/>
      <c r="BC22" s="283"/>
      <c r="BD22" s="283"/>
      <c r="BE22" s="283"/>
      <c r="BF22" s="283"/>
      <c r="BG22" s="283"/>
      <c r="BH22" s="283"/>
    </row>
    <row r="23" spans="1:60">
      <c r="B23" s="109">
        <v>0.23074405652030913</v>
      </c>
      <c r="H23" s="106">
        <v>22.2222222222222</v>
      </c>
      <c r="I23" s="101">
        <v>4182947.14255819</v>
      </c>
      <c r="K23" s="106">
        <v>25</v>
      </c>
      <c r="L23" s="101">
        <v>3934133.477167923</v>
      </c>
      <c r="M23" s="101">
        <v>3934133.477167923</v>
      </c>
      <c r="N23" s="101">
        <v>3754918.3949938342</v>
      </c>
      <c r="AD23" s="428">
        <f>ROUND(AD21/1000000,0)</f>
        <v>84</v>
      </c>
      <c r="AF23" s="283"/>
      <c r="AG23" s="283"/>
      <c r="AH23" s="283"/>
      <c r="AI23" s="283"/>
      <c r="AJ23" s="283"/>
      <c r="AK23" s="283"/>
      <c r="AL23" s="283"/>
      <c r="AM23" s="283"/>
      <c r="AN23" s="283"/>
      <c r="AO23" s="283"/>
      <c r="AP23" s="283"/>
      <c r="AQ23" s="283"/>
      <c r="AR23" s="283"/>
      <c r="AS23" s="283"/>
      <c r="AT23" s="288"/>
      <c r="AU23" s="287"/>
      <c r="AV23" s="283"/>
      <c r="AW23" s="283"/>
      <c r="AX23" s="283"/>
      <c r="AY23" s="283"/>
      <c r="AZ23" s="283"/>
      <c r="BA23" s="283"/>
      <c r="BB23" s="283"/>
      <c r="BC23" s="283"/>
      <c r="BD23" s="283"/>
      <c r="BE23" s="283"/>
      <c r="BF23" s="283"/>
      <c r="BG23" s="283"/>
      <c r="BH23" s="283"/>
    </row>
    <row r="24" spans="1:60">
      <c r="H24" s="106">
        <v>25</v>
      </c>
      <c r="I24" s="101">
        <v>3934133.4771679225</v>
      </c>
      <c r="K24" s="106">
        <v>28.571428571428601</v>
      </c>
      <c r="L24" s="101">
        <v>12617161.987441991</v>
      </c>
      <c r="M24" s="101">
        <v>11563504.644328751</v>
      </c>
      <c r="N24" s="101">
        <v>7944602.0551453624</v>
      </c>
      <c r="AF24" s="283"/>
      <c r="AG24" s="283"/>
      <c r="AH24" s="283"/>
      <c r="AI24" s="283"/>
      <c r="AJ24" s="283"/>
      <c r="AK24" s="283"/>
      <c r="AL24" s="283"/>
      <c r="AM24" s="283"/>
      <c r="AN24" s="283"/>
      <c r="AO24" s="283"/>
      <c r="AP24" s="283"/>
      <c r="AQ24" s="283"/>
      <c r="AR24" s="283"/>
      <c r="AS24" s="283"/>
      <c r="AT24" s="288"/>
      <c r="AU24" s="287"/>
      <c r="AV24" s="283"/>
      <c r="AW24" s="283"/>
      <c r="AX24" s="283"/>
      <c r="AY24" s="283"/>
      <c r="AZ24" s="283"/>
      <c r="BA24" s="283"/>
      <c r="BB24" s="283"/>
      <c r="BC24" s="283"/>
      <c r="BD24" s="283"/>
      <c r="BE24" s="283"/>
      <c r="BF24" s="283"/>
      <c r="BG24" s="283"/>
      <c r="BH24" s="283"/>
    </row>
    <row r="25" spans="1:60">
      <c r="B25" s="109"/>
      <c r="C25" s="109"/>
      <c r="H25" s="106">
        <v>28.571428571428601</v>
      </c>
      <c r="I25" s="101">
        <v>12617161.987441991</v>
      </c>
      <c r="K25" s="106">
        <v>31.360946617738001</v>
      </c>
      <c r="L25" s="101">
        <v>5501185.5281244097</v>
      </c>
      <c r="M25" s="101">
        <v>5501185.5281244097</v>
      </c>
      <c r="N25" s="101">
        <v>5501185.5281244097</v>
      </c>
      <c r="AF25" s="283"/>
      <c r="AG25" s="283"/>
      <c r="AH25" s="283"/>
      <c r="AI25" s="283"/>
      <c r="AJ25" s="283"/>
      <c r="AK25" s="283"/>
      <c r="AL25" s="283"/>
      <c r="AM25" s="283"/>
      <c r="AN25" s="283"/>
      <c r="AO25" s="283"/>
      <c r="AP25" s="283"/>
      <c r="AQ25" s="283"/>
      <c r="AR25" s="283"/>
      <c r="AS25" s="283"/>
      <c r="AT25" s="288"/>
      <c r="AU25" s="287"/>
      <c r="AV25" s="283"/>
      <c r="AW25" s="283"/>
      <c r="AX25" s="283"/>
      <c r="AY25" s="283"/>
      <c r="AZ25" s="283"/>
      <c r="BA25" s="283"/>
      <c r="BB25" s="283"/>
      <c r="BC25" s="283"/>
      <c r="BD25" s="283"/>
      <c r="BE25" s="283"/>
      <c r="BF25" s="283"/>
      <c r="BG25" s="283"/>
      <c r="BH25" s="283"/>
    </row>
    <row r="26" spans="1:60">
      <c r="H26" s="106">
        <v>31.360946617738001</v>
      </c>
      <c r="I26" s="101">
        <v>5501185.5281244097</v>
      </c>
      <c r="K26" s="106">
        <v>33.3333333333333</v>
      </c>
      <c r="L26" s="101">
        <v>3784784.3663967801</v>
      </c>
      <c r="M26" s="101">
        <v>2376364.897884455</v>
      </c>
      <c r="N26" s="101">
        <v>1421504.241265933</v>
      </c>
      <c r="AF26" s="283"/>
      <c r="AG26" s="283"/>
      <c r="AH26" s="283"/>
      <c r="AI26" s="283"/>
      <c r="AJ26" s="283"/>
      <c r="AK26" s="283"/>
      <c r="AL26" s="283"/>
      <c r="AM26" s="283"/>
      <c r="AN26" s="283"/>
      <c r="AO26" s="283"/>
      <c r="AP26" s="283"/>
      <c r="AQ26" s="283"/>
      <c r="AR26" s="283"/>
      <c r="AS26" s="283"/>
      <c r="AT26" s="288"/>
      <c r="AU26" s="287"/>
      <c r="AV26" s="283"/>
      <c r="AW26" s="283"/>
      <c r="AX26" s="283"/>
      <c r="AY26" s="283"/>
      <c r="AZ26" s="283"/>
      <c r="BA26" s="283"/>
      <c r="BB26" s="283"/>
      <c r="BC26" s="283"/>
      <c r="BD26" s="283"/>
      <c r="BE26" s="283"/>
      <c r="BF26" s="283"/>
      <c r="BG26" s="283"/>
      <c r="BH26" s="283"/>
    </row>
    <row r="27" spans="1:60">
      <c r="H27" s="106">
        <v>33.3333333333333</v>
      </c>
      <c r="I27" s="101">
        <v>3784784.3663967801</v>
      </c>
      <c r="K27" s="106">
        <v>37.5</v>
      </c>
      <c r="L27" s="101">
        <v>4459025.34791175</v>
      </c>
      <c r="M27" s="101">
        <v>4369844.8409535196</v>
      </c>
      <c r="N27" s="101">
        <v>4369844.8409535196</v>
      </c>
      <c r="AF27" s="283"/>
      <c r="AG27" s="283"/>
      <c r="AH27" s="283"/>
      <c r="AI27" s="283"/>
      <c r="AJ27" s="283"/>
      <c r="AK27" s="283"/>
      <c r="AL27" s="283"/>
      <c r="AM27" s="283"/>
      <c r="AN27" s="283"/>
      <c r="AO27" s="283"/>
      <c r="AP27" s="283"/>
      <c r="AQ27" s="283"/>
      <c r="AR27" s="283"/>
      <c r="AS27" s="283"/>
      <c r="AT27" s="288"/>
      <c r="AU27" s="287"/>
      <c r="AV27" s="283"/>
      <c r="AW27" s="283"/>
      <c r="AX27" s="283"/>
      <c r="AY27" s="283"/>
      <c r="AZ27" s="283"/>
      <c r="BA27" s="283"/>
      <c r="BB27" s="283"/>
      <c r="BC27" s="283"/>
      <c r="BD27" s="283"/>
      <c r="BE27" s="283"/>
      <c r="BF27" s="283"/>
      <c r="BG27" s="283"/>
      <c r="BH27" s="283"/>
    </row>
    <row r="28" spans="1:60" ht="45" customHeight="1">
      <c r="H28" s="106">
        <v>37.5</v>
      </c>
      <c r="I28" s="101">
        <v>4459025.34791175</v>
      </c>
      <c r="K28" s="106">
        <v>40</v>
      </c>
      <c r="L28" s="101">
        <v>3139938.27715853</v>
      </c>
      <c r="M28" s="101">
        <v>3139938.27715853</v>
      </c>
      <c r="N28" s="101">
        <v>3139938.27715853</v>
      </c>
      <c r="AF28" s="116"/>
      <c r="AG28" s="116" t="s">
        <v>229</v>
      </c>
      <c r="AH28" s="116"/>
      <c r="AI28" s="116"/>
      <c r="AJ28" s="283"/>
      <c r="AK28" s="284"/>
      <c r="AL28" s="284"/>
      <c r="AM28" s="283"/>
      <c r="AN28" s="283"/>
      <c r="AO28" s="283"/>
      <c r="AP28" s="283"/>
      <c r="AQ28" s="283"/>
      <c r="AR28" s="283"/>
      <c r="AS28" s="283"/>
      <c r="AT28" s="288"/>
      <c r="AU28" s="287"/>
      <c r="AV28" s="283"/>
      <c r="AW28" s="283"/>
      <c r="AX28" s="283"/>
      <c r="AY28" s="283"/>
      <c r="AZ28" s="283"/>
      <c r="BA28" s="283"/>
      <c r="BB28" s="283"/>
      <c r="BC28" s="283"/>
      <c r="BD28" s="283"/>
      <c r="BE28" s="283"/>
      <c r="BF28" s="283"/>
      <c r="BG28" s="283"/>
      <c r="BH28" s="283"/>
    </row>
    <row r="29" spans="1:60" ht="15">
      <c r="H29" s="106">
        <v>40</v>
      </c>
      <c r="I29" s="101">
        <v>3139938.27715853</v>
      </c>
      <c r="K29" s="106">
        <v>40.909090909090899</v>
      </c>
      <c r="L29" s="101">
        <v>2350189.8743436001</v>
      </c>
      <c r="M29" s="101">
        <v>2350189.8743436001</v>
      </c>
      <c r="N29" s="101">
        <v>2350189.8743436001</v>
      </c>
      <c r="AF29" s="111" t="s">
        <v>230</v>
      </c>
      <c r="AG29" s="111" t="s">
        <v>233</v>
      </c>
      <c r="AH29" s="111" t="s">
        <v>438</v>
      </c>
      <c r="AI29" s="111" t="s">
        <v>709</v>
      </c>
      <c r="AJ29" s="283"/>
      <c r="AK29" s="283"/>
      <c r="AL29" s="283"/>
      <c r="AM29" s="283"/>
      <c r="AN29" s="283"/>
      <c r="AO29" s="283"/>
      <c r="AP29" s="283"/>
      <c r="AQ29" s="283"/>
      <c r="AR29" s="283"/>
      <c r="AS29" s="283"/>
      <c r="AT29" s="288"/>
      <c r="AU29" s="287"/>
      <c r="AV29" s="283"/>
      <c r="AW29" s="283"/>
      <c r="AX29" s="283"/>
      <c r="AY29" s="283"/>
      <c r="AZ29" s="283"/>
      <c r="BA29" s="283"/>
      <c r="BB29" s="283"/>
      <c r="BC29" s="283"/>
      <c r="BD29" s="283"/>
      <c r="BE29" s="283"/>
      <c r="BF29" s="283"/>
      <c r="BG29" s="283"/>
      <c r="BH29" s="283"/>
    </row>
    <row r="30" spans="1:60">
      <c r="H30" s="106">
        <v>40.909090909090899</v>
      </c>
      <c r="I30" s="101">
        <v>2350189.8743436001</v>
      </c>
      <c r="K30" s="106">
        <v>41.6666666666667</v>
      </c>
      <c r="L30" s="101">
        <v>2932238.0510044098</v>
      </c>
      <c r="M30" s="101">
        <v>2487365.5281009302</v>
      </c>
      <c r="N30" s="101">
        <v>2487365.5281009302</v>
      </c>
      <c r="AE30" t="s">
        <v>396</v>
      </c>
      <c r="AF30" s="105" t="s">
        <v>710</v>
      </c>
      <c r="AG30" s="101">
        <v>2458056633.5698771</v>
      </c>
      <c r="AH30" s="102">
        <v>0.78745238715647869</v>
      </c>
      <c r="AI30" s="101">
        <v>147443.65145287273</v>
      </c>
      <c r="AJ30" s="283"/>
      <c r="AK30" s="283"/>
      <c r="AL30" s="292"/>
      <c r="AM30" s="283"/>
      <c r="AN30" s="283"/>
      <c r="AO30" s="283"/>
      <c r="AP30" s="283"/>
      <c r="AQ30" s="283"/>
      <c r="AR30" s="283"/>
      <c r="AS30" s="283"/>
      <c r="AT30" s="288"/>
      <c r="AU30" s="287"/>
      <c r="AV30" s="283"/>
      <c r="AW30" s="283"/>
      <c r="AX30" s="283"/>
      <c r="AY30" s="283"/>
      <c r="AZ30" s="283"/>
      <c r="BA30" s="283"/>
      <c r="BB30" s="283"/>
      <c r="BC30" s="283"/>
      <c r="BD30" s="283"/>
      <c r="BE30" s="283"/>
      <c r="BF30" s="283"/>
      <c r="BG30" s="283"/>
      <c r="BH30" s="283"/>
    </row>
    <row r="31" spans="1:60">
      <c r="H31" s="106">
        <v>41.6666666666667</v>
      </c>
      <c r="I31" s="101">
        <v>2932238.0510044098</v>
      </c>
      <c r="K31" s="106">
        <v>43.000001907348597</v>
      </c>
      <c r="L31" s="101">
        <v>3187860.4784675101</v>
      </c>
      <c r="M31" s="101">
        <v>3187860.4784675101</v>
      </c>
      <c r="N31" s="101">
        <v>0</v>
      </c>
      <c r="AE31" t="s">
        <v>397</v>
      </c>
      <c r="AF31" s="105" t="s">
        <v>711</v>
      </c>
      <c r="AG31" s="101">
        <v>556173956.32468104</v>
      </c>
      <c r="AH31" s="102">
        <v>0.17817348209185718</v>
      </c>
      <c r="AI31" s="101">
        <v>47530.222203161953</v>
      </c>
      <c r="AJ31" s="283"/>
      <c r="AK31" s="283"/>
      <c r="AL31" s="292"/>
      <c r="AM31" s="283"/>
      <c r="AN31" s="283"/>
      <c r="AO31" s="283"/>
      <c r="AP31" s="283"/>
      <c r="AQ31" s="283"/>
      <c r="AR31" s="283"/>
      <c r="AS31" s="283"/>
      <c r="AT31" s="288"/>
      <c r="AU31" s="287"/>
      <c r="AV31" s="283"/>
      <c r="AW31" s="283"/>
      <c r="AX31" s="283"/>
      <c r="AY31" s="283"/>
      <c r="AZ31" s="283"/>
      <c r="BA31" s="283"/>
      <c r="BB31" s="283"/>
      <c r="BC31" s="283"/>
      <c r="BD31" s="283"/>
      <c r="BE31" s="283"/>
      <c r="BF31" s="283"/>
      <c r="BG31" s="283"/>
      <c r="BH31" s="283"/>
    </row>
    <row r="32" spans="1:60" ht="15">
      <c r="H32" s="106">
        <v>43.000001907348597</v>
      </c>
      <c r="I32" s="101">
        <v>3187860.4784675101</v>
      </c>
      <c r="K32" s="106">
        <v>44.4444444444444</v>
      </c>
      <c r="L32" s="101">
        <v>3208679.6335993698</v>
      </c>
      <c r="M32" s="101">
        <v>3208679.6335993698</v>
      </c>
      <c r="N32" s="101">
        <v>3144506.0409273799</v>
      </c>
      <c r="AE32" s="231" t="s">
        <v>398</v>
      </c>
      <c r="AF32" s="105" t="s">
        <v>712</v>
      </c>
      <c r="AG32" s="101">
        <v>107299897.105444</v>
      </c>
      <c r="AH32" s="102">
        <v>3.4374130751664171E-2</v>
      </c>
      <c r="AI32" s="101">
        <v>8231.4512722883173</v>
      </c>
      <c r="AJ32" s="283"/>
      <c r="AK32" s="283"/>
      <c r="AL32" s="283"/>
      <c r="AM32" s="283"/>
      <c r="AN32" s="283"/>
      <c r="AO32" s="283"/>
      <c r="AP32" s="283"/>
      <c r="AQ32" s="283"/>
      <c r="AR32" s="283"/>
      <c r="AS32" s="283"/>
      <c r="AT32" s="288"/>
      <c r="AU32" s="287"/>
      <c r="AV32" s="283"/>
      <c r="AW32" s="283"/>
      <c r="AX32" s="283"/>
      <c r="AY32" s="283"/>
      <c r="AZ32" s="283"/>
      <c r="BA32" s="283"/>
      <c r="BB32" s="283"/>
      <c r="BC32" s="283"/>
      <c r="BD32" s="283"/>
      <c r="BE32" s="283"/>
      <c r="BF32" s="283"/>
      <c r="BG32" s="283"/>
      <c r="BH32" s="283"/>
    </row>
    <row r="33" spans="8:60" ht="15">
      <c r="H33" s="106">
        <v>44.4444444444444</v>
      </c>
      <c r="I33" s="101">
        <v>3208679.6335993698</v>
      </c>
      <c r="K33" s="106">
        <v>46.153846153846203</v>
      </c>
      <c r="L33" s="101">
        <v>1061688.55753088</v>
      </c>
      <c r="M33" s="101">
        <v>1061688.55753088</v>
      </c>
      <c r="N33" s="101">
        <v>1061688.55753088</v>
      </c>
      <c r="AF33" s="113" t="s">
        <v>242</v>
      </c>
      <c r="AG33" s="114">
        <v>3121530487.0000019</v>
      </c>
      <c r="AH33" s="115">
        <v>1</v>
      </c>
      <c r="AI33" s="114">
        <v>203205.32492832298</v>
      </c>
      <c r="AJ33" s="283"/>
      <c r="AK33" s="283"/>
      <c r="AL33" s="292"/>
      <c r="AM33" s="283"/>
      <c r="AN33" s="283"/>
      <c r="AO33" s="283"/>
      <c r="AP33" s="283"/>
      <c r="AQ33" s="283"/>
      <c r="AR33" s="283"/>
      <c r="AS33" s="283"/>
      <c r="AT33" s="288"/>
      <c r="AU33" s="287"/>
      <c r="AV33" s="283"/>
      <c r="AW33" s="283"/>
      <c r="AX33" s="283"/>
      <c r="AY33" s="283"/>
      <c r="AZ33" s="283"/>
      <c r="BA33" s="283"/>
      <c r="BB33" s="283"/>
      <c r="BC33" s="283"/>
      <c r="BD33" s="283"/>
      <c r="BE33" s="283"/>
      <c r="BF33" s="283"/>
      <c r="BG33" s="283"/>
      <c r="BH33" s="283"/>
    </row>
    <row r="34" spans="8:60">
      <c r="H34" s="106">
        <v>46.153846153846203</v>
      </c>
      <c r="I34" s="101">
        <v>1061688.55753088</v>
      </c>
      <c r="K34" s="106">
        <v>50</v>
      </c>
      <c r="L34" s="101">
        <v>27342262.151399992</v>
      </c>
      <c r="M34" s="101">
        <v>26447248.909414686</v>
      </c>
      <c r="N34" s="101">
        <v>14007356.470168211</v>
      </c>
      <c r="AF34" s="283"/>
      <c r="AG34" s="283"/>
      <c r="AH34" s="283"/>
      <c r="AI34" s="283"/>
      <c r="AJ34" s="283"/>
      <c r="AK34" s="283"/>
      <c r="AL34" s="283"/>
      <c r="AM34" s="283"/>
      <c r="AN34" s="283"/>
      <c r="AO34" s="283"/>
      <c r="AP34" s="283"/>
      <c r="AQ34" s="283"/>
      <c r="AR34" s="283"/>
      <c r="AS34" s="283"/>
      <c r="AT34" s="288"/>
      <c r="AU34" s="287"/>
      <c r="AV34" s="283"/>
      <c r="AW34" s="283"/>
      <c r="AX34" s="283"/>
      <c r="AY34" s="283"/>
      <c r="AZ34" s="283"/>
      <c r="BA34" s="283"/>
      <c r="BB34" s="283"/>
      <c r="BC34" s="283"/>
      <c r="BD34" s="283"/>
      <c r="BE34" s="283"/>
      <c r="BF34" s="283"/>
      <c r="BG34" s="283"/>
      <c r="BH34" s="283"/>
    </row>
    <row r="35" spans="8:60">
      <c r="H35" s="106">
        <v>50</v>
      </c>
      <c r="I35" s="101">
        <v>27342262.151399989</v>
      </c>
      <c r="K35" s="106">
        <v>57.724827799847702</v>
      </c>
      <c r="L35" s="101">
        <v>2529827.92333704</v>
      </c>
      <c r="M35" s="101">
        <v>2529827.92333704</v>
      </c>
      <c r="N35" s="101">
        <v>1125773.42588498</v>
      </c>
      <c r="AF35" s="283"/>
      <c r="AG35" s="283"/>
      <c r="AH35" s="283"/>
      <c r="AI35" s="283"/>
      <c r="AJ35" s="283"/>
      <c r="AK35" s="283"/>
      <c r="AL35" s="283"/>
      <c r="AM35" s="283"/>
      <c r="AN35" s="283"/>
      <c r="AO35" s="283"/>
      <c r="AP35" s="283"/>
      <c r="AQ35" s="283"/>
      <c r="AR35" s="283"/>
      <c r="AS35" s="283"/>
      <c r="AT35" s="288"/>
      <c r="AU35" s="287"/>
      <c r="AV35" s="283"/>
      <c r="AW35" s="283"/>
      <c r="AX35" s="283"/>
      <c r="AY35" s="283"/>
      <c r="AZ35" s="283"/>
      <c r="BA35" s="283"/>
      <c r="BB35" s="283"/>
      <c r="BC35" s="283"/>
      <c r="BD35" s="283"/>
      <c r="BE35" s="283"/>
      <c r="BF35" s="283"/>
      <c r="BG35" s="283"/>
      <c r="BH35" s="283"/>
    </row>
    <row r="36" spans="8:60">
      <c r="H36" s="106">
        <v>57.724827799847702</v>
      </c>
      <c r="I36" s="101">
        <v>2529827.92333704</v>
      </c>
      <c r="K36" s="106">
        <v>60</v>
      </c>
      <c r="L36" s="101">
        <v>6596592.9329972602</v>
      </c>
      <c r="M36" s="101">
        <v>6596592.9329972602</v>
      </c>
      <c r="N36" s="101">
        <v>6563609.9683322804</v>
      </c>
      <c r="AF36" s="283"/>
      <c r="AG36" s="283"/>
      <c r="AH36" s="283"/>
      <c r="AI36" s="283"/>
      <c r="AJ36" s="293"/>
      <c r="AK36" s="283"/>
      <c r="AL36" s="283"/>
      <c r="AM36" s="283"/>
      <c r="AN36" s="283"/>
      <c r="AO36" s="283"/>
      <c r="AP36" s="283"/>
      <c r="AQ36" s="283"/>
      <c r="AR36" s="283"/>
      <c r="AS36" s="283"/>
      <c r="AT36" s="288"/>
      <c r="AU36" s="287"/>
      <c r="AV36" s="283"/>
      <c r="AW36" s="283"/>
      <c r="AX36" s="283"/>
      <c r="AY36" s="283"/>
      <c r="AZ36" s="283"/>
      <c r="BA36" s="283"/>
      <c r="BB36" s="283"/>
      <c r="BC36" s="283"/>
      <c r="BD36" s="283"/>
      <c r="BE36" s="283"/>
      <c r="BF36" s="283"/>
      <c r="BG36" s="283"/>
      <c r="BH36" s="283"/>
    </row>
    <row r="37" spans="8:60">
      <c r="H37" s="106">
        <v>60</v>
      </c>
      <c r="I37" s="101">
        <v>6596592.9329972602</v>
      </c>
      <c r="K37" s="106">
        <v>66.6666666666667</v>
      </c>
      <c r="L37" s="101">
        <v>349529.14860019798</v>
      </c>
      <c r="M37" s="101">
        <v>349529.14860019798</v>
      </c>
      <c r="N37" s="101">
        <v>0</v>
      </c>
      <c r="AF37" s="283"/>
      <c r="AG37" s="283"/>
      <c r="AH37" s="283"/>
      <c r="AI37" s="283"/>
      <c r="AJ37" s="283"/>
      <c r="AK37" s="283"/>
      <c r="AL37" s="283"/>
      <c r="AM37" s="283"/>
      <c r="AN37" s="283"/>
      <c r="AO37" s="283"/>
      <c r="AP37" s="283"/>
      <c r="AQ37" s="283"/>
      <c r="AR37" s="283"/>
      <c r="AS37" s="283"/>
      <c r="AT37" s="288"/>
      <c r="AU37" s="287"/>
      <c r="AV37" s="283"/>
      <c r="AW37" s="283"/>
      <c r="AX37" s="283"/>
      <c r="AY37" s="283"/>
      <c r="AZ37" s="283"/>
      <c r="BA37" s="283"/>
      <c r="BB37" s="283"/>
      <c r="BC37" s="283"/>
      <c r="BD37" s="283"/>
      <c r="BE37" s="283"/>
      <c r="BF37" s="283"/>
      <c r="BG37" s="283"/>
      <c r="BH37" s="283"/>
    </row>
    <row r="38" spans="8:60">
      <c r="H38" s="106">
        <v>66.6666666666667</v>
      </c>
      <c r="I38" s="101">
        <v>349529.14860019798</v>
      </c>
      <c r="K38" s="106">
        <v>75</v>
      </c>
      <c r="L38" s="101">
        <v>3666335.7085273601</v>
      </c>
      <c r="M38" s="101">
        <v>3666335.7085273601</v>
      </c>
      <c r="N38" s="101">
        <v>711652.471277904</v>
      </c>
      <c r="AF38" s="283"/>
      <c r="AG38" s="283"/>
      <c r="AH38" s="283"/>
      <c r="AI38" s="294"/>
      <c r="AJ38" s="295"/>
      <c r="AK38" s="283"/>
      <c r="AL38" s="283"/>
      <c r="AM38" s="283"/>
      <c r="AN38" s="283"/>
      <c r="AO38" s="283"/>
      <c r="AP38" s="283"/>
      <c r="AQ38" s="283"/>
      <c r="AR38" s="283"/>
      <c r="AS38" s="283"/>
      <c r="AT38" s="288"/>
      <c r="AU38" s="287"/>
      <c r="AV38" s="283"/>
      <c r="AW38" s="283"/>
      <c r="AX38" s="283"/>
      <c r="AY38" s="283"/>
      <c r="AZ38" s="283"/>
      <c r="BA38" s="283"/>
      <c r="BB38" s="283"/>
      <c r="BC38" s="283"/>
      <c r="BD38" s="283"/>
      <c r="BE38" s="283"/>
      <c r="BF38" s="283"/>
      <c r="BG38" s="283"/>
      <c r="BH38" s="283"/>
    </row>
    <row r="39" spans="8:60">
      <c r="H39" s="106">
        <v>75</v>
      </c>
      <c r="I39" s="101">
        <v>3666335.7085273601</v>
      </c>
      <c r="K39" s="106">
        <v>80.373833191760198</v>
      </c>
      <c r="L39" s="101">
        <v>2602824.1085911999</v>
      </c>
      <c r="M39" s="101">
        <v>2602824.1085911999</v>
      </c>
      <c r="N39" s="101">
        <v>0</v>
      </c>
      <c r="AF39" s="283"/>
      <c r="AG39" s="283"/>
      <c r="AH39" s="283"/>
      <c r="AI39" s="294"/>
      <c r="AJ39" s="295"/>
      <c r="AK39" s="283"/>
      <c r="AL39" s="283"/>
      <c r="AM39" s="283"/>
      <c r="AN39" s="283"/>
      <c r="AO39" s="283"/>
      <c r="AP39" s="283"/>
      <c r="AQ39" s="283"/>
      <c r="AR39" s="283"/>
      <c r="AS39" s="283"/>
      <c r="AT39" s="288"/>
      <c r="AU39" s="287"/>
      <c r="AV39" s="283"/>
      <c r="AW39" s="283"/>
      <c r="AX39" s="283"/>
      <c r="AY39" s="283"/>
      <c r="AZ39" s="283"/>
      <c r="BA39" s="283"/>
      <c r="BB39" s="283"/>
      <c r="BC39" s="283"/>
      <c r="BD39" s="283"/>
      <c r="BE39" s="283"/>
      <c r="BF39" s="283"/>
      <c r="BG39" s="283"/>
      <c r="BH39" s="283"/>
    </row>
    <row r="40" spans="8:60">
      <c r="H40" s="106">
        <v>80.373833191760198</v>
      </c>
      <c r="I40" s="101">
        <v>2602824.1085911999</v>
      </c>
      <c r="K40" s="106">
        <v>82.608694600548105</v>
      </c>
      <c r="L40" s="101">
        <v>2306026.6858510501</v>
      </c>
      <c r="M40" s="101">
        <v>2306026.6858510501</v>
      </c>
      <c r="N40" s="101">
        <v>2306026.6858510501</v>
      </c>
      <c r="AF40" s="283"/>
      <c r="AG40" s="283"/>
      <c r="AH40" s="283"/>
      <c r="AI40" s="294"/>
      <c r="AJ40" s="295"/>
      <c r="AK40" s="283"/>
      <c r="AL40" s="283"/>
      <c r="AM40" s="283"/>
      <c r="AN40" s="283"/>
      <c r="AO40" s="283"/>
      <c r="AP40" s="283"/>
      <c r="AQ40" s="283"/>
      <c r="AR40" s="283"/>
      <c r="AS40" s="283"/>
      <c r="AT40" s="288"/>
      <c r="AU40" s="287"/>
      <c r="AV40" s="283"/>
      <c r="AW40" s="283"/>
      <c r="AX40" s="283"/>
      <c r="AY40" s="283"/>
      <c r="AZ40" s="283"/>
      <c r="BA40" s="283"/>
      <c r="BB40" s="283"/>
      <c r="BC40" s="283"/>
      <c r="BD40" s="283"/>
      <c r="BE40" s="283"/>
      <c r="BF40" s="283"/>
      <c r="BG40" s="283"/>
      <c r="BH40" s="283"/>
    </row>
    <row r="41" spans="8:60">
      <c r="H41" s="106">
        <v>82.608694600548105</v>
      </c>
      <c r="I41" s="101">
        <v>2306026.6858510501</v>
      </c>
      <c r="K41" s="106">
        <v>85.714285714285694</v>
      </c>
      <c r="L41" s="101">
        <v>1828306.6368555101</v>
      </c>
      <c r="M41" s="101">
        <v>822737.98658498004</v>
      </c>
      <c r="N41" s="101">
        <v>822737.98658498004</v>
      </c>
      <c r="AF41" s="283"/>
      <c r="AG41" s="283"/>
      <c r="AH41" s="283"/>
      <c r="AI41" s="294"/>
      <c r="AJ41" s="295"/>
      <c r="AK41" s="283"/>
      <c r="AL41" s="283"/>
      <c r="AM41" s="283"/>
      <c r="AN41" s="283"/>
      <c r="AO41" s="283"/>
      <c r="AP41" s="283"/>
      <c r="AQ41" s="283"/>
      <c r="AR41" s="283"/>
      <c r="AS41" s="283"/>
      <c r="AT41" s="288"/>
      <c r="AU41" s="287"/>
      <c r="AV41" s="283"/>
      <c r="AW41" s="283"/>
      <c r="AX41" s="283"/>
      <c r="AY41" s="283"/>
      <c r="AZ41" s="283"/>
      <c r="BA41" s="283"/>
      <c r="BB41" s="283"/>
      <c r="BC41" s="283"/>
      <c r="BD41" s="283"/>
      <c r="BE41" s="283"/>
      <c r="BF41" s="283"/>
      <c r="BG41" s="283"/>
      <c r="BH41" s="283"/>
    </row>
    <row r="42" spans="8:60">
      <c r="H42" s="106">
        <v>85.714285714285694</v>
      </c>
      <c r="I42" s="101">
        <v>1828306.6368555101</v>
      </c>
      <c r="K42" s="106">
        <v>94.4444444444444</v>
      </c>
      <c r="L42" s="101">
        <v>2126695.7751193698</v>
      </c>
      <c r="M42" s="101">
        <v>2126695.7751193698</v>
      </c>
      <c r="N42" s="101">
        <v>2126695.7751193698</v>
      </c>
      <c r="AF42" s="283"/>
      <c r="AG42" s="283"/>
      <c r="AH42" s="283"/>
      <c r="AI42" s="294"/>
      <c r="AJ42" s="295"/>
      <c r="AK42" s="283"/>
      <c r="AL42" s="283"/>
      <c r="AM42" s="283"/>
      <c r="AN42" s="283"/>
      <c r="AO42" s="283"/>
      <c r="AP42" s="283"/>
      <c r="AQ42" s="283"/>
      <c r="AR42" s="283"/>
      <c r="AS42" s="283"/>
      <c r="AT42" s="288"/>
      <c r="AU42" s="287"/>
      <c r="AV42" s="283"/>
      <c r="AW42" s="283"/>
      <c r="AX42" s="283"/>
      <c r="AY42" s="283"/>
      <c r="AZ42" s="283"/>
      <c r="BA42" s="283"/>
      <c r="BB42" s="283"/>
      <c r="BC42" s="283"/>
      <c r="BD42" s="283"/>
      <c r="BE42" s="283"/>
      <c r="BF42" s="283"/>
      <c r="BG42" s="283"/>
      <c r="BH42" s="283"/>
    </row>
    <row r="43" spans="8:60">
      <c r="H43" s="106">
        <v>94.4444444444444</v>
      </c>
      <c r="I43" s="101">
        <v>2126695.7751193698</v>
      </c>
      <c r="K43" s="106">
        <v>95.566502491982206</v>
      </c>
      <c r="L43" s="101">
        <v>2142243.1587874801</v>
      </c>
      <c r="M43" s="101">
        <v>2142243.1587874801</v>
      </c>
      <c r="N43" s="101">
        <v>0</v>
      </c>
      <c r="AF43" s="283"/>
      <c r="AG43" s="283"/>
      <c r="AH43" s="283"/>
      <c r="AI43" s="294"/>
      <c r="AJ43" s="295"/>
      <c r="AK43" s="283"/>
      <c r="AL43" s="283"/>
      <c r="AM43" s="283"/>
      <c r="AN43" s="283"/>
      <c r="AO43" s="283"/>
      <c r="AP43" s="283"/>
      <c r="AQ43" s="283"/>
      <c r="AR43" s="283"/>
      <c r="AS43" s="283"/>
      <c r="AT43" s="288"/>
      <c r="AU43" s="287"/>
      <c r="AV43" s="283"/>
      <c r="AW43" s="283"/>
      <c r="AX43" s="283"/>
      <c r="AY43" s="283"/>
      <c r="AZ43" s="283"/>
      <c r="BA43" s="283"/>
      <c r="BB43" s="283"/>
      <c r="BC43" s="283"/>
      <c r="BD43" s="283"/>
      <c r="BE43" s="283"/>
      <c r="BF43" s="283"/>
      <c r="BG43" s="283"/>
      <c r="BH43" s="283"/>
    </row>
    <row r="44" spans="8:60">
      <c r="H44" s="106">
        <v>95.566502491982206</v>
      </c>
      <c r="I44" s="101">
        <v>2142243.1587874801</v>
      </c>
      <c r="K44" s="106">
        <v>96.996996963133498</v>
      </c>
      <c r="L44" s="101">
        <v>1302801.1619863301</v>
      </c>
      <c r="M44" s="101">
        <v>1302801.1619863301</v>
      </c>
      <c r="N44" s="101">
        <v>0</v>
      </c>
      <c r="AF44" s="283"/>
      <c r="AG44" s="283"/>
      <c r="AH44" s="283"/>
      <c r="AI44" s="283"/>
      <c r="AJ44" s="283"/>
      <c r="AK44" s="283"/>
      <c r="AL44" s="283"/>
      <c r="AM44" s="283"/>
      <c r="AN44" s="283"/>
      <c r="AO44" s="283"/>
      <c r="AP44" s="283"/>
      <c r="AQ44" s="283"/>
      <c r="AR44" s="283"/>
      <c r="AS44" s="283"/>
      <c r="AT44" s="288"/>
      <c r="AU44" s="287"/>
      <c r="AV44" s="283"/>
      <c r="AW44" s="283"/>
      <c r="AX44" s="283"/>
      <c r="AY44" s="283"/>
      <c r="AZ44" s="283"/>
      <c r="BA44" s="283"/>
      <c r="BB44" s="283"/>
      <c r="BC44" s="283"/>
      <c r="BD44" s="283"/>
      <c r="BE44" s="283"/>
      <c r="BF44" s="283"/>
      <c r="BG44" s="283"/>
      <c r="BH44" s="283"/>
    </row>
    <row r="45" spans="8:60">
      <c r="H45" s="106">
        <v>96.996996963133498</v>
      </c>
      <c r="I45" s="101">
        <v>1302801.1619863301</v>
      </c>
      <c r="K45" s="106">
        <v>100</v>
      </c>
      <c r="L45" s="101">
        <v>458465080.2697711</v>
      </c>
      <c r="M45" s="101">
        <v>357119853.16595805</v>
      </c>
      <c r="N45" s="101">
        <v>214038687.25603449</v>
      </c>
      <c r="AF45" s="283"/>
      <c r="AG45" s="283"/>
      <c r="AH45" s="283"/>
      <c r="AI45" s="283"/>
      <c r="AJ45" s="283"/>
      <c r="AK45" s="283"/>
      <c r="AL45" s="283"/>
      <c r="AM45" s="283"/>
      <c r="AN45" s="283"/>
      <c r="AO45" s="283"/>
      <c r="AP45" s="283"/>
      <c r="AQ45" s="283"/>
      <c r="AR45" s="283"/>
      <c r="AS45" s="283"/>
      <c r="AT45" s="288"/>
      <c r="AU45" s="287"/>
      <c r="AV45" s="283"/>
      <c r="AW45" s="283"/>
      <c r="AX45" s="283"/>
      <c r="AY45" s="283"/>
      <c r="AZ45" s="283"/>
      <c r="BA45" s="283"/>
      <c r="BB45" s="283"/>
      <c r="BC45" s="283"/>
      <c r="BD45" s="283"/>
      <c r="BE45" s="283"/>
      <c r="BF45" s="283"/>
      <c r="BG45" s="283"/>
      <c r="BH45" s="283"/>
    </row>
    <row r="46" spans="8:60" ht="15">
      <c r="H46" s="106">
        <v>100</v>
      </c>
      <c r="I46" s="101">
        <v>458465080.26977098</v>
      </c>
      <c r="K46" s="113" t="s">
        <v>242</v>
      </c>
      <c r="L46" s="114">
        <v>640835450.36941695</v>
      </c>
      <c r="M46" s="114">
        <v>486423244.94478595</v>
      </c>
      <c r="N46" s="114">
        <v>310402818.92521769</v>
      </c>
      <c r="AF46" s="283"/>
      <c r="AG46" s="283"/>
      <c r="AH46" s="283"/>
      <c r="AI46" s="283"/>
      <c r="AJ46" s="283"/>
      <c r="AK46" s="283"/>
      <c r="AL46" s="283"/>
      <c r="AM46" s="283"/>
      <c r="AN46" s="283"/>
      <c r="AO46" s="283"/>
      <c r="AP46" s="283"/>
      <c r="AQ46" s="283"/>
      <c r="AR46" s="283"/>
      <c r="AS46" s="283"/>
      <c r="AT46" s="288"/>
      <c r="AU46" s="287"/>
      <c r="AV46" s="283"/>
      <c r="AW46" s="283"/>
      <c r="AX46" s="283"/>
      <c r="AY46" s="283"/>
      <c r="AZ46" s="283"/>
      <c r="BA46" s="283"/>
      <c r="BB46" s="283"/>
      <c r="BC46" s="283"/>
      <c r="BD46" s="283"/>
      <c r="BE46" s="283"/>
      <c r="BF46" s="283"/>
      <c r="BG46" s="283"/>
      <c r="BH46" s="283"/>
    </row>
    <row r="47" spans="8:60">
      <c r="H47" s="105" t="s">
        <v>247</v>
      </c>
      <c r="I47" s="101">
        <v>48980473.583526358</v>
      </c>
      <c r="AF47" s="283"/>
      <c r="AG47" s="283"/>
      <c r="AH47" s="283"/>
      <c r="AI47" s="283"/>
      <c r="AJ47" s="283"/>
      <c r="AK47" s="283"/>
      <c r="AL47" s="283"/>
      <c r="AM47" s="283"/>
      <c r="AN47" s="283"/>
      <c r="AO47" s="283"/>
      <c r="AP47" s="283"/>
      <c r="AQ47" s="283"/>
      <c r="AR47" s="283"/>
      <c r="AS47" s="283"/>
      <c r="AT47" s="288"/>
      <c r="AU47" s="287"/>
      <c r="AV47" s="283"/>
      <c r="AW47" s="283"/>
      <c r="AX47" s="283"/>
      <c r="AY47" s="283"/>
      <c r="AZ47" s="283"/>
      <c r="BA47" s="283"/>
      <c r="BB47" s="283"/>
      <c r="BC47" s="283"/>
      <c r="BD47" s="283"/>
      <c r="BE47" s="283"/>
      <c r="BF47" s="283"/>
      <c r="BG47" s="283"/>
      <c r="BH47" s="283"/>
    </row>
    <row r="48" spans="8:60" ht="15">
      <c r="H48" s="113" t="s">
        <v>242</v>
      </c>
      <c r="I48" s="114">
        <v>3121530486.9999995</v>
      </c>
      <c r="AF48" s="283"/>
      <c r="AG48" s="283"/>
      <c r="AH48" s="283"/>
      <c r="AI48" s="283"/>
      <c r="AJ48" s="283"/>
      <c r="AK48" s="283"/>
      <c r="AL48" s="283"/>
      <c r="AM48" s="283"/>
      <c r="AN48" s="283"/>
      <c r="AO48" s="283"/>
      <c r="AP48" s="283"/>
      <c r="AQ48" s="283"/>
      <c r="AR48" s="283"/>
      <c r="AS48" s="283"/>
      <c r="AT48" s="288"/>
      <c r="AU48" s="287"/>
      <c r="AV48" s="283"/>
      <c r="AW48" s="283"/>
      <c r="AX48" s="283"/>
      <c r="AY48" s="283"/>
      <c r="AZ48" s="283"/>
      <c r="BA48" s="283"/>
      <c r="BB48" s="283"/>
      <c r="BC48" s="283"/>
      <c r="BD48" s="283"/>
      <c r="BE48" s="283"/>
      <c r="BF48" s="283"/>
      <c r="BG48" s="283"/>
      <c r="BH48" s="283"/>
    </row>
    <row r="49" spans="9:47">
      <c r="AT49" s="106"/>
      <c r="AU49" s="101"/>
    </row>
    <row r="50" spans="9:47">
      <c r="AT50" s="106"/>
      <c r="AU50" s="101"/>
    </row>
    <row r="51" spans="9:47">
      <c r="I51" s="109">
        <v>0.20529527199502151</v>
      </c>
      <c r="L51" s="109">
        <v>0.20529527199502154</v>
      </c>
      <c r="M51" s="109">
        <v>0.15582844600446988</v>
      </c>
      <c r="N51" s="109">
        <v>9.9439303962568587E-2</v>
      </c>
      <c r="AT51" s="106"/>
      <c r="AU51" s="101"/>
    </row>
    <row r="52" spans="9:47">
      <c r="M52" s="102">
        <f>M46/L46</f>
        <v>0.75904546894898162</v>
      </c>
      <c r="N52" s="102">
        <v>0.48437210948033921</v>
      </c>
      <c r="AT52" s="106"/>
      <c r="AU52" s="101"/>
    </row>
    <row r="53" spans="9:47">
      <c r="M53" s="432" t="s">
        <v>743</v>
      </c>
      <c r="N53" s="432" t="s">
        <v>744</v>
      </c>
      <c r="AT53" s="106"/>
      <c r="AU53" s="101"/>
    </row>
    <row r="54" spans="9:47">
      <c r="M54" s="433">
        <f>M46/L46</f>
        <v>0.75904546894898162</v>
      </c>
      <c r="N54" s="433">
        <f>N46/L46</f>
        <v>0.48437210948033915</v>
      </c>
      <c r="AT54" s="106"/>
      <c r="AU54" s="101"/>
    </row>
    <row r="55" spans="9:47">
      <c r="AT55" s="106"/>
      <c r="AU55" s="101"/>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dimension ref="B2:AG239"/>
  <sheetViews>
    <sheetView workbookViewId="0">
      <selection activeCell="B16" sqref="B16"/>
    </sheetView>
  </sheetViews>
  <sheetFormatPr defaultRowHeight="12.75"/>
  <cols>
    <col min="2" max="2" width="17" customWidth="1"/>
    <col min="3" max="3" width="12.85546875" customWidth="1"/>
    <col min="5" max="5" width="10.7109375" customWidth="1"/>
    <col min="6" max="6" width="35.7109375" customWidth="1"/>
    <col min="7" max="9" width="9.7109375" customWidth="1"/>
  </cols>
  <sheetData>
    <row r="2" spans="2:33">
      <c r="J2" s="223"/>
      <c r="K2" s="223"/>
      <c r="L2" s="223"/>
      <c r="M2" s="223"/>
      <c r="N2" s="223"/>
      <c r="O2" s="223"/>
      <c r="P2" s="223"/>
      <c r="Q2" s="223"/>
      <c r="R2" s="223"/>
      <c r="S2" s="223"/>
      <c r="T2" s="223"/>
      <c r="U2" s="223"/>
      <c r="V2" s="223"/>
      <c r="W2" s="223"/>
      <c r="X2" s="223"/>
      <c r="Y2" s="223"/>
      <c r="Z2" s="223"/>
      <c r="AA2" s="223"/>
      <c r="AB2" s="223"/>
      <c r="AC2" s="223"/>
      <c r="AD2" s="223"/>
      <c r="AE2" s="223"/>
      <c r="AF2" s="223"/>
      <c r="AG2" s="223"/>
    </row>
    <row r="3" spans="2:33">
      <c r="J3" s="223"/>
      <c r="K3" s="223"/>
      <c r="L3" s="223"/>
      <c r="M3" s="223"/>
      <c r="N3" s="223"/>
      <c r="O3" s="223"/>
      <c r="P3" s="223"/>
      <c r="Q3" s="223"/>
      <c r="R3" s="223"/>
      <c r="S3" s="223"/>
      <c r="T3" s="223"/>
      <c r="U3" s="223"/>
      <c r="V3" s="223"/>
      <c r="W3" s="223"/>
      <c r="X3" s="223"/>
      <c r="Y3" s="223"/>
      <c r="Z3" s="223"/>
      <c r="AA3" s="223"/>
      <c r="AB3" s="223"/>
      <c r="AC3" s="223"/>
      <c r="AD3" s="223"/>
      <c r="AE3" s="223"/>
      <c r="AF3" s="223"/>
      <c r="AG3" s="223"/>
    </row>
    <row r="4" spans="2:33">
      <c r="J4" s="223"/>
      <c r="K4" s="223"/>
      <c r="L4" s="223"/>
      <c r="M4" s="223"/>
      <c r="N4" s="223"/>
      <c r="O4" s="223"/>
      <c r="P4" s="223"/>
      <c r="Q4" s="223"/>
      <c r="R4" s="223"/>
      <c r="S4" s="223"/>
      <c r="T4" s="223"/>
      <c r="U4" s="223"/>
      <c r="V4" s="223"/>
      <c r="W4" s="223"/>
      <c r="X4" s="223"/>
      <c r="Y4" s="223"/>
      <c r="Z4" s="223"/>
      <c r="AA4" s="223"/>
      <c r="AB4" s="223"/>
      <c r="AC4" s="223"/>
      <c r="AD4" s="223"/>
      <c r="AE4" s="223"/>
      <c r="AF4" s="223"/>
      <c r="AG4" s="223"/>
    </row>
    <row r="5" spans="2:33">
      <c r="J5" s="223"/>
      <c r="K5" s="223"/>
      <c r="L5" s="223"/>
      <c r="M5" s="223"/>
      <c r="N5" s="223"/>
      <c r="O5" s="223"/>
      <c r="P5" s="223"/>
      <c r="Q5" s="223"/>
      <c r="R5" s="223"/>
      <c r="S5" s="223"/>
      <c r="T5" s="223"/>
      <c r="U5" s="223"/>
      <c r="V5" s="223"/>
      <c r="W5" s="223"/>
      <c r="X5" s="223"/>
      <c r="Y5" s="223"/>
      <c r="Z5" s="223"/>
      <c r="AA5" s="223"/>
      <c r="AB5" s="223"/>
      <c r="AC5" s="223"/>
      <c r="AD5" s="223"/>
      <c r="AE5" s="223"/>
      <c r="AF5" s="223"/>
      <c r="AG5" s="223"/>
    </row>
    <row r="6" spans="2:33">
      <c r="B6" s="54" t="s">
        <v>372</v>
      </c>
      <c r="C6" s="54" t="s">
        <v>371</v>
      </c>
      <c r="D6" s="54" t="s">
        <v>368</v>
      </c>
      <c r="E6" s="54" t="s">
        <v>376</v>
      </c>
      <c r="F6" s="54" t="s">
        <v>369</v>
      </c>
      <c r="G6" s="110"/>
      <c r="H6" s="110"/>
      <c r="I6" s="110"/>
      <c r="J6" s="223"/>
      <c r="K6" s="223"/>
      <c r="L6" s="223"/>
      <c r="M6" s="223"/>
      <c r="N6" s="223"/>
      <c r="O6" s="223"/>
      <c r="P6" s="223"/>
      <c r="Q6" s="223"/>
      <c r="R6" s="223"/>
      <c r="S6" s="223"/>
      <c r="T6" s="223"/>
      <c r="U6" s="223"/>
      <c r="V6" s="223"/>
      <c r="W6" s="223"/>
      <c r="X6" s="223"/>
      <c r="Y6" s="223"/>
      <c r="Z6" s="223"/>
      <c r="AA6" s="223"/>
      <c r="AB6" s="223"/>
      <c r="AC6" s="223"/>
      <c r="AD6" s="223"/>
      <c r="AE6" s="223"/>
      <c r="AF6" s="223"/>
      <c r="AG6" s="223"/>
    </row>
    <row r="7" spans="2:33">
      <c r="B7" t="s">
        <v>373</v>
      </c>
      <c r="C7" s="103">
        <v>92</v>
      </c>
      <c r="D7" t="s">
        <v>370</v>
      </c>
      <c r="E7" t="s">
        <v>42</v>
      </c>
      <c r="F7" t="s">
        <v>390</v>
      </c>
      <c r="J7" s="223"/>
      <c r="K7" s="223"/>
      <c r="L7" s="223"/>
      <c r="M7" s="223"/>
      <c r="N7" s="223"/>
      <c r="O7" s="223"/>
      <c r="P7" s="223"/>
      <c r="Q7" s="223"/>
      <c r="R7" s="223"/>
      <c r="S7" s="223"/>
      <c r="T7" s="223"/>
      <c r="U7" s="223"/>
      <c r="V7" s="223"/>
      <c r="W7" s="223"/>
      <c r="X7" s="223"/>
      <c r="Y7" s="223"/>
      <c r="Z7" s="223"/>
      <c r="AA7" s="223"/>
      <c r="AB7" s="223"/>
      <c r="AC7" s="223"/>
      <c r="AD7" s="223"/>
      <c r="AE7" s="223"/>
      <c r="AF7" s="223"/>
      <c r="AG7" s="223"/>
    </row>
    <row r="8" spans="2:33">
      <c r="B8" t="s">
        <v>375</v>
      </c>
      <c r="C8" s="103">
        <f>500/(4*5)</f>
        <v>25</v>
      </c>
      <c r="D8" t="s">
        <v>370</v>
      </c>
      <c r="E8" t="s">
        <v>42</v>
      </c>
      <c r="F8" t="s">
        <v>391</v>
      </c>
      <c r="J8" s="223"/>
      <c r="K8" s="223"/>
      <c r="L8" s="223"/>
      <c r="M8" s="223"/>
      <c r="N8" s="223"/>
      <c r="O8" s="223"/>
      <c r="P8" s="223"/>
      <c r="Q8" s="223"/>
      <c r="R8" s="223"/>
      <c r="S8" s="223"/>
      <c r="T8" s="223"/>
      <c r="U8" s="223"/>
      <c r="V8" s="223"/>
      <c r="W8" s="223"/>
      <c r="X8" s="223"/>
      <c r="Y8" s="223"/>
      <c r="Z8" s="223"/>
      <c r="AA8" s="223"/>
      <c r="AB8" s="223"/>
      <c r="AC8" s="223"/>
      <c r="AD8" s="223"/>
      <c r="AE8" s="223"/>
      <c r="AF8" s="223"/>
      <c r="AG8" s="223"/>
    </row>
    <row r="9" spans="2:33">
      <c r="B9" t="s">
        <v>378</v>
      </c>
      <c r="C9" s="103">
        <v>35</v>
      </c>
      <c r="D9" t="s">
        <v>370</v>
      </c>
      <c r="E9" t="s">
        <v>377</v>
      </c>
      <c r="F9" t="s">
        <v>374</v>
      </c>
      <c r="J9" s="223"/>
      <c r="K9" s="223"/>
      <c r="L9" s="223"/>
      <c r="M9" s="223"/>
      <c r="N9" s="223"/>
      <c r="O9" s="223"/>
      <c r="P9" s="223"/>
      <c r="Q9" s="223"/>
      <c r="R9" s="223"/>
      <c r="S9" s="223"/>
      <c r="T9" s="223"/>
      <c r="U9" s="223"/>
      <c r="V9" s="223"/>
      <c r="W9" s="223"/>
      <c r="X9" s="223"/>
      <c r="Y9" s="223"/>
      <c r="Z9" s="223"/>
      <c r="AA9" s="223"/>
      <c r="AB9" s="223"/>
      <c r="AC9" s="223"/>
      <c r="AD9" s="223"/>
      <c r="AE9" s="223"/>
      <c r="AF9" s="223"/>
      <c r="AG9" s="223"/>
    </row>
    <row r="10" spans="2:33">
      <c r="C10" s="10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row>
    <row r="11" spans="2:33">
      <c r="C11" s="10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row>
    <row r="12" spans="2:3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row>
    <row r="13" spans="2:33">
      <c r="J13" s="223"/>
      <c r="K13" s="223"/>
      <c r="L13" s="223"/>
      <c r="M13" s="223"/>
      <c r="N13" s="223"/>
      <c r="O13" s="223"/>
      <c r="P13" s="223"/>
      <c r="Q13" s="223"/>
      <c r="R13" s="223"/>
      <c r="S13" s="223"/>
      <c r="T13" s="223"/>
      <c r="U13" s="223"/>
      <c r="V13" s="223"/>
      <c r="W13" s="223"/>
      <c r="X13" s="223"/>
      <c r="Y13" s="223"/>
      <c r="Z13" s="223"/>
      <c r="AA13" s="223"/>
      <c r="AB13" s="223"/>
      <c r="AC13" s="223"/>
      <c r="AD13" s="223"/>
      <c r="AE13" s="223"/>
      <c r="AF13" s="223"/>
      <c r="AG13" s="223"/>
    </row>
    <row r="14" spans="2:33">
      <c r="J14" s="223"/>
      <c r="K14" s="223"/>
      <c r="L14" s="223"/>
      <c r="M14" s="223"/>
      <c r="N14" s="223"/>
      <c r="O14" s="223"/>
      <c r="P14" s="223"/>
      <c r="Q14" s="223"/>
      <c r="R14" s="223"/>
      <c r="S14" s="223"/>
      <c r="T14" s="223"/>
      <c r="U14" s="223"/>
      <c r="V14" s="223"/>
      <c r="W14" s="223"/>
      <c r="X14" s="223"/>
      <c r="Y14" s="223"/>
      <c r="Z14" s="223"/>
      <c r="AA14" s="223"/>
      <c r="AB14" s="223"/>
      <c r="AC14" s="223"/>
      <c r="AD14" s="223"/>
      <c r="AE14" s="223"/>
      <c r="AF14" s="223"/>
      <c r="AG14" s="223"/>
    </row>
    <row r="15" spans="2:33">
      <c r="J15" s="223"/>
      <c r="K15" s="223"/>
      <c r="L15" s="223"/>
      <c r="M15" s="223"/>
      <c r="N15" s="223"/>
      <c r="O15" s="223"/>
      <c r="P15" s="223"/>
      <c r="Q15" s="223"/>
      <c r="R15" s="223"/>
      <c r="S15" s="223"/>
      <c r="T15" s="223"/>
      <c r="U15" s="223"/>
      <c r="V15" s="223"/>
      <c r="W15" s="223"/>
      <c r="X15" s="223"/>
      <c r="Y15" s="223"/>
      <c r="Z15" s="223"/>
      <c r="AA15" s="223"/>
      <c r="AB15" s="223"/>
      <c r="AC15" s="223"/>
      <c r="AD15" s="223"/>
      <c r="AE15" s="223"/>
      <c r="AF15" s="223"/>
      <c r="AG15" s="223"/>
    </row>
    <row r="16" spans="2:33">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row>
    <row r="17" spans="10:33">
      <c r="J17" s="223"/>
      <c r="K17" s="223"/>
      <c r="L17" s="223"/>
      <c r="M17" s="223"/>
      <c r="N17" s="223"/>
      <c r="O17" s="223"/>
      <c r="P17" s="223"/>
      <c r="Q17" s="223"/>
      <c r="R17" s="223"/>
      <c r="S17" s="223"/>
      <c r="T17" s="223"/>
      <c r="U17" s="223"/>
      <c r="V17" s="223"/>
      <c r="W17" s="223"/>
      <c r="X17" s="223"/>
      <c r="Y17" s="223"/>
      <c r="Z17" s="223"/>
      <c r="AA17" s="223"/>
      <c r="AB17" s="223"/>
      <c r="AC17" s="223"/>
      <c r="AD17" s="223"/>
      <c r="AE17" s="223"/>
      <c r="AF17" s="223"/>
      <c r="AG17" s="223"/>
    </row>
    <row r="18" spans="10:3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row>
    <row r="19" spans="10:3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row>
    <row r="20" spans="10:3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row>
    <row r="21" spans="10:3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row>
    <row r="22" spans="10:3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row>
    <row r="23" spans="10:3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row>
    <row r="24" spans="10:33">
      <c r="J24" s="223"/>
      <c r="K24" s="223"/>
      <c r="L24" s="223"/>
      <c r="M24" s="223"/>
      <c r="N24" s="223"/>
      <c r="O24" s="223"/>
      <c r="P24" s="223"/>
      <c r="Q24" s="223"/>
      <c r="R24" s="223"/>
      <c r="S24" s="223"/>
      <c r="T24" s="223"/>
      <c r="U24" s="223"/>
      <c r="V24" s="223"/>
      <c r="W24" s="223"/>
      <c r="X24" s="223"/>
      <c r="Y24" s="223"/>
      <c r="Z24" s="223"/>
      <c r="AA24" s="223"/>
      <c r="AB24" s="223"/>
      <c r="AC24" s="223"/>
      <c r="AD24" s="223"/>
      <c r="AE24" s="223"/>
      <c r="AF24" s="223"/>
      <c r="AG24" s="223"/>
    </row>
    <row r="25" spans="10:3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row>
    <row r="26" spans="10:3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row>
    <row r="27" spans="10:3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row>
    <row r="28" spans="10:3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row>
    <row r="29" spans="10:3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row>
    <row r="30" spans="10:3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row>
    <row r="31" spans="10:3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row>
    <row r="32" spans="10:3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row>
    <row r="33" spans="10:3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row>
    <row r="34" spans="10:33">
      <c r="J34" s="223"/>
      <c r="K34" s="223"/>
      <c r="L34" s="223"/>
      <c r="M34" s="223"/>
      <c r="N34" s="223"/>
      <c r="O34" s="223"/>
      <c r="P34" s="223"/>
      <c r="Q34" s="223"/>
      <c r="R34" s="223"/>
      <c r="S34" s="223"/>
      <c r="T34" s="223"/>
      <c r="U34" s="223"/>
      <c r="V34" s="223"/>
      <c r="W34" s="223"/>
      <c r="X34" s="223"/>
      <c r="Y34" s="223"/>
      <c r="Z34" s="223"/>
      <c r="AA34" s="223"/>
      <c r="AB34" s="223"/>
      <c r="AC34" s="223"/>
      <c r="AD34" s="223"/>
      <c r="AE34" s="223"/>
      <c r="AF34" s="223"/>
      <c r="AG34" s="223"/>
    </row>
    <row r="35" spans="10:3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row>
    <row r="36" spans="10:3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row>
    <row r="37" spans="10:3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row>
    <row r="38" spans="10:3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row>
    <row r="39" spans="10:3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row>
    <row r="40" spans="10:3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row>
    <row r="41" spans="10:3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row>
    <row r="42" spans="10:3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row>
    <row r="43" spans="10:3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row>
    <row r="44" spans="10:3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row>
    <row r="45" spans="10:3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row>
    <row r="46" spans="10:3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row>
    <row r="47" spans="10:3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row>
    <row r="48" spans="10:3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row>
    <row r="49" spans="10:3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row>
    <row r="50" spans="10:3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row>
    <row r="51" spans="10:3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row>
    <row r="52" spans="10:3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row>
    <row r="53" spans="10:3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row>
    <row r="54" spans="10:33">
      <c r="J54" s="223"/>
      <c r="K54" s="223"/>
      <c r="L54" s="223"/>
      <c r="M54" s="223"/>
      <c r="N54" s="223"/>
      <c r="O54" s="223"/>
      <c r="P54" s="223"/>
      <c r="Q54" s="223"/>
      <c r="R54" s="223"/>
      <c r="S54" s="223"/>
      <c r="T54" s="223"/>
      <c r="U54" s="223"/>
      <c r="V54" s="223"/>
      <c r="W54" s="223"/>
      <c r="X54" s="223"/>
      <c r="Y54" s="223"/>
      <c r="Z54" s="223"/>
      <c r="AA54" s="223"/>
      <c r="AB54" s="223"/>
      <c r="AC54" s="223"/>
      <c r="AD54" s="223"/>
      <c r="AE54" s="223"/>
      <c r="AF54" s="223"/>
      <c r="AG54" s="223"/>
    </row>
    <row r="55" spans="10:33">
      <c r="J55" s="223"/>
      <c r="K55" s="223"/>
      <c r="L55" s="223"/>
      <c r="M55" s="223"/>
      <c r="N55" s="223"/>
      <c r="O55" s="223"/>
      <c r="P55" s="223"/>
      <c r="Q55" s="223"/>
      <c r="R55" s="223"/>
      <c r="S55" s="223"/>
      <c r="T55" s="223"/>
      <c r="U55" s="223"/>
      <c r="V55" s="223"/>
      <c r="W55" s="223"/>
      <c r="X55" s="223"/>
      <c r="Y55" s="223"/>
      <c r="Z55" s="223"/>
      <c r="AA55" s="223"/>
      <c r="AB55" s="223"/>
      <c r="AC55" s="223"/>
      <c r="AD55" s="223"/>
      <c r="AE55" s="223"/>
      <c r="AF55" s="223"/>
      <c r="AG55" s="223"/>
    </row>
    <row r="56" spans="10:33">
      <c r="J56" s="223"/>
      <c r="K56" s="223"/>
      <c r="L56" s="223"/>
      <c r="M56" s="223"/>
      <c r="N56" s="223"/>
      <c r="O56" s="223"/>
      <c r="P56" s="223"/>
      <c r="Q56" s="223"/>
      <c r="R56" s="223"/>
      <c r="S56" s="223"/>
      <c r="T56" s="223"/>
      <c r="U56" s="223"/>
      <c r="V56" s="223"/>
      <c r="W56" s="223"/>
      <c r="X56" s="223"/>
      <c r="Y56" s="223"/>
      <c r="Z56" s="223"/>
      <c r="AA56" s="223"/>
      <c r="AB56" s="223"/>
      <c r="AC56" s="223"/>
      <c r="AD56" s="223"/>
      <c r="AE56" s="223"/>
      <c r="AF56" s="223"/>
      <c r="AG56" s="223"/>
    </row>
    <row r="57" spans="10:33">
      <c r="J57" s="223"/>
      <c r="K57" s="223"/>
      <c r="L57" s="223"/>
      <c r="M57" s="223"/>
      <c r="N57" s="223"/>
      <c r="O57" s="223"/>
      <c r="P57" s="223"/>
      <c r="Q57" s="223"/>
      <c r="R57" s="223"/>
      <c r="S57" s="223"/>
      <c r="T57" s="223"/>
      <c r="U57" s="223"/>
      <c r="V57" s="223"/>
      <c r="W57" s="223"/>
      <c r="X57" s="223"/>
      <c r="Y57" s="223"/>
      <c r="Z57" s="223"/>
      <c r="AA57" s="223"/>
      <c r="AB57" s="223"/>
      <c r="AC57" s="223"/>
      <c r="AD57" s="223"/>
      <c r="AE57" s="223"/>
      <c r="AF57" s="223"/>
      <c r="AG57" s="223"/>
    </row>
    <row r="58" spans="10:33">
      <c r="J58" s="223"/>
      <c r="K58" s="223"/>
      <c r="L58" s="223"/>
      <c r="M58" s="223"/>
      <c r="N58" s="223"/>
      <c r="O58" s="223"/>
      <c r="P58" s="223"/>
      <c r="Q58" s="223"/>
      <c r="R58" s="223"/>
      <c r="S58" s="223"/>
      <c r="T58" s="223"/>
      <c r="U58" s="223"/>
      <c r="V58" s="223"/>
      <c r="W58" s="223"/>
      <c r="X58" s="223"/>
      <c r="Y58" s="223"/>
      <c r="Z58" s="223"/>
      <c r="AA58" s="223"/>
      <c r="AB58" s="223"/>
      <c r="AC58" s="223"/>
      <c r="AD58" s="223"/>
      <c r="AE58" s="223"/>
      <c r="AF58" s="223"/>
      <c r="AG58" s="223"/>
    </row>
    <row r="59" spans="10:33">
      <c r="J59" s="223"/>
      <c r="K59" s="223"/>
      <c r="L59" s="223"/>
      <c r="M59" s="223"/>
      <c r="N59" s="223"/>
      <c r="O59" s="223"/>
      <c r="P59" s="223"/>
      <c r="Q59" s="223"/>
      <c r="R59" s="223"/>
      <c r="S59" s="223"/>
      <c r="T59" s="223"/>
      <c r="U59" s="223"/>
      <c r="V59" s="223"/>
      <c r="W59" s="223"/>
      <c r="X59" s="223"/>
      <c r="Y59" s="223"/>
      <c r="Z59" s="223"/>
      <c r="AA59" s="223"/>
      <c r="AB59" s="223"/>
      <c r="AC59" s="223"/>
      <c r="AD59" s="223"/>
      <c r="AE59" s="223"/>
      <c r="AF59" s="223"/>
      <c r="AG59" s="223"/>
    </row>
    <row r="60" spans="10:33">
      <c r="J60" s="223"/>
      <c r="K60" s="223"/>
      <c r="L60" s="223"/>
      <c r="M60" s="223"/>
      <c r="N60" s="223"/>
      <c r="O60" s="223"/>
      <c r="P60" s="223"/>
      <c r="Q60" s="223"/>
      <c r="R60" s="223"/>
      <c r="S60" s="223"/>
      <c r="T60" s="223"/>
      <c r="U60" s="223"/>
      <c r="V60" s="223"/>
      <c r="W60" s="223"/>
      <c r="X60" s="223"/>
      <c r="Y60" s="223"/>
      <c r="Z60" s="223"/>
      <c r="AA60" s="223"/>
      <c r="AB60" s="223"/>
      <c r="AC60" s="223"/>
      <c r="AD60" s="223"/>
      <c r="AE60" s="223"/>
      <c r="AF60" s="223"/>
      <c r="AG60" s="223"/>
    </row>
    <row r="61" spans="10:33">
      <c r="J61" s="223"/>
      <c r="K61" s="223"/>
      <c r="L61" s="223"/>
      <c r="M61" s="223"/>
      <c r="N61" s="223"/>
      <c r="O61" s="223"/>
      <c r="P61" s="223"/>
      <c r="Q61" s="223"/>
      <c r="R61" s="223"/>
      <c r="S61" s="223"/>
      <c r="T61" s="223"/>
      <c r="U61" s="223"/>
      <c r="V61" s="223"/>
      <c r="W61" s="223"/>
      <c r="X61" s="223"/>
      <c r="Y61" s="223"/>
      <c r="Z61" s="223"/>
      <c r="AA61" s="223"/>
      <c r="AB61" s="223"/>
      <c r="AC61" s="223"/>
      <c r="AD61" s="223"/>
      <c r="AE61" s="223"/>
      <c r="AF61" s="223"/>
      <c r="AG61" s="223"/>
    </row>
    <row r="62" spans="10:33">
      <c r="J62" s="223"/>
      <c r="K62" s="223"/>
      <c r="L62" s="223"/>
      <c r="M62" s="223"/>
      <c r="N62" s="223"/>
      <c r="O62" s="223"/>
      <c r="P62" s="223"/>
      <c r="Q62" s="223"/>
      <c r="R62" s="223"/>
      <c r="S62" s="223"/>
      <c r="T62" s="223"/>
      <c r="U62" s="223"/>
      <c r="V62" s="223"/>
      <c r="W62" s="223"/>
      <c r="X62" s="223"/>
      <c r="Y62" s="223"/>
      <c r="Z62" s="223"/>
      <c r="AA62" s="223"/>
      <c r="AB62" s="223"/>
      <c r="AC62" s="223"/>
      <c r="AD62" s="223"/>
      <c r="AE62" s="223"/>
      <c r="AF62" s="223"/>
      <c r="AG62" s="223"/>
    </row>
    <row r="63" spans="10:33">
      <c r="J63" s="223"/>
      <c r="K63" s="223"/>
      <c r="L63" s="223"/>
      <c r="M63" s="223"/>
      <c r="N63" s="223"/>
      <c r="O63" s="223"/>
      <c r="P63" s="223"/>
      <c r="Q63" s="223"/>
      <c r="R63" s="223"/>
      <c r="S63" s="223"/>
      <c r="T63" s="223"/>
      <c r="U63" s="223"/>
      <c r="V63" s="223"/>
      <c r="W63" s="223"/>
      <c r="X63" s="223"/>
      <c r="Y63" s="223"/>
      <c r="Z63" s="223"/>
      <c r="AA63" s="223"/>
      <c r="AB63" s="223"/>
      <c r="AC63" s="223"/>
      <c r="AD63" s="223"/>
      <c r="AE63" s="223"/>
      <c r="AF63" s="223"/>
      <c r="AG63" s="223"/>
    </row>
    <row r="64" spans="10:3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row>
    <row r="65" spans="10:33">
      <c r="J65" s="223"/>
      <c r="K65" s="223"/>
      <c r="L65" s="223"/>
      <c r="M65" s="223"/>
      <c r="N65" s="223"/>
      <c r="O65" s="223"/>
      <c r="P65" s="223"/>
      <c r="Q65" s="223"/>
      <c r="R65" s="223"/>
      <c r="S65" s="223"/>
      <c r="T65" s="223"/>
      <c r="U65" s="223"/>
      <c r="V65" s="223"/>
      <c r="W65" s="223"/>
      <c r="X65" s="223"/>
      <c r="Y65" s="223"/>
      <c r="Z65" s="223"/>
      <c r="AA65" s="223"/>
      <c r="AB65" s="223"/>
      <c r="AC65" s="223"/>
      <c r="AD65" s="223"/>
      <c r="AE65" s="223"/>
      <c r="AF65" s="223"/>
      <c r="AG65" s="223"/>
    </row>
    <row r="66" spans="10:33">
      <c r="J66" s="223"/>
      <c r="K66" s="223"/>
      <c r="L66" s="223"/>
      <c r="M66" s="223"/>
      <c r="N66" s="223"/>
      <c r="O66" s="223"/>
      <c r="P66" s="223"/>
      <c r="Q66" s="223"/>
      <c r="R66" s="223"/>
      <c r="S66" s="223"/>
      <c r="T66" s="223"/>
      <c r="U66" s="223"/>
      <c r="V66" s="223"/>
      <c r="W66" s="223"/>
      <c r="X66" s="223"/>
      <c r="Y66" s="223"/>
      <c r="Z66" s="223"/>
      <c r="AA66" s="223"/>
      <c r="AB66" s="223"/>
      <c r="AC66" s="223"/>
      <c r="AD66" s="223"/>
      <c r="AE66" s="223"/>
      <c r="AF66" s="223"/>
      <c r="AG66" s="223"/>
    </row>
    <row r="67" spans="10:33">
      <c r="J67" s="223"/>
      <c r="K67" s="223"/>
      <c r="L67" s="223"/>
      <c r="M67" s="223"/>
      <c r="N67" s="223"/>
      <c r="O67" s="223"/>
      <c r="P67" s="223"/>
      <c r="Q67" s="223"/>
      <c r="R67" s="223"/>
      <c r="S67" s="223"/>
      <c r="T67" s="223"/>
      <c r="U67" s="223"/>
      <c r="V67" s="223"/>
      <c r="W67" s="223"/>
      <c r="X67" s="223"/>
      <c r="Y67" s="223"/>
      <c r="Z67" s="223"/>
      <c r="AA67" s="223"/>
      <c r="AB67" s="223"/>
      <c r="AC67" s="223"/>
      <c r="AD67" s="223"/>
      <c r="AE67" s="223"/>
      <c r="AF67" s="223"/>
      <c r="AG67" s="223"/>
    </row>
    <row r="68" spans="10:33">
      <c r="J68" s="223"/>
      <c r="K68" s="223"/>
      <c r="L68" s="223"/>
      <c r="M68" s="223"/>
      <c r="N68" s="223"/>
      <c r="O68" s="223"/>
      <c r="P68" s="223"/>
      <c r="Q68" s="223"/>
      <c r="R68" s="223"/>
      <c r="S68" s="223"/>
      <c r="T68" s="223"/>
      <c r="U68" s="223"/>
      <c r="V68" s="223"/>
      <c r="W68" s="223"/>
      <c r="X68" s="223"/>
      <c r="Y68" s="223"/>
      <c r="Z68" s="223"/>
      <c r="AA68" s="223"/>
      <c r="AB68" s="223"/>
      <c r="AC68" s="223"/>
      <c r="AD68" s="223"/>
      <c r="AE68" s="223"/>
      <c r="AF68" s="223"/>
      <c r="AG68" s="223"/>
    </row>
    <row r="69" spans="10:33">
      <c r="J69" s="223"/>
      <c r="K69" s="223"/>
      <c r="L69" s="223"/>
      <c r="M69" s="223"/>
      <c r="N69" s="223"/>
      <c r="O69" s="223"/>
      <c r="P69" s="223"/>
      <c r="Q69" s="223"/>
      <c r="R69" s="223"/>
      <c r="S69" s="223"/>
      <c r="T69" s="223"/>
      <c r="U69" s="223"/>
      <c r="V69" s="223"/>
      <c r="W69" s="223"/>
      <c r="X69" s="223"/>
      <c r="Y69" s="223"/>
      <c r="Z69" s="223"/>
      <c r="AA69" s="223"/>
      <c r="AB69" s="223"/>
      <c r="AC69" s="223"/>
      <c r="AD69" s="223"/>
      <c r="AE69" s="223"/>
      <c r="AF69" s="223"/>
      <c r="AG69" s="223"/>
    </row>
    <row r="70" spans="10:33">
      <c r="J70" s="223"/>
      <c r="K70" s="223"/>
      <c r="L70" s="223"/>
      <c r="M70" s="223"/>
      <c r="N70" s="223"/>
      <c r="O70" s="223"/>
      <c r="P70" s="223"/>
      <c r="Q70" s="223"/>
      <c r="R70" s="223"/>
      <c r="S70" s="223"/>
      <c r="T70" s="223"/>
      <c r="U70" s="223"/>
      <c r="V70" s="223"/>
      <c r="W70" s="223"/>
      <c r="X70" s="223"/>
      <c r="Y70" s="223"/>
      <c r="Z70" s="223"/>
      <c r="AA70" s="223"/>
      <c r="AB70" s="223"/>
      <c r="AC70" s="223"/>
      <c r="AD70" s="223"/>
      <c r="AE70" s="223"/>
      <c r="AF70" s="223"/>
      <c r="AG70" s="223"/>
    </row>
    <row r="71" spans="10:33">
      <c r="J71" s="223"/>
      <c r="K71" s="223"/>
      <c r="L71" s="223"/>
      <c r="M71" s="223"/>
      <c r="N71" s="223"/>
      <c r="O71" s="223"/>
      <c r="P71" s="223"/>
      <c r="Q71" s="223"/>
      <c r="R71" s="223"/>
      <c r="S71" s="223"/>
      <c r="T71" s="223"/>
      <c r="U71" s="223"/>
      <c r="V71" s="223"/>
      <c r="W71" s="223"/>
      <c r="X71" s="223"/>
      <c r="Y71" s="223"/>
      <c r="Z71" s="223"/>
      <c r="AA71" s="223"/>
      <c r="AB71" s="223"/>
      <c r="AC71" s="223"/>
      <c r="AD71" s="223"/>
      <c r="AE71" s="223"/>
      <c r="AF71" s="223"/>
      <c r="AG71" s="223"/>
    </row>
    <row r="72" spans="10:33">
      <c r="J72" s="223"/>
      <c r="K72" s="223"/>
      <c r="L72" s="223"/>
      <c r="M72" s="223"/>
      <c r="N72" s="223"/>
      <c r="O72" s="223"/>
      <c r="P72" s="223"/>
      <c r="Q72" s="223"/>
      <c r="R72" s="223"/>
      <c r="S72" s="223"/>
      <c r="T72" s="223"/>
      <c r="U72" s="223"/>
      <c r="V72" s="223"/>
      <c r="W72" s="223"/>
      <c r="X72" s="223"/>
      <c r="Y72" s="223"/>
      <c r="Z72" s="223"/>
      <c r="AA72" s="223"/>
      <c r="AB72" s="223"/>
      <c r="AC72" s="223"/>
      <c r="AD72" s="223"/>
      <c r="AE72" s="223"/>
      <c r="AF72" s="223"/>
      <c r="AG72" s="223"/>
    </row>
    <row r="73" spans="10:33">
      <c r="J73" s="223"/>
      <c r="K73" s="223"/>
      <c r="L73" s="223"/>
      <c r="M73" s="223"/>
      <c r="N73" s="223"/>
      <c r="O73" s="223"/>
      <c r="P73" s="223"/>
      <c r="Q73" s="223"/>
      <c r="R73" s="223"/>
      <c r="S73" s="223"/>
      <c r="T73" s="223"/>
      <c r="U73" s="223"/>
      <c r="V73" s="223"/>
      <c r="W73" s="223"/>
      <c r="X73" s="223"/>
      <c r="Y73" s="223"/>
      <c r="Z73" s="223"/>
      <c r="AA73" s="223"/>
      <c r="AB73" s="223"/>
      <c r="AC73" s="223"/>
      <c r="AD73" s="223"/>
      <c r="AE73" s="223"/>
      <c r="AF73" s="223"/>
      <c r="AG73" s="223"/>
    </row>
    <row r="74" spans="10:33">
      <c r="J74" s="223"/>
      <c r="K74" s="223"/>
      <c r="L74" s="223"/>
      <c r="M74" s="223"/>
      <c r="N74" s="223"/>
      <c r="O74" s="223"/>
      <c r="P74" s="223"/>
      <c r="Q74" s="223"/>
      <c r="R74" s="223"/>
      <c r="S74" s="223"/>
      <c r="T74" s="223"/>
      <c r="U74" s="223"/>
      <c r="V74" s="223"/>
      <c r="W74" s="223"/>
      <c r="X74" s="223"/>
      <c r="Y74" s="223"/>
      <c r="Z74" s="223"/>
      <c r="AA74" s="223"/>
      <c r="AB74" s="223"/>
      <c r="AC74" s="223"/>
      <c r="AD74" s="223"/>
      <c r="AE74" s="223"/>
      <c r="AF74" s="223"/>
      <c r="AG74" s="223"/>
    </row>
    <row r="75" spans="10:33">
      <c r="J75" s="223"/>
      <c r="K75" s="223"/>
      <c r="L75" s="223"/>
      <c r="M75" s="223"/>
      <c r="N75" s="223"/>
      <c r="O75" s="223"/>
      <c r="P75" s="223"/>
      <c r="Q75" s="223"/>
      <c r="R75" s="223"/>
      <c r="S75" s="223"/>
      <c r="T75" s="223"/>
      <c r="U75" s="223"/>
      <c r="V75" s="223"/>
      <c r="W75" s="223"/>
      <c r="X75" s="223"/>
      <c r="Y75" s="223"/>
      <c r="Z75" s="223"/>
      <c r="AA75" s="223"/>
      <c r="AB75" s="223"/>
      <c r="AC75" s="223"/>
      <c r="AD75" s="223"/>
      <c r="AE75" s="223"/>
      <c r="AF75" s="223"/>
      <c r="AG75" s="223"/>
    </row>
    <row r="76" spans="10:33">
      <c r="J76" s="223"/>
      <c r="K76" s="223"/>
      <c r="L76" s="223"/>
      <c r="M76" s="223"/>
      <c r="N76" s="223"/>
      <c r="O76" s="223"/>
      <c r="P76" s="223"/>
      <c r="Q76" s="223"/>
      <c r="R76" s="223"/>
      <c r="S76" s="223"/>
      <c r="T76" s="223"/>
      <c r="U76" s="223"/>
      <c r="V76" s="223"/>
      <c r="W76" s="223"/>
      <c r="X76" s="223"/>
      <c r="Y76" s="223"/>
      <c r="Z76" s="223"/>
      <c r="AA76" s="223"/>
      <c r="AB76" s="223"/>
      <c r="AC76" s="223"/>
      <c r="AD76" s="223"/>
      <c r="AE76" s="223"/>
      <c r="AF76" s="223"/>
      <c r="AG76" s="223"/>
    </row>
    <row r="77" spans="10:33">
      <c r="J77" s="223"/>
      <c r="K77" s="223"/>
      <c r="L77" s="223"/>
      <c r="M77" s="223"/>
      <c r="N77" s="223"/>
      <c r="O77" s="223"/>
      <c r="P77" s="223"/>
      <c r="Q77" s="223"/>
      <c r="R77" s="223"/>
      <c r="S77" s="223"/>
      <c r="T77" s="223"/>
      <c r="U77" s="223"/>
      <c r="V77" s="223"/>
      <c r="W77" s="223"/>
      <c r="X77" s="223"/>
      <c r="Y77" s="223"/>
      <c r="Z77" s="223"/>
      <c r="AA77" s="223"/>
      <c r="AB77" s="223"/>
      <c r="AC77" s="223"/>
      <c r="AD77" s="223"/>
      <c r="AE77" s="223"/>
      <c r="AF77" s="223"/>
      <c r="AG77" s="223"/>
    </row>
    <row r="78" spans="10:33">
      <c r="J78" s="223"/>
      <c r="K78" s="223"/>
      <c r="L78" s="223"/>
      <c r="M78" s="223"/>
      <c r="N78" s="223"/>
      <c r="O78" s="223"/>
      <c r="P78" s="223"/>
      <c r="Q78" s="223"/>
      <c r="R78" s="223"/>
      <c r="S78" s="223"/>
      <c r="T78" s="223"/>
      <c r="U78" s="223"/>
      <c r="V78" s="223"/>
      <c r="W78" s="223"/>
      <c r="X78" s="223"/>
      <c r="Y78" s="223"/>
      <c r="Z78" s="223"/>
      <c r="AA78" s="223"/>
      <c r="AB78" s="223"/>
      <c r="AC78" s="223"/>
      <c r="AD78" s="223"/>
      <c r="AE78" s="223"/>
      <c r="AF78" s="223"/>
      <c r="AG78" s="223"/>
    </row>
    <row r="79" spans="10:33">
      <c r="J79" s="223"/>
      <c r="K79" s="223"/>
      <c r="L79" s="223"/>
      <c r="M79" s="223"/>
      <c r="N79" s="223"/>
      <c r="O79" s="223"/>
      <c r="P79" s="223"/>
      <c r="Q79" s="223"/>
      <c r="R79" s="223"/>
      <c r="S79" s="223"/>
      <c r="T79" s="223"/>
      <c r="U79" s="223"/>
      <c r="V79" s="223"/>
      <c r="W79" s="223"/>
      <c r="X79" s="223"/>
      <c r="Y79" s="223"/>
      <c r="Z79" s="223"/>
      <c r="AA79" s="223"/>
      <c r="AB79" s="223"/>
      <c r="AC79" s="223"/>
      <c r="AD79" s="223"/>
      <c r="AE79" s="223"/>
      <c r="AF79" s="223"/>
      <c r="AG79" s="223"/>
    </row>
    <row r="80" spans="10:33">
      <c r="J80" s="223"/>
      <c r="K80" s="223"/>
      <c r="L80" s="223"/>
      <c r="M80" s="223"/>
      <c r="N80" s="223"/>
      <c r="O80" s="223"/>
      <c r="P80" s="223"/>
      <c r="Q80" s="223"/>
      <c r="R80" s="223"/>
      <c r="S80" s="223"/>
      <c r="T80" s="223"/>
      <c r="U80" s="223"/>
      <c r="V80" s="223"/>
      <c r="W80" s="223"/>
      <c r="X80" s="223"/>
      <c r="Y80" s="223"/>
      <c r="Z80" s="223"/>
      <c r="AA80" s="223"/>
      <c r="AB80" s="223"/>
      <c r="AC80" s="223"/>
      <c r="AD80" s="223"/>
      <c r="AE80" s="223"/>
      <c r="AF80" s="223"/>
      <c r="AG80" s="223"/>
    </row>
    <row r="81" spans="10:33">
      <c r="J81" s="223"/>
      <c r="K81" s="223"/>
      <c r="L81" s="223"/>
      <c r="M81" s="223"/>
      <c r="N81" s="223"/>
      <c r="O81" s="223"/>
      <c r="P81" s="223"/>
      <c r="Q81" s="223"/>
      <c r="R81" s="223"/>
      <c r="S81" s="223"/>
      <c r="T81" s="223"/>
      <c r="U81" s="223"/>
      <c r="V81" s="223"/>
      <c r="W81" s="223"/>
      <c r="X81" s="223"/>
      <c r="Y81" s="223"/>
      <c r="Z81" s="223"/>
      <c r="AA81" s="223"/>
      <c r="AB81" s="223"/>
      <c r="AC81" s="223"/>
      <c r="AD81" s="223"/>
      <c r="AE81" s="223"/>
      <c r="AF81" s="223"/>
      <c r="AG81" s="223"/>
    </row>
    <row r="82" spans="10:33">
      <c r="J82" s="223"/>
      <c r="K82" s="223"/>
      <c r="L82" s="223"/>
      <c r="M82" s="223"/>
      <c r="N82" s="223"/>
      <c r="O82" s="223"/>
      <c r="P82" s="223"/>
      <c r="Q82" s="223"/>
      <c r="R82" s="223"/>
      <c r="S82" s="223"/>
      <c r="T82" s="223"/>
      <c r="U82" s="223"/>
      <c r="V82" s="223"/>
      <c r="W82" s="223"/>
      <c r="X82" s="223"/>
      <c r="Y82" s="223"/>
      <c r="Z82" s="223"/>
      <c r="AA82" s="223"/>
      <c r="AB82" s="223"/>
      <c r="AC82" s="223"/>
      <c r="AD82" s="223"/>
      <c r="AE82" s="223"/>
      <c r="AF82" s="223"/>
      <c r="AG82" s="223"/>
    </row>
    <row r="83" spans="10:33">
      <c r="J83" s="223"/>
      <c r="K83" s="223"/>
      <c r="L83" s="223"/>
      <c r="M83" s="223"/>
      <c r="N83" s="223"/>
      <c r="O83" s="223"/>
      <c r="P83" s="223"/>
      <c r="Q83" s="223"/>
      <c r="R83" s="223"/>
      <c r="S83" s="223"/>
      <c r="T83" s="223"/>
      <c r="U83" s="223"/>
      <c r="V83" s="223"/>
      <c r="W83" s="223"/>
      <c r="X83" s="223"/>
      <c r="Y83" s="223"/>
      <c r="Z83" s="223"/>
      <c r="AA83" s="223"/>
      <c r="AB83" s="223"/>
      <c r="AC83" s="223"/>
      <c r="AD83" s="223"/>
      <c r="AE83" s="223"/>
      <c r="AF83" s="223"/>
      <c r="AG83" s="223"/>
    </row>
    <row r="84" spans="10:33">
      <c r="J84" s="223"/>
      <c r="K84" s="223"/>
      <c r="L84" s="223"/>
      <c r="M84" s="223"/>
      <c r="N84" s="223"/>
      <c r="O84" s="223"/>
      <c r="P84" s="223"/>
      <c r="Q84" s="223"/>
      <c r="R84" s="223"/>
      <c r="S84" s="223"/>
      <c r="T84" s="223"/>
      <c r="U84" s="223"/>
      <c r="V84" s="223"/>
      <c r="W84" s="223"/>
      <c r="X84" s="223"/>
      <c r="Y84" s="223"/>
      <c r="Z84" s="223"/>
      <c r="AA84" s="223"/>
      <c r="AB84" s="223"/>
      <c r="AC84" s="223"/>
      <c r="AD84" s="223"/>
      <c r="AE84" s="223"/>
      <c r="AF84" s="223"/>
      <c r="AG84" s="223"/>
    </row>
    <row r="85" spans="10:33">
      <c r="J85" s="223"/>
      <c r="K85" s="223"/>
      <c r="L85" s="223"/>
      <c r="M85" s="223"/>
      <c r="N85" s="223"/>
      <c r="O85" s="223"/>
      <c r="P85" s="223"/>
      <c r="Q85" s="223"/>
      <c r="R85" s="223"/>
      <c r="S85" s="223"/>
      <c r="T85" s="223"/>
      <c r="U85" s="223"/>
      <c r="V85" s="223"/>
      <c r="W85" s="223"/>
      <c r="X85" s="223"/>
      <c r="Y85" s="223"/>
      <c r="Z85" s="223"/>
      <c r="AA85" s="223"/>
      <c r="AB85" s="223"/>
      <c r="AC85" s="223"/>
      <c r="AD85" s="223"/>
      <c r="AE85" s="223"/>
      <c r="AF85" s="223"/>
      <c r="AG85" s="223"/>
    </row>
    <row r="86" spans="10:33">
      <c r="J86" s="223"/>
      <c r="K86" s="223"/>
      <c r="L86" s="223"/>
      <c r="M86" s="223"/>
      <c r="N86" s="223"/>
      <c r="O86" s="223"/>
      <c r="P86" s="223"/>
      <c r="Q86" s="223"/>
      <c r="R86" s="223"/>
      <c r="S86" s="223"/>
      <c r="T86" s="223"/>
      <c r="U86" s="223"/>
      <c r="V86" s="223"/>
      <c r="W86" s="223"/>
      <c r="X86" s="223"/>
      <c r="Y86" s="223"/>
      <c r="Z86" s="223"/>
      <c r="AA86" s="223"/>
      <c r="AB86" s="223"/>
      <c r="AC86" s="223"/>
      <c r="AD86" s="223"/>
      <c r="AE86" s="223"/>
      <c r="AF86" s="223"/>
      <c r="AG86" s="223"/>
    </row>
    <row r="87" spans="10:33">
      <c r="J87" s="223"/>
      <c r="K87" s="223"/>
      <c r="L87" s="223"/>
      <c r="M87" s="223"/>
      <c r="N87" s="223"/>
      <c r="O87" s="223"/>
      <c r="P87" s="223"/>
      <c r="Q87" s="223"/>
      <c r="R87" s="223"/>
      <c r="S87" s="223"/>
      <c r="T87" s="223"/>
      <c r="U87" s="223"/>
      <c r="V87" s="223"/>
      <c r="W87" s="223"/>
      <c r="X87" s="223"/>
      <c r="Y87" s="223"/>
      <c r="Z87" s="223"/>
      <c r="AA87" s="223"/>
      <c r="AB87" s="223"/>
      <c r="AC87" s="223"/>
      <c r="AD87" s="223"/>
      <c r="AE87" s="223"/>
      <c r="AF87" s="223"/>
      <c r="AG87" s="223"/>
    </row>
    <row r="88" spans="10:33">
      <c r="J88" s="223"/>
      <c r="K88" s="223"/>
      <c r="L88" s="223"/>
      <c r="M88" s="223"/>
      <c r="N88" s="223"/>
      <c r="O88" s="223"/>
      <c r="P88" s="223"/>
      <c r="Q88" s="223"/>
      <c r="R88" s="223"/>
      <c r="S88" s="223"/>
      <c r="T88" s="223"/>
      <c r="U88" s="223"/>
      <c r="V88" s="223"/>
      <c r="W88" s="223"/>
      <c r="X88" s="223"/>
      <c r="Y88" s="223"/>
      <c r="Z88" s="223"/>
      <c r="AA88" s="223"/>
      <c r="AB88" s="223"/>
      <c r="AC88" s="223"/>
      <c r="AD88" s="223"/>
      <c r="AE88" s="223"/>
      <c r="AF88" s="223"/>
      <c r="AG88" s="223"/>
    </row>
    <row r="89" spans="10:3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row>
    <row r="90" spans="10:33">
      <c r="J90" s="223"/>
      <c r="K90" s="223"/>
      <c r="L90" s="223"/>
      <c r="M90" s="223"/>
      <c r="N90" s="223"/>
      <c r="O90" s="223"/>
      <c r="P90" s="223"/>
      <c r="Q90" s="223"/>
      <c r="R90" s="223"/>
      <c r="S90" s="223"/>
      <c r="T90" s="223"/>
      <c r="U90" s="223"/>
      <c r="V90" s="223"/>
      <c r="W90" s="223"/>
      <c r="X90" s="223"/>
      <c r="Y90" s="223"/>
      <c r="Z90" s="223"/>
      <c r="AA90" s="223"/>
      <c r="AB90" s="223"/>
      <c r="AC90" s="223"/>
      <c r="AD90" s="223"/>
      <c r="AE90" s="223"/>
      <c r="AF90" s="223"/>
      <c r="AG90" s="223"/>
    </row>
    <row r="91" spans="10:33">
      <c r="J91" s="223"/>
      <c r="K91" s="223"/>
      <c r="L91" s="223"/>
      <c r="M91" s="223"/>
      <c r="N91" s="223"/>
      <c r="O91" s="223"/>
      <c r="P91" s="223"/>
      <c r="Q91" s="223"/>
      <c r="R91" s="223"/>
      <c r="S91" s="223"/>
      <c r="T91" s="223"/>
      <c r="U91" s="223"/>
      <c r="V91" s="223"/>
      <c r="W91" s="223"/>
      <c r="X91" s="223"/>
      <c r="Y91" s="223"/>
      <c r="Z91" s="223"/>
      <c r="AA91" s="223"/>
      <c r="AB91" s="223"/>
      <c r="AC91" s="223"/>
      <c r="AD91" s="223"/>
      <c r="AE91" s="223"/>
      <c r="AF91" s="223"/>
      <c r="AG91" s="223"/>
    </row>
    <row r="92" spans="10:33">
      <c r="J92" s="223"/>
      <c r="K92" s="223"/>
      <c r="L92" s="223"/>
      <c r="M92" s="223"/>
      <c r="N92" s="223"/>
      <c r="O92" s="223"/>
      <c r="P92" s="223"/>
      <c r="Q92" s="223"/>
      <c r="R92" s="223"/>
      <c r="S92" s="223"/>
      <c r="T92" s="223"/>
      <c r="U92" s="223"/>
      <c r="V92" s="223"/>
      <c r="W92" s="223"/>
      <c r="X92" s="223"/>
      <c r="Y92" s="223"/>
      <c r="Z92" s="223"/>
      <c r="AA92" s="223"/>
      <c r="AB92" s="223"/>
      <c r="AC92" s="223"/>
      <c r="AD92" s="223"/>
      <c r="AE92" s="223"/>
      <c r="AF92" s="223"/>
      <c r="AG92" s="223"/>
    </row>
    <row r="93" spans="10:33">
      <c r="J93" s="223"/>
      <c r="K93" s="223"/>
      <c r="L93" s="223"/>
      <c r="M93" s="223"/>
      <c r="N93" s="223"/>
      <c r="O93" s="223"/>
      <c r="P93" s="223"/>
      <c r="Q93" s="223"/>
      <c r="R93" s="223"/>
      <c r="S93" s="223"/>
      <c r="T93" s="223"/>
      <c r="U93" s="223"/>
      <c r="V93" s="223"/>
      <c r="W93" s="223"/>
      <c r="X93" s="223"/>
      <c r="Y93" s="223"/>
      <c r="Z93" s="223"/>
      <c r="AA93" s="223"/>
      <c r="AB93" s="223"/>
      <c r="AC93" s="223"/>
      <c r="AD93" s="223"/>
      <c r="AE93" s="223"/>
      <c r="AF93" s="223"/>
      <c r="AG93" s="223"/>
    </row>
    <row r="94" spans="10:33">
      <c r="J94" s="223"/>
      <c r="K94" s="223"/>
      <c r="L94" s="223"/>
      <c r="M94" s="223"/>
      <c r="N94" s="223"/>
      <c r="O94" s="223"/>
      <c r="P94" s="223"/>
      <c r="Q94" s="223"/>
      <c r="R94" s="223"/>
      <c r="S94" s="223"/>
      <c r="T94" s="223"/>
      <c r="U94" s="223"/>
      <c r="V94" s="223"/>
      <c r="W94" s="223"/>
      <c r="X94" s="223"/>
      <c r="Y94" s="223"/>
      <c r="Z94" s="223"/>
      <c r="AA94" s="223"/>
      <c r="AB94" s="223"/>
      <c r="AC94" s="223"/>
      <c r="AD94" s="223"/>
      <c r="AE94" s="223"/>
      <c r="AF94" s="223"/>
      <c r="AG94" s="223"/>
    </row>
    <row r="95" spans="10:33">
      <c r="J95" s="223"/>
      <c r="K95" s="223"/>
      <c r="L95" s="223"/>
      <c r="M95" s="223"/>
      <c r="N95" s="223"/>
      <c r="O95" s="223"/>
      <c r="P95" s="223"/>
      <c r="Q95" s="223"/>
      <c r="R95" s="223"/>
      <c r="S95" s="223"/>
      <c r="T95" s="223"/>
      <c r="U95" s="223"/>
      <c r="V95" s="223"/>
      <c r="W95" s="223"/>
      <c r="X95" s="223"/>
      <c r="Y95" s="223"/>
      <c r="Z95" s="223"/>
      <c r="AA95" s="223"/>
      <c r="AB95" s="223"/>
      <c r="AC95" s="223"/>
      <c r="AD95" s="223"/>
      <c r="AE95" s="223"/>
      <c r="AF95" s="223"/>
      <c r="AG95" s="223"/>
    </row>
    <row r="96" spans="10:33">
      <c r="J96" s="223"/>
      <c r="K96" s="223"/>
      <c r="L96" s="223"/>
      <c r="M96" s="223"/>
      <c r="N96" s="223"/>
      <c r="O96" s="223"/>
      <c r="P96" s="223"/>
      <c r="Q96" s="223"/>
      <c r="R96" s="223"/>
      <c r="S96" s="223"/>
      <c r="T96" s="223"/>
      <c r="U96" s="223"/>
      <c r="V96" s="223"/>
      <c r="W96" s="223"/>
      <c r="X96" s="223"/>
      <c r="Y96" s="223"/>
      <c r="Z96" s="223"/>
      <c r="AA96" s="223"/>
      <c r="AB96" s="223"/>
      <c r="AC96" s="223"/>
      <c r="AD96" s="223"/>
      <c r="AE96" s="223"/>
      <c r="AF96" s="223"/>
      <c r="AG96" s="223"/>
    </row>
    <row r="97" spans="10:33">
      <c r="J97" s="223"/>
      <c r="K97" s="223"/>
      <c r="L97" s="223"/>
      <c r="M97" s="223"/>
      <c r="N97" s="223"/>
      <c r="O97" s="223"/>
      <c r="P97" s="223"/>
      <c r="Q97" s="223"/>
      <c r="R97" s="223"/>
      <c r="S97" s="223"/>
      <c r="T97" s="223"/>
      <c r="U97" s="223"/>
      <c r="V97" s="223"/>
      <c r="W97" s="223"/>
      <c r="X97" s="223"/>
      <c r="Y97" s="223"/>
      <c r="Z97" s="223"/>
      <c r="AA97" s="223"/>
      <c r="AB97" s="223"/>
      <c r="AC97" s="223"/>
      <c r="AD97" s="223"/>
      <c r="AE97" s="223"/>
      <c r="AF97" s="223"/>
      <c r="AG97" s="223"/>
    </row>
    <row r="98" spans="10:33">
      <c r="J98" s="223"/>
      <c r="K98" s="223"/>
      <c r="L98" s="223"/>
      <c r="M98" s="223"/>
      <c r="N98" s="223"/>
      <c r="O98" s="223"/>
      <c r="P98" s="223"/>
      <c r="Q98" s="223"/>
      <c r="R98" s="223"/>
      <c r="S98" s="223"/>
      <c r="T98" s="223"/>
      <c r="U98" s="223"/>
      <c r="V98" s="223"/>
      <c r="W98" s="223"/>
      <c r="X98" s="223"/>
      <c r="Y98" s="223"/>
      <c r="Z98" s="223"/>
      <c r="AA98" s="223"/>
      <c r="AB98" s="223"/>
      <c r="AC98" s="223"/>
      <c r="AD98" s="223"/>
      <c r="AE98" s="223"/>
      <c r="AF98" s="223"/>
      <c r="AG98" s="223"/>
    </row>
    <row r="99" spans="10:33">
      <c r="J99" s="223"/>
      <c r="K99" s="223"/>
      <c r="L99" s="223"/>
      <c r="M99" s="223"/>
      <c r="N99" s="223"/>
      <c r="O99" s="223"/>
      <c r="P99" s="223"/>
      <c r="Q99" s="223"/>
      <c r="R99" s="223"/>
      <c r="S99" s="223"/>
      <c r="T99" s="223"/>
      <c r="U99" s="223"/>
      <c r="V99" s="223"/>
      <c r="W99" s="223"/>
      <c r="X99" s="223"/>
      <c r="Y99" s="223"/>
      <c r="Z99" s="223"/>
      <c r="AA99" s="223"/>
      <c r="AB99" s="223"/>
      <c r="AC99" s="223"/>
      <c r="AD99" s="223"/>
      <c r="AE99" s="223"/>
      <c r="AF99" s="223"/>
      <c r="AG99" s="223"/>
    </row>
    <row r="100" spans="10:3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row>
    <row r="101" spans="10:33">
      <c r="J101" s="223"/>
      <c r="K101" s="223"/>
      <c r="L101" s="223"/>
      <c r="M101" s="223"/>
      <c r="N101" s="223"/>
      <c r="O101" s="223"/>
      <c r="P101" s="223"/>
      <c r="Q101" s="223"/>
      <c r="R101" s="223"/>
      <c r="S101" s="223"/>
      <c r="T101" s="223"/>
      <c r="U101" s="223"/>
      <c r="V101" s="223"/>
      <c r="W101" s="223"/>
      <c r="X101" s="223"/>
      <c r="Y101" s="223"/>
      <c r="Z101" s="223"/>
      <c r="AA101" s="223"/>
      <c r="AB101" s="223"/>
      <c r="AC101" s="223"/>
      <c r="AD101" s="223"/>
      <c r="AE101" s="223"/>
      <c r="AF101" s="223"/>
      <c r="AG101" s="223"/>
    </row>
    <row r="102" spans="10:33">
      <c r="J102" s="223"/>
      <c r="K102" s="223"/>
      <c r="L102" s="223"/>
      <c r="M102" s="223"/>
      <c r="N102" s="223"/>
      <c r="O102" s="223"/>
      <c r="P102" s="223"/>
      <c r="Q102" s="223"/>
      <c r="R102" s="223"/>
      <c r="S102" s="223"/>
      <c r="T102" s="223"/>
      <c r="U102" s="223"/>
      <c r="V102" s="223"/>
      <c r="W102" s="223"/>
      <c r="X102" s="223"/>
      <c r="Y102" s="223"/>
      <c r="Z102" s="223"/>
      <c r="AA102" s="223"/>
      <c r="AB102" s="223"/>
      <c r="AC102" s="223"/>
      <c r="AD102" s="223"/>
      <c r="AE102" s="223"/>
      <c r="AF102" s="223"/>
      <c r="AG102" s="223"/>
    </row>
    <row r="103" spans="10:33">
      <c r="J103" s="223"/>
      <c r="K103" s="223"/>
      <c r="L103" s="223"/>
      <c r="M103" s="223"/>
      <c r="N103" s="223"/>
      <c r="O103" s="223"/>
      <c r="P103" s="223"/>
      <c r="Q103" s="223"/>
      <c r="R103" s="223"/>
      <c r="S103" s="223"/>
      <c r="T103" s="223"/>
      <c r="U103" s="223"/>
      <c r="V103" s="223"/>
      <c r="W103" s="223"/>
      <c r="X103" s="223"/>
      <c r="Y103" s="223"/>
      <c r="Z103" s="223"/>
      <c r="AA103" s="223"/>
      <c r="AB103" s="223"/>
      <c r="AC103" s="223"/>
      <c r="AD103" s="223"/>
      <c r="AE103" s="223"/>
      <c r="AF103" s="223"/>
      <c r="AG103" s="223"/>
    </row>
    <row r="104" spans="10:33">
      <c r="J104" s="223"/>
      <c r="K104" s="223"/>
      <c r="L104" s="223"/>
      <c r="M104" s="223"/>
      <c r="N104" s="223"/>
      <c r="O104" s="223"/>
      <c r="P104" s="223"/>
      <c r="Q104" s="223"/>
      <c r="R104" s="223"/>
      <c r="S104" s="223"/>
      <c r="T104" s="223"/>
      <c r="U104" s="223"/>
      <c r="V104" s="223"/>
      <c r="W104" s="223"/>
      <c r="X104" s="223"/>
      <c r="Y104" s="223"/>
      <c r="Z104" s="223"/>
      <c r="AA104" s="223"/>
      <c r="AB104" s="223"/>
      <c r="AC104" s="223"/>
      <c r="AD104" s="223"/>
      <c r="AE104" s="223"/>
      <c r="AF104" s="223"/>
      <c r="AG104" s="223"/>
    </row>
    <row r="105" spans="10:3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row>
    <row r="106" spans="10:33">
      <c r="J106" s="223"/>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23"/>
      <c r="AG106" s="223"/>
    </row>
    <row r="107" spans="10:33">
      <c r="J107" s="223"/>
      <c r="K107" s="223"/>
      <c r="L107" s="223"/>
      <c r="M107" s="223"/>
      <c r="N107" s="223"/>
      <c r="O107" s="223"/>
      <c r="P107" s="223"/>
      <c r="Q107" s="223"/>
      <c r="R107" s="223"/>
      <c r="S107" s="223"/>
      <c r="T107" s="223"/>
      <c r="U107" s="223"/>
      <c r="V107" s="223"/>
      <c r="W107" s="223"/>
      <c r="X107" s="223"/>
      <c r="Y107" s="223"/>
      <c r="Z107" s="223"/>
      <c r="AA107" s="223"/>
      <c r="AB107" s="223"/>
      <c r="AC107" s="223"/>
      <c r="AD107" s="223"/>
      <c r="AE107" s="223"/>
      <c r="AF107" s="223"/>
      <c r="AG107" s="223"/>
    </row>
    <row r="108" spans="10:33">
      <c r="J108" s="223"/>
      <c r="K108" s="223"/>
      <c r="L108" s="223"/>
      <c r="M108" s="223"/>
      <c r="N108" s="223"/>
      <c r="O108" s="223"/>
      <c r="P108" s="223"/>
      <c r="Q108" s="223"/>
      <c r="R108" s="223"/>
      <c r="S108" s="223"/>
      <c r="T108" s="223"/>
      <c r="U108" s="223"/>
      <c r="V108" s="223"/>
      <c r="W108" s="223"/>
      <c r="X108" s="223"/>
      <c r="Y108" s="223"/>
      <c r="Z108" s="223"/>
      <c r="AA108" s="223"/>
      <c r="AB108" s="223"/>
      <c r="AC108" s="223"/>
      <c r="AD108" s="223"/>
      <c r="AE108" s="223"/>
      <c r="AF108" s="223"/>
      <c r="AG108" s="223"/>
    </row>
    <row r="109" spans="10:33">
      <c r="J109" s="223"/>
      <c r="K109" s="223"/>
      <c r="L109" s="223"/>
      <c r="M109" s="223"/>
      <c r="N109" s="223"/>
      <c r="O109" s="223"/>
      <c r="P109" s="223"/>
      <c r="Q109" s="223"/>
      <c r="R109" s="223"/>
      <c r="S109" s="223"/>
      <c r="T109" s="223"/>
      <c r="U109" s="223"/>
      <c r="V109" s="223"/>
      <c r="W109" s="223"/>
      <c r="X109" s="223"/>
      <c r="Y109" s="223"/>
      <c r="Z109" s="223"/>
      <c r="AA109" s="223"/>
      <c r="AB109" s="223"/>
      <c r="AC109" s="223"/>
      <c r="AD109" s="223"/>
      <c r="AE109" s="223"/>
      <c r="AF109" s="223"/>
      <c r="AG109" s="223"/>
    </row>
    <row r="110" spans="10:33">
      <c r="J110" s="223"/>
      <c r="K110" s="223"/>
      <c r="L110" s="223"/>
      <c r="M110" s="223"/>
      <c r="N110" s="223"/>
      <c r="O110" s="223"/>
      <c r="P110" s="223"/>
      <c r="Q110" s="223"/>
      <c r="R110" s="223"/>
      <c r="S110" s="223"/>
      <c r="T110" s="223"/>
      <c r="U110" s="223"/>
      <c r="V110" s="223"/>
      <c r="W110" s="223"/>
      <c r="X110" s="223"/>
      <c r="Y110" s="223"/>
      <c r="Z110" s="223"/>
      <c r="AA110" s="223"/>
      <c r="AB110" s="223"/>
      <c r="AC110" s="223"/>
      <c r="AD110" s="223"/>
      <c r="AE110" s="223"/>
      <c r="AF110" s="223"/>
      <c r="AG110" s="223"/>
    </row>
    <row r="111" spans="10:33">
      <c r="J111" s="223"/>
      <c r="K111" s="223"/>
      <c r="L111" s="223"/>
      <c r="M111" s="223"/>
      <c r="N111" s="223"/>
      <c r="O111" s="223"/>
      <c r="P111" s="223"/>
      <c r="Q111" s="223"/>
      <c r="R111" s="223"/>
      <c r="S111" s="223"/>
      <c r="T111" s="223"/>
      <c r="U111" s="223"/>
      <c r="V111" s="223"/>
      <c r="W111" s="223"/>
      <c r="X111" s="223"/>
      <c r="Y111" s="223"/>
      <c r="Z111" s="223"/>
      <c r="AA111" s="223"/>
      <c r="AB111" s="223"/>
      <c r="AC111" s="223"/>
      <c r="AD111" s="223"/>
      <c r="AE111" s="223"/>
      <c r="AF111" s="223"/>
      <c r="AG111" s="223"/>
    </row>
    <row r="112" spans="10:33">
      <c r="J112" s="223"/>
      <c r="K112" s="223"/>
      <c r="L112" s="223"/>
      <c r="M112" s="223"/>
      <c r="N112" s="223"/>
      <c r="O112" s="223"/>
      <c r="P112" s="223"/>
      <c r="Q112" s="223"/>
      <c r="R112" s="223"/>
      <c r="S112" s="223"/>
      <c r="T112" s="223"/>
      <c r="U112" s="223"/>
      <c r="V112" s="223"/>
      <c r="W112" s="223"/>
      <c r="X112" s="223"/>
      <c r="Y112" s="223"/>
      <c r="Z112" s="223"/>
      <c r="AA112" s="223"/>
      <c r="AB112" s="223"/>
      <c r="AC112" s="223"/>
      <c r="AD112" s="223"/>
      <c r="AE112" s="223"/>
      <c r="AF112" s="223"/>
      <c r="AG112" s="223"/>
    </row>
    <row r="113" spans="10:33">
      <c r="J113" s="223"/>
      <c r="K113" s="223"/>
      <c r="L113" s="223"/>
      <c r="M113" s="223"/>
      <c r="N113" s="223"/>
      <c r="O113" s="223"/>
      <c r="P113" s="223"/>
      <c r="Q113" s="223"/>
      <c r="R113" s="223"/>
      <c r="S113" s="223"/>
      <c r="T113" s="223"/>
      <c r="U113" s="223"/>
      <c r="V113" s="223"/>
      <c r="W113" s="223"/>
      <c r="X113" s="223"/>
      <c r="Y113" s="223"/>
      <c r="Z113" s="223"/>
      <c r="AA113" s="223"/>
      <c r="AB113" s="223"/>
      <c r="AC113" s="223"/>
      <c r="AD113" s="223"/>
      <c r="AE113" s="223"/>
      <c r="AF113" s="223"/>
      <c r="AG113" s="223"/>
    </row>
    <row r="114" spans="10:33">
      <c r="J114" s="223"/>
      <c r="K114" s="223"/>
      <c r="L114" s="223"/>
      <c r="M114" s="223"/>
      <c r="N114" s="223"/>
      <c r="O114" s="223"/>
      <c r="P114" s="223"/>
      <c r="Q114" s="223"/>
      <c r="R114" s="223"/>
      <c r="S114" s="223"/>
      <c r="T114" s="223"/>
      <c r="U114" s="223"/>
      <c r="V114" s="223"/>
      <c r="W114" s="223"/>
      <c r="X114" s="223"/>
      <c r="Y114" s="223"/>
      <c r="Z114" s="223"/>
      <c r="AA114" s="223"/>
      <c r="AB114" s="223"/>
      <c r="AC114" s="223"/>
      <c r="AD114" s="223"/>
      <c r="AE114" s="223"/>
      <c r="AF114" s="223"/>
      <c r="AG114" s="223"/>
    </row>
    <row r="115" spans="10:33">
      <c r="J115" s="223"/>
      <c r="K115" s="223"/>
      <c r="L115" s="223"/>
      <c r="M115" s="223"/>
      <c r="N115" s="223"/>
      <c r="O115" s="223"/>
      <c r="P115" s="223"/>
      <c r="Q115" s="223"/>
      <c r="R115" s="223"/>
      <c r="S115" s="223"/>
      <c r="T115" s="223"/>
      <c r="U115" s="223"/>
      <c r="V115" s="223"/>
      <c r="W115" s="223"/>
      <c r="X115" s="223"/>
      <c r="Y115" s="223"/>
      <c r="Z115" s="223"/>
      <c r="AA115" s="223"/>
      <c r="AB115" s="223"/>
      <c r="AC115" s="223"/>
      <c r="AD115" s="223"/>
      <c r="AE115" s="223"/>
      <c r="AF115" s="223"/>
      <c r="AG115" s="223"/>
    </row>
    <row r="116" spans="10:33">
      <c r="J116" s="223"/>
      <c r="K116" s="223"/>
      <c r="L116" s="223"/>
      <c r="M116" s="223"/>
      <c r="N116" s="223"/>
      <c r="O116" s="223"/>
      <c r="P116" s="223"/>
      <c r="Q116" s="223"/>
      <c r="R116" s="223"/>
      <c r="S116" s="223"/>
      <c r="T116" s="223"/>
      <c r="U116" s="223"/>
      <c r="V116" s="223"/>
      <c r="W116" s="223"/>
      <c r="X116" s="223"/>
      <c r="Y116" s="223"/>
      <c r="Z116" s="223"/>
      <c r="AA116" s="223"/>
      <c r="AB116" s="223"/>
      <c r="AC116" s="223"/>
      <c r="AD116" s="223"/>
      <c r="AE116" s="223"/>
      <c r="AF116" s="223"/>
      <c r="AG116" s="223"/>
    </row>
    <row r="117" spans="10:33">
      <c r="J117" s="223"/>
      <c r="K117" s="223"/>
      <c r="L117" s="223"/>
      <c r="M117" s="223"/>
      <c r="N117" s="223"/>
      <c r="O117" s="223"/>
      <c r="P117" s="223"/>
      <c r="Q117" s="223"/>
      <c r="R117" s="223"/>
      <c r="S117" s="223"/>
      <c r="T117" s="223"/>
      <c r="U117" s="223"/>
      <c r="V117" s="223"/>
      <c r="W117" s="223"/>
      <c r="X117" s="223"/>
      <c r="Y117" s="223"/>
      <c r="Z117" s="223"/>
      <c r="AA117" s="223"/>
      <c r="AB117" s="223"/>
      <c r="AC117" s="223"/>
      <c r="AD117" s="223"/>
      <c r="AE117" s="223"/>
      <c r="AF117" s="223"/>
      <c r="AG117" s="223"/>
    </row>
    <row r="118" spans="10:33">
      <c r="J118" s="223"/>
      <c r="K118" s="223"/>
      <c r="L118" s="223"/>
      <c r="M118" s="223"/>
      <c r="N118" s="223"/>
      <c r="O118" s="223"/>
      <c r="P118" s="223"/>
      <c r="Q118" s="223"/>
      <c r="R118" s="223"/>
      <c r="S118" s="223"/>
      <c r="T118" s="223"/>
      <c r="U118" s="223"/>
      <c r="V118" s="223"/>
      <c r="W118" s="223"/>
      <c r="X118" s="223"/>
      <c r="Y118" s="223"/>
      <c r="Z118" s="223"/>
      <c r="AA118" s="223"/>
      <c r="AB118" s="223"/>
      <c r="AC118" s="223"/>
      <c r="AD118" s="223"/>
      <c r="AE118" s="223"/>
      <c r="AF118" s="223"/>
      <c r="AG118" s="223"/>
    </row>
    <row r="119" spans="10:33">
      <c r="J119" s="223"/>
      <c r="K119" s="223"/>
      <c r="L119" s="223"/>
      <c r="M119" s="223"/>
      <c r="N119" s="223"/>
      <c r="O119" s="223"/>
      <c r="P119" s="223"/>
      <c r="Q119" s="223"/>
      <c r="R119" s="223"/>
      <c r="S119" s="223"/>
      <c r="T119" s="223"/>
      <c r="U119" s="223"/>
      <c r="V119" s="223"/>
      <c r="W119" s="223"/>
      <c r="X119" s="223"/>
      <c r="Y119" s="223"/>
      <c r="Z119" s="223"/>
      <c r="AA119" s="223"/>
      <c r="AB119" s="223"/>
      <c r="AC119" s="223"/>
      <c r="AD119" s="223"/>
      <c r="AE119" s="223"/>
      <c r="AF119" s="223"/>
      <c r="AG119" s="223"/>
    </row>
    <row r="120" spans="10:33">
      <c r="J120" s="223"/>
      <c r="K120" s="223"/>
      <c r="L120" s="223"/>
      <c r="M120" s="223"/>
      <c r="N120" s="223"/>
      <c r="O120" s="223"/>
      <c r="P120" s="223"/>
      <c r="Q120" s="223"/>
      <c r="R120" s="223"/>
      <c r="S120" s="223"/>
      <c r="T120" s="223"/>
      <c r="U120" s="223"/>
      <c r="V120" s="223"/>
      <c r="W120" s="223"/>
      <c r="X120" s="223"/>
      <c r="Y120" s="223"/>
      <c r="Z120" s="223"/>
      <c r="AA120" s="223"/>
      <c r="AB120" s="223"/>
      <c r="AC120" s="223"/>
      <c r="AD120" s="223"/>
      <c r="AE120" s="223"/>
      <c r="AF120" s="223"/>
      <c r="AG120" s="223"/>
    </row>
    <row r="121" spans="10:33">
      <c r="J121" s="223"/>
      <c r="K121" s="223"/>
      <c r="L121" s="223"/>
      <c r="M121" s="223"/>
      <c r="N121" s="223"/>
      <c r="O121" s="223"/>
      <c r="P121" s="223"/>
      <c r="Q121" s="223"/>
      <c r="R121" s="223"/>
      <c r="S121" s="223"/>
      <c r="T121" s="223"/>
      <c r="U121" s="223"/>
      <c r="V121" s="223"/>
      <c r="W121" s="223"/>
      <c r="X121" s="223"/>
      <c r="Y121" s="223"/>
      <c r="Z121" s="223"/>
      <c r="AA121" s="223"/>
      <c r="AB121" s="223"/>
      <c r="AC121" s="223"/>
      <c r="AD121" s="223"/>
      <c r="AE121" s="223"/>
      <c r="AF121" s="223"/>
      <c r="AG121" s="223"/>
    </row>
    <row r="122" spans="10:33">
      <c r="J122" s="223"/>
      <c r="K122" s="223"/>
      <c r="L122" s="223"/>
      <c r="M122" s="223"/>
      <c r="N122" s="223"/>
      <c r="O122" s="223"/>
      <c r="P122" s="223"/>
      <c r="Q122" s="223"/>
      <c r="R122" s="223"/>
      <c r="S122" s="223"/>
      <c r="T122" s="223"/>
      <c r="U122" s="223"/>
      <c r="V122" s="223"/>
      <c r="W122" s="223"/>
      <c r="X122" s="223"/>
      <c r="Y122" s="223"/>
      <c r="Z122" s="223"/>
      <c r="AA122" s="223"/>
      <c r="AB122" s="223"/>
      <c r="AC122" s="223"/>
      <c r="AD122" s="223"/>
      <c r="AE122" s="223"/>
      <c r="AF122" s="223"/>
      <c r="AG122" s="223"/>
    </row>
    <row r="123" spans="10:33">
      <c r="J123" s="223"/>
      <c r="K123" s="223"/>
      <c r="L123" s="223"/>
      <c r="M123" s="223"/>
      <c r="N123" s="223"/>
      <c r="O123" s="223"/>
      <c r="P123" s="223"/>
      <c r="Q123" s="223"/>
      <c r="R123" s="223"/>
      <c r="S123" s="223"/>
      <c r="T123" s="223"/>
      <c r="U123" s="223"/>
      <c r="V123" s="223"/>
      <c r="W123" s="223"/>
      <c r="X123" s="223"/>
      <c r="Y123" s="223"/>
      <c r="Z123" s="223"/>
      <c r="AA123" s="223"/>
      <c r="AB123" s="223"/>
      <c r="AC123" s="223"/>
      <c r="AD123" s="223"/>
      <c r="AE123" s="223"/>
      <c r="AF123" s="223"/>
      <c r="AG123" s="223"/>
    </row>
    <row r="124" spans="10:33">
      <c r="J124" s="223"/>
      <c r="K124" s="223"/>
      <c r="L124" s="223"/>
      <c r="M124" s="223"/>
      <c r="N124" s="223"/>
      <c r="O124" s="223"/>
      <c r="P124" s="223"/>
      <c r="Q124" s="223"/>
      <c r="R124" s="223"/>
      <c r="S124" s="223"/>
      <c r="T124" s="223"/>
      <c r="U124" s="223"/>
      <c r="V124" s="223"/>
      <c r="W124" s="223"/>
      <c r="X124" s="223"/>
      <c r="Y124" s="223"/>
      <c r="Z124" s="223"/>
      <c r="AA124" s="223"/>
      <c r="AB124" s="223"/>
      <c r="AC124" s="223"/>
      <c r="AD124" s="223"/>
      <c r="AE124" s="223"/>
      <c r="AF124" s="223"/>
      <c r="AG124" s="223"/>
    </row>
    <row r="125" spans="10:33">
      <c r="J125" s="223"/>
      <c r="K125" s="223"/>
      <c r="L125" s="223"/>
      <c r="M125" s="223"/>
      <c r="N125" s="223"/>
      <c r="O125" s="223"/>
      <c r="P125" s="223"/>
      <c r="Q125" s="223"/>
      <c r="R125" s="223"/>
      <c r="S125" s="223"/>
      <c r="T125" s="223"/>
      <c r="U125" s="223"/>
      <c r="V125" s="223"/>
      <c r="W125" s="223"/>
      <c r="X125" s="223"/>
      <c r="Y125" s="223"/>
      <c r="Z125" s="223"/>
      <c r="AA125" s="223"/>
      <c r="AB125" s="223"/>
      <c r="AC125" s="223"/>
      <c r="AD125" s="223"/>
      <c r="AE125" s="223"/>
      <c r="AF125" s="223"/>
      <c r="AG125" s="223"/>
    </row>
    <row r="126" spans="10:33">
      <c r="J126" s="223"/>
      <c r="K126" s="223"/>
      <c r="L126" s="223"/>
      <c r="M126" s="223"/>
      <c r="N126" s="223"/>
      <c r="O126" s="223"/>
      <c r="P126" s="223"/>
      <c r="Q126" s="223"/>
      <c r="R126" s="223"/>
      <c r="S126" s="223"/>
      <c r="T126" s="223"/>
      <c r="U126" s="223"/>
      <c r="V126" s="223"/>
      <c r="W126" s="223"/>
      <c r="X126" s="223"/>
      <c r="Y126" s="223"/>
      <c r="Z126" s="223"/>
      <c r="AA126" s="223"/>
      <c r="AB126" s="223"/>
      <c r="AC126" s="223"/>
      <c r="AD126" s="223"/>
      <c r="AE126" s="223"/>
      <c r="AF126" s="223"/>
      <c r="AG126" s="223"/>
    </row>
    <row r="127" spans="10:33">
      <c r="J127" s="223"/>
      <c r="K127" s="223"/>
      <c r="L127" s="223"/>
      <c r="M127" s="223"/>
      <c r="N127" s="223"/>
      <c r="O127" s="223"/>
      <c r="P127" s="223"/>
      <c r="Q127" s="223"/>
      <c r="R127" s="223"/>
      <c r="S127" s="223"/>
      <c r="T127" s="223"/>
      <c r="U127" s="223"/>
      <c r="V127" s="223"/>
      <c r="W127" s="223"/>
      <c r="X127" s="223"/>
      <c r="Y127" s="223"/>
      <c r="Z127" s="223"/>
      <c r="AA127" s="223"/>
      <c r="AB127" s="223"/>
      <c r="AC127" s="223"/>
      <c r="AD127" s="223"/>
      <c r="AE127" s="223"/>
      <c r="AF127" s="223"/>
      <c r="AG127" s="223"/>
    </row>
    <row r="128" spans="10:33">
      <c r="J128" s="223"/>
      <c r="K128" s="223"/>
      <c r="L128" s="223"/>
      <c r="M128" s="223"/>
      <c r="N128" s="223"/>
      <c r="O128" s="223"/>
      <c r="P128" s="223"/>
      <c r="Q128" s="223"/>
      <c r="R128" s="223"/>
      <c r="S128" s="223"/>
      <c r="T128" s="223"/>
      <c r="U128" s="223"/>
      <c r="V128" s="223"/>
      <c r="W128" s="223"/>
      <c r="X128" s="223"/>
      <c r="Y128" s="223"/>
      <c r="Z128" s="223"/>
      <c r="AA128" s="223"/>
      <c r="AB128" s="223"/>
      <c r="AC128" s="223"/>
      <c r="AD128" s="223"/>
      <c r="AE128" s="223"/>
      <c r="AF128" s="223"/>
      <c r="AG128" s="223"/>
    </row>
    <row r="129" spans="10:33">
      <c r="J129" s="223"/>
      <c r="K129" s="223"/>
      <c r="L129" s="223"/>
      <c r="M129" s="223"/>
      <c r="N129" s="223"/>
      <c r="O129" s="223"/>
      <c r="P129" s="223"/>
      <c r="Q129" s="223"/>
      <c r="R129" s="223"/>
      <c r="S129" s="223"/>
      <c r="T129" s="223"/>
      <c r="U129" s="223"/>
      <c r="V129" s="223"/>
      <c r="W129" s="223"/>
      <c r="X129" s="223"/>
      <c r="Y129" s="223"/>
      <c r="Z129" s="223"/>
      <c r="AA129" s="223"/>
      <c r="AB129" s="223"/>
      <c r="AC129" s="223"/>
      <c r="AD129" s="223"/>
      <c r="AE129" s="223"/>
      <c r="AF129" s="223"/>
      <c r="AG129" s="223"/>
    </row>
    <row r="130" spans="10:33">
      <c r="J130" s="223"/>
      <c r="K130" s="223"/>
      <c r="L130" s="223"/>
      <c r="M130" s="223"/>
      <c r="N130" s="223"/>
      <c r="O130" s="223"/>
      <c r="P130" s="223"/>
      <c r="Q130" s="223"/>
      <c r="R130" s="223"/>
      <c r="S130" s="223"/>
      <c r="T130" s="223"/>
      <c r="U130" s="223"/>
      <c r="V130" s="223"/>
      <c r="W130" s="223"/>
      <c r="X130" s="223"/>
      <c r="Y130" s="223"/>
      <c r="Z130" s="223"/>
      <c r="AA130" s="223"/>
      <c r="AB130" s="223"/>
      <c r="AC130" s="223"/>
      <c r="AD130" s="223"/>
      <c r="AE130" s="223"/>
      <c r="AF130" s="223"/>
      <c r="AG130" s="223"/>
    </row>
    <row r="131" spans="10:33">
      <c r="J131" s="223"/>
      <c r="K131" s="223"/>
      <c r="L131" s="223"/>
      <c r="M131" s="223"/>
      <c r="N131" s="223"/>
      <c r="O131" s="223"/>
      <c r="P131" s="223"/>
      <c r="Q131" s="223"/>
      <c r="R131" s="223"/>
      <c r="S131" s="223"/>
      <c r="T131" s="223"/>
      <c r="U131" s="223"/>
      <c r="V131" s="223"/>
      <c r="W131" s="223"/>
      <c r="X131" s="223"/>
      <c r="Y131" s="223"/>
      <c r="Z131" s="223"/>
      <c r="AA131" s="223"/>
      <c r="AB131" s="223"/>
      <c r="AC131" s="223"/>
      <c r="AD131" s="223"/>
      <c r="AE131" s="223"/>
      <c r="AF131" s="223"/>
      <c r="AG131" s="223"/>
    </row>
    <row r="132" spans="10:33">
      <c r="J132" s="223"/>
      <c r="K132" s="223"/>
      <c r="L132" s="223"/>
      <c r="M132" s="223"/>
      <c r="N132" s="223"/>
      <c r="O132" s="223"/>
      <c r="P132" s="223"/>
      <c r="Q132" s="223"/>
      <c r="R132" s="223"/>
      <c r="S132" s="223"/>
      <c r="T132" s="223"/>
      <c r="U132" s="223"/>
      <c r="V132" s="223"/>
      <c r="W132" s="223"/>
      <c r="X132" s="223"/>
      <c r="Y132" s="223"/>
      <c r="Z132" s="223"/>
      <c r="AA132" s="223"/>
      <c r="AB132" s="223"/>
      <c r="AC132" s="223"/>
      <c r="AD132" s="223"/>
      <c r="AE132" s="223"/>
      <c r="AF132" s="223"/>
      <c r="AG132" s="223"/>
    </row>
    <row r="133" spans="10:33">
      <c r="J133" s="223"/>
      <c r="K133" s="223"/>
      <c r="L133" s="223"/>
      <c r="M133" s="223"/>
      <c r="N133" s="223"/>
      <c r="O133" s="223"/>
      <c r="P133" s="223"/>
      <c r="Q133" s="223"/>
      <c r="R133" s="223"/>
      <c r="S133" s="223"/>
      <c r="T133" s="223"/>
      <c r="U133" s="223"/>
      <c r="V133" s="223"/>
      <c r="W133" s="223"/>
      <c r="X133" s="223"/>
      <c r="Y133" s="223"/>
      <c r="Z133" s="223"/>
      <c r="AA133" s="223"/>
      <c r="AB133" s="223"/>
      <c r="AC133" s="223"/>
      <c r="AD133" s="223"/>
      <c r="AE133" s="223"/>
      <c r="AF133" s="223"/>
      <c r="AG133" s="223"/>
    </row>
    <row r="134" spans="10:33">
      <c r="J134" s="223"/>
      <c r="K134" s="223"/>
      <c r="L134" s="223"/>
      <c r="M134" s="223"/>
      <c r="N134" s="223"/>
      <c r="O134" s="223"/>
      <c r="P134" s="223"/>
      <c r="Q134" s="223"/>
      <c r="R134" s="223"/>
      <c r="S134" s="223"/>
      <c r="T134" s="223"/>
      <c r="U134" s="223"/>
      <c r="V134" s="223"/>
      <c r="W134" s="223"/>
      <c r="X134" s="223"/>
      <c r="Y134" s="223"/>
      <c r="Z134" s="223"/>
      <c r="AA134" s="223"/>
      <c r="AB134" s="223"/>
      <c r="AC134" s="223"/>
      <c r="AD134" s="223"/>
      <c r="AE134" s="223"/>
      <c r="AF134" s="223"/>
      <c r="AG134" s="223"/>
    </row>
    <row r="135" spans="10:33">
      <c r="J135" s="223"/>
      <c r="K135" s="223"/>
      <c r="L135" s="223"/>
      <c r="M135" s="223"/>
      <c r="N135" s="223"/>
      <c r="O135" s="223"/>
      <c r="P135" s="223"/>
      <c r="Q135" s="223"/>
      <c r="R135" s="223"/>
      <c r="S135" s="223"/>
      <c r="T135" s="223"/>
      <c r="U135" s="223"/>
      <c r="V135" s="223"/>
      <c r="W135" s="223"/>
      <c r="X135" s="223"/>
      <c r="Y135" s="223"/>
      <c r="Z135" s="223"/>
      <c r="AA135" s="223"/>
      <c r="AB135" s="223"/>
      <c r="AC135" s="223"/>
      <c r="AD135" s="223"/>
      <c r="AE135" s="223"/>
      <c r="AF135" s="223"/>
      <c r="AG135" s="223"/>
    </row>
    <row r="136" spans="10:33">
      <c r="J136" s="223"/>
      <c r="K136" s="223"/>
      <c r="L136" s="223"/>
      <c r="M136" s="223"/>
      <c r="N136" s="223"/>
      <c r="O136" s="223"/>
      <c r="P136" s="223"/>
      <c r="Q136" s="223"/>
      <c r="R136" s="223"/>
      <c r="S136" s="223"/>
      <c r="T136" s="223"/>
      <c r="U136" s="223"/>
      <c r="V136" s="223"/>
      <c r="W136" s="223"/>
      <c r="X136" s="223"/>
      <c r="Y136" s="223"/>
      <c r="Z136" s="223"/>
      <c r="AA136" s="223"/>
      <c r="AB136" s="223"/>
      <c r="AC136" s="223"/>
      <c r="AD136" s="223"/>
      <c r="AE136" s="223"/>
      <c r="AF136" s="223"/>
      <c r="AG136" s="223"/>
    </row>
    <row r="137" spans="10:33">
      <c r="J137" s="223"/>
      <c r="K137" s="223"/>
      <c r="L137" s="223"/>
      <c r="M137" s="223"/>
      <c r="N137" s="223"/>
      <c r="O137" s="223"/>
      <c r="P137" s="223"/>
      <c r="Q137" s="223"/>
      <c r="R137" s="223"/>
      <c r="S137" s="223"/>
      <c r="T137" s="223"/>
      <c r="U137" s="223"/>
      <c r="V137" s="223"/>
      <c r="W137" s="223"/>
      <c r="X137" s="223"/>
      <c r="Y137" s="223"/>
      <c r="Z137" s="223"/>
      <c r="AA137" s="223"/>
      <c r="AB137" s="223"/>
      <c r="AC137" s="223"/>
      <c r="AD137" s="223"/>
      <c r="AE137" s="223"/>
      <c r="AF137" s="223"/>
      <c r="AG137" s="223"/>
    </row>
    <row r="138" spans="10:33">
      <c r="J138" s="223"/>
      <c r="K138" s="223"/>
      <c r="L138" s="223"/>
      <c r="M138" s="223"/>
      <c r="N138" s="223"/>
      <c r="O138" s="223"/>
      <c r="P138" s="223"/>
      <c r="Q138" s="223"/>
      <c r="R138" s="223"/>
      <c r="S138" s="223"/>
      <c r="T138" s="223"/>
      <c r="U138" s="223"/>
      <c r="V138" s="223"/>
      <c r="W138" s="223"/>
      <c r="X138" s="223"/>
      <c r="Y138" s="223"/>
      <c r="Z138" s="223"/>
      <c r="AA138" s="223"/>
      <c r="AB138" s="223"/>
      <c r="AC138" s="223"/>
      <c r="AD138" s="223"/>
      <c r="AE138" s="223"/>
      <c r="AF138" s="223"/>
      <c r="AG138" s="223"/>
    </row>
    <row r="139" spans="10:33">
      <c r="J139" s="223"/>
      <c r="K139" s="223"/>
      <c r="L139" s="223"/>
      <c r="M139" s="223"/>
      <c r="N139" s="223"/>
      <c r="O139" s="223"/>
      <c r="P139" s="223"/>
      <c r="Q139" s="223"/>
      <c r="R139" s="223"/>
      <c r="S139" s="223"/>
      <c r="T139" s="223"/>
      <c r="U139" s="223"/>
      <c r="V139" s="223"/>
      <c r="W139" s="223"/>
      <c r="X139" s="223"/>
      <c r="Y139" s="223"/>
      <c r="Z139" s="223"/>
      <c r="AA139" s="223"/>
      <c r="AB139" s="223"/>
      <c r="AC139" s="223"/>
      <c r="AD139" s="223"/>
      <c r="AE139" s="223"/>
      <c r="AF139" s="223"/>
      <c r="AG139" s="223"/>
    </row>
    <row r="140" spans="10:3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row>
    <row r="141" spans="10:33">
      <c r="J141" s="223"/>
      <c r="K141" s="223"/>
      <c r="L141" s="223"/>
      <c r="M141" s="223"/>
      <c r="N141" s="223"/>
      <c r="O141" s="223"/>
      <c r="P141" s="223"/>
      <c r="Q141" s="223"/>
      <c r="R141" s="223"/>
      <c r="S141" s="223"/>
      <c r="T141" s="223"/>
      <c r="U141" s="223"/>
      <c r="V141" s="223"/>
      <c r="W141" s="223"/>
      <c r="X141" s="223"/>
      <c r="Y141" s="223"/>
      <c r="Z141" s="223"/>
      <c r="AA141" s="223"/>
      <c r="AB141" s="223"/>
      <c r="AC141" s="223"/>
      <c r="AD141" s="223"/>
      <c r="AE141" s="223"/>
      <c r="AF141" s="223"/>
      <c r="AG141" s="223"/>
    </row>
    <row r="142" spans="10:33">
      <c r="J142" s="223"/>
      <c r="K142" s="223"/>
      <c r="L142" s="223"/>
      <c r="M142" s="223"/>
      <c r="N142" s="223"/>
      <c r="O142" s="223"/>
      <c r="P142" s="223"/>
      <c r="Q142" s="223"/>
      <c r="R142" s="223"/>
      <c r="S142" s="223"/>
      <c r="T142" s="223"/>
      <c r="U142" s="223"/>
      <c r="V142" s="223"/>
      <c r="W142" s="223"/>
      <c r="X142" s="223"/>
      <c r="Y142" s="223"/>
      <c r="Z142" s="223"/>
      <c r="AA142" s="223"/>
      <c r="AB142" s="223"/>
      <c r="AC142" s="223"/>
      <c r="AD142" s="223"/>
      <c r="AE142" s="223"/>
      <c r="AF142" s="223"/>
      <c r="AG142" s="223"/>
    </row>
    <row r="143" spans="10:33">
      <c r="J143" s="223"/>
      <c r="K143" s="223"/>
      <c r="L143" s="223"/>
      <c r="M143" s="223"/>
      <c r="N143" s="223"/>
      <c r="O143" s="223"/>
      <c r="P143" s="223"/>
      <c r="Q143" s="223"/>
      <c r="R143" s="223"/>
      <c r="S143" s="223"/>
      <c r="T143" s="223"/>
      <c r="U143" s="223"/>
      <c r="V143" s="223"/>
      <c r="W143" s="223"/>
      <c r="X143" s="223"/>
      <c r="Y143" s="223"/>
      <c r="Z143" s="223"/>
      <c r="AA143" s="223"/>
      <c r="AB143" s="223"/>
      <c r="AC143" s="223"/>
      <c r="AD143" s="223"/>
      <c r="AE143" s="223"/>
      <c r="AF143" s="223"/>
      <c r="AG143" s="223"/>
    </row>
    <row r="144" spans="10:33">
      <c r="J144" s="223"/>
      <c r="K144" s="223"/>
      <c r="L144" s="223"/>
      <c r="M144" s="223"/>
      <c r="N144" s="223"/>
      <c r="O144" s="223"/>
      <c r="P144" s="223"/>
      <c r="Q144" s="223"/>
      <c r="R144" s="223"/>
      <c r="S144" s="223"/>
      <c r="T144" s="223"/>
      <c r="U144" s="223"/>
      <c r="V144" s="223"/>
      <c r="W144" s="223"/>
      <c r="X144" s="223"/>
      <c r="Y144" s="223"/>
      <c r="Z144" s="223"/>
      <c r="AA144" s="223"/>
      <c r="AB144" s="223"/>
      <c r="AC144" s="223"/>
      <c r="AD144" s="223"/>
      <c r="AE144" s="223"/>
      <c r="AF144" s="223"/>
      <c r="AG144" s="223"/>
    </row>
    <row r="145" spans="10:33">
      <c r="J145" s="223"/>
      <c r="K145" s="223"/>
      <c r="L145" s="223"/>
      <c r="M145" s="223"/>
      <c r="N145" s="223"/>
      <c r="O145" s="223"/>
      <c r="P145" s="223"/>
      <c r="Q145" s="223"/>
      <c r="R145" s="223"/>
      <c r="S145" s="223"/>
      <c r="T145" s="223"/>
      <c r="U145" s="223"/>
      <c r="V145" s="223"/>
      <c r="W145" s="223"/>
      <c r="X145" s="223"/>
      <c r="Y145" s="223"/>
      <c r="Z145" s="223"/>
      <c r="AA145" s="223"/>
      <c r="AB145" s="223"/>
      <c r="AC145" s="223"/>
      <c r="AD145" s="223"/>
      <c r="AE145" s="223"/>
      <c r="AF145" s="223"/>
      <c r="AG145" s="223"/>
    </row>
    <row r="146" spans="10:33">
      <c r="J146" s="223"/>
      <c r="K146" s="223"/>
      <c r="L146" s="223"/>
      <c r="M146" s="223"/>
      <c r="N146" s="223"/>
      <c r="O146" s="223"/>
      <c r="P146" s="223"/>
      <c r="Q146" s="223"/>
      <c r="R146" s="223"/>
      <c r="S146" s="223"/>
      <c r="T146" s="223"/>
      <c r="U146" s="223"/>
      <c r="V146" s="223"/>
      <c r="W146" s="223"/>
      <c r="X146" s="223"/>
      <c r="Y146" s="223"/>
      <c r="Z146" s="223"/>
      <c r="AA146" s="223"/>
      <c r="AB146" s="223"/>
      <c r="AC146" s="223"/>
      <c r="AD146" s="223"/>
      <c r="AE146" s="223"/>
      <c r="AF146" s="223"/>
      <c r="AG146" s="223"/>
    </row>
    <row r="147" spans="10:33">
      <c r="J147" s="223"/>
      <c r="K147" s="223"/>
      <c r="L147" s="223"/>
      <c r="M147" s="223"/>
      <c r="N147" s="223"/>
      <c r="O147" s="223"/>
      <c r="P147" s="223"/>
      <c r="Q147" s="223"/>
      <c r="R147" s="223"/>
      <c r="S147" s="223"/>
      <c r="T147" s="223"/>
      <c r="U147" s="223"/>
      <c r="V147" s="223"/>
      <c r="W147" s="223"/>
      <c r="X147" s="223"/>
      <c r="Y147" s="223"/>
      <c r="Z147" s="223"/>
      <c r="AA147" s="223"/>
      <c r="AB147" s="223"/>
      <c r="AC147" s="223"/>
      <c r="AD147" s="223"/>
      <c r="AE147" s="223"/>
      <c r="AF147" s="223"/>
      <c r="AG147" s="223"/>
    </row>
    <row r="148" spans="10:33">
      <c r="J148" s="223"/>
      <c r="K148" s="223"/>
      <c r="L148" s="223"/>
      <c r="M148" s="223"/>
      <c r="N148" s="223"/>
      <c r="O148" s="223"/>
      <c r="P148" s="223"/>
      <c r="Q148" s="223"/>
      <c r="R148" s="223"/>
      <c r="S148" s="223"/>
      <c r="T148" s="223"/>
      <c r="U148" s="223"/>
      <c r="V148" s="223"/>
      <c r="W148" s="223"/>
      <c r="X148" s="223"/>
      <c r="Y148" s="223"/>
      <c r="Z148" s="223"/>
      <c r="AA148" s="223"/>
      <c r="AB148" s="223"/>
      <c r="AC148" s="223"/>
      <c r="AD148" s="223"/>
      <c r="AE148" s="223"/>
      <c r="AF148" s="223"/>
      <c r="AG148" s="223"/>
    </row>
    <row r="149" spans="10:33">
      <c r="J149" s="223"/>
      <c r="K149" s="223"/>
      <c r="L149" s="223"/>
      <c r="M149" s="223"/>
      <c r="N149" s="223"/>
      <c r="O149" s="223"/>
      <c r="P149" s="223"/>
      <c r="Q149" s="223"/>
      <c r="R149" s="223"/>
      <c r="S149" s="223"/>
      <c r="T149" s="223"/>
      <c r="U149" s="223"/>
      <c r="V149" s="223"/>
      <c r="W149" s="223"/>
      <c r="X149" s="223"/>
      <c r="Y149" s="223"/>
      <c r="Z149" s="223"/>
      <c r="AA149" s="223"/>
      <c r="AB149" s="223"/>
      <c r="AC149" s="223"/>
      <c r="AD149" s="223"/>
      <c r="AE149" s="223"/>
      <c r="AF149" s="223"/>
      <c r="AG149" s="223"/>
    </row>
    <row r="150" spans="10:33">
      <c r="J150" s="223"/>
      <c r="K150" s="223"/>
      <c r="L150" s="223"/>
      <c r="M150" s="223"/>
      <c r="N150" s="223"/>
      <c r="O150" s="223"/>
      <c r="P150" s="223"/>
      <c r="Q150" s="223"/>
      <c r="R150" s="223"/>
      <c r="S150" s="223"/>
      <c r="T150" s="223"/>
      <c r="U150" s="223"/>
      <c r="V150" s="223"/>
      <c r="W150" s="223"/>
      <c r="X150" s="223"/>
      <c r="Y150" s="223"/>
      <c r="Z150" s="223"/>
      <c r="AA150" s="223"/>
      <c r="AB150" s="223"/>
      <c r="AC150" s="223"/>
      <c r="AD150" s="223"/>
      <c r="AE150" s="223"/>
      <c r="AF150" s="223"/>
      <c r="AG150" s="223"/>
    </row>
    <row r="151" spans="10:33">
      <c r="J151" s="223"/>
      <c r="K151" s="223"/>
      <c r="L151" s="223"/>
      <c r="M151" s="223"/>
      <c r="N151" s="223"/>
      <c r="O151" s="223"/>
      <c r="P151" s="223"/>
      <c r="Q151" s="223"/>
      <c r="R151" s="223"/>
      <c r="S151" s="223"/>
      <c r="T151" s="223"/>
      <c r="U151" s="223"/>
      <c r="V151" s="223"/>
      <c r="W151" s="223"/>
      <c r="X151" s="223"/>
      <c r="Y151" s="223"/>
      <c r="Z151" s="223"/>
      <c r="AA151" s="223"/>
      <c r="AB151" s="223"/>
      <c r="AC151" s="223"/>
      <c r="AD151" s="223"/>
      <c r="AE151" s="223"/>
      <c r="AF151" s="223"/>
      <c r="AG151" s="223"/>
    </row>
    <row r="152" spans="10:33">
      <c r="J152" s="223"/>
      <c r="K152" s="223"/>
      <c r="L152" s="223"/>
      <c r="M152" s="223"/>
      <c r="N152" s="223"/>
      <c r="O152" s="223"/>
      <c r="P152" s="223"/>
      <c r="Q152" s="223"/>
      <c r="R152" s="223"/>
      <c r="S152" s="223"/>
      <c r="T152" s="223"/>
      <c r="U152" s="223"/>
      <c r="V152" s="223"/>
      <c r="W152" s="223"/>
      <c r="X152" s="223"/>
      <c r="Y152" s="223"/>
      <c r="Z152" s="223"/>
      <c r="AA152" s="223"/>
      <c r="AB152" s="223"/>
      <c r="AC152" s="223"/>
      <c r="AD152" s="223"/>
      <c r="AE152" s="223"/>
      <c r="AF152" s="223"/>
      <c r="AG152" s="223"/>
    </row>
    <row r="153" spans="10:33">
      <c r="J153" s="223"/>
      <c r="K153" s="223"/>
      <c r="L153" s="223"/>
      <c r="M153" s="223"/>
      <c r="N153" s="223"/>
      <c r="O153" s="223"/>
      <c r="P153" s="223"/>
      <c r="Q153" s="223"/>
      <c r="R153" s="223"/>
      <c r="S153" s="223"/>
      <c r="T153" s="223"/>
      <c r="U153" s="223"/>
      <c r="V153" s="223"/>
      <c r="W153" s="223"/>
      <c r="X153" s="223"/>
      <c r="Y153" s="223"/>
      <c r="Z153" s="223"/>
      <c r="AA153" s="223"/>
      <c r="AB153" s="223"/>
      <c r="AC153" s="223"/>
      <c r="AD153" s="223"/>
      <c r="AE153" s="223"/>
      <c r="AF153" s="223"/>
      <c r="AG153" s="223"/>
    </row>
    <row r="154" spans="10:33">
      <c r="J154" s="223"/>
      <c r="K154" s="223"/>
      <c r="L154" s="223"/>
      <c r="M154" s="223"/>
      <c r="N154" s="223"/>
      <c r="O154" s="223"/>
      <c r="P154" s="223"/>
      <c r="Q154" s="223"/>
      <c r="R154" s="223"/>
      <c r="S154" s="223"/>
      <c r="T154" s="223"/>
      <c r="U154" s="223"/>
      <c r="V154" s="223"/>
      <c r="W154" s="223"/>
      <c r="X154" s="223"/>
      <c r="Y154" s="223"/>
      <c r="Z154" s="223"/>
      <c r="AA154" s="223"/>
      <c r="AB154" s="223"/>
      <c r="AC154" s="223"/>
      <c r="AD154" s="223"/>
      <c r="AE154" s="223"/>
      <c r="AF154" s="223"/>
      <c r="AG154" s="223"/>
    </row>
    <row r="155" spans="10:3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row>
    <row r="156" spans="10:33">
      <c r="J156" s="223"/>
      <c r="K156" s="223"/>
      <c r="L156" s="223"/>
      <c r="M156" s="223"/>
      <c r="N156" s="223"/>
      <c r="O156" s="223"/>
      <c r="P156" s="223"/>
      <c r="Q156" s="223"/>
      <c r="R156" s="223"/>
      <c r="S156" s="223"/>
      <c r="T156" s="223"/>
      <c r="U156" s="223"/>
      <c r="V156" s="223"/>
      <c r="W156" s="223"/>
      <c r="X156" s="223"/>
      <c r="Y156" s="223"/>
      <c r="Z156" s="223"/>
      <c r="AA156" s="223"/>
      <c r="AB156" s="223"/>
      <c r="AC156" s="223"/>
      <c r="AD156" s="223"/>
      <c r="AE156" s="223"/>
      <c r="AF156" s="223"/>
      <c r="AG156" s="223"/>
    </row>
    <row r="157" spans="10:33">
      <c r="J157" s="223"/>
      <c r="K157" s="223"/>
      <c r="L157" s="223"/>
      <c r="M157" s="223"/>
      <c r="N157" s="223"/>
      <c r="O157" s="223"/>
      <c r="P157" s="223"/>
      <c r="Q157" s="223"/>
      <c r="R157" s="223"/>
      <c r="S157" s="223"/>
      <c r="T157" s="223"/>
      <c r="U157" s="223"/>
      <c r="V157" s="223"/>
      <c r="W157" s="223"/>
      <c r="X157" s="223"/>
      <c r="Y157" s="223"/>
      <c r="Z157" s="223"/>
      <c r="AA157" s="223"/>
      <c r="AB157" s="223"/>
      <c r="AC157" s="223"/>
      <c r="AD157" s="223"/>
      <c r="AE157" s="223"/>
      <c r="AF157" s="223"/>
      <c r="AG157" s="223"/>
    </row>
    <row r="158" spans="10:33">
      <c r="J158" s="223"/>
      <c r="K158" s="223"/>
      <c r="L158" s="223"/>
      <c r="M158" s="223"/>
      <c r="N158" s="223"/>
      <c r="O158" s="223"/>
      <c r="P158" s="223"/>
      <c r="Q158" s="223"/>
      <c r="R158" s="223"/>
      <c r="S158" s="223"/>
      <c r="T158" s="223"/>
      <c r="U158" s="223"/>
      <c r="V158" s="223"/>
      <c r="W158" s="223"/>
      <c r="X158" s="223"/>
      <c r="Y158" s="223"/>
      <c r="Z158" s="223"/>
      <c r="AA158" s="223"/>
      <c r="AB158" s="223"/>
      <c r="AC158" s="223"/>
      <c r="AD158" s="223"/>
      <c r="AE158" s="223"/>
      <c r="AF158" s="223"/>
      <c r="AG158" s="223"/>
    </row>
    <row r="159" spans="10:33">
      <c r="J159" s="223"/>
      <c r="K159" s="223"/>
      <c r="L159" s="223"/>
      <c r="M159" s="223"/>
      <c r="N159" s="223"/>
      <c r="O159" s="223"/>
      <c r="P159" s="223"/>
      <c r="Q159" s="223"/>
      <c r="R159" s="223"/>
      <c r="S159" s="223"/>
      <c r="T159" s="223"/>
      <c r="U159" s="223"/>
      <c r="V159" s="223"/>
      <c r="W159" s="223"/>
      <c r="X159" s="223"/>
      <c r="Y159" s="223"/>
      <c r="Z159" s="223"/>
      <c r="AA159" s="223"/>
      <c r="AB159" s="223"/>
      <c r="AC159" s="223"/>
      <c r="AD159" s="223"/>
      <c r="AE159" s="223"/>
      <c r="AF159" s="223"/>
      <c r="AG159" s="223"/>
    </row>
    <row r="160" spans="10:33">
      <c r="J160" s="223"/>
      <c r="K160" s="223"/>
      <c r="L160" s="223"/>
      <c r="M160" s="223"/>
      <c r="N160" s="223"/>
      <c r="O160" s="223"/>
      <c r="P160" s="223"/>
      <c r="Q160" s="223"/>
      <c r="R160" s="223"/>
      <c r="S160" s="223"/>
      <c r="T160" s="223"/>
      <c r="U160" s="223"/>
      <c r="V160" s="223"/>
      <c r="W160" s="223"/>
      <c r="X160" s="223"/>
      <c r="Y160" s="223"/>
      <c r="Z160" s="223"/>
      <c r="AA160" s="223"/>
      <c r="AB160" s="223"/>
      <c r="AC160" s="223"/>
      <c r="AD160" s="223"/>
      <c r="AE160" s="223"/>
      <c r="AF160" s="223"/>
      <c r="AG160" s="223"/>
    </row>
    <row r="161" spans="10:33">
      <c r="J161" s="223"/>
      <c r="K161" s="223"/>
      <c r="L161" s="223"/>
      <c r="M161" s="223"/>
      <c r="N161" s="223"/>
      <c r="O161" s="223"/>
      <c r="P161" s="223"/>
      <c r="Q161" s="223"/>
      <c r="R161" s="223"/>
      <c r="S161" s="223"/>
      <c r="T161" s="223"/>
      <c r="U161" s="223"/>
      <c r="V161" s="223"/>
      <c r="W161" s="223"/>
      <c r="X161" s="223"/>
      <c r="Y161" s="223"/>
      <c r="Z161" s="223"/>
      <c r="AA161" s="223"/>
      <c r="AB161" s="223"/>
      <c r="AC161" s="223"/>
      <c r="AD161" s="223"/>
      <c r="AE161" s="223"/>
      <c r="AF161" s="223"/>
      <c r="AG161" s="223"/>
    </row>
    <row r="162" spans="10:33">
      <c r="J162" s="223"/>
      <c r="K162" s="223"/>
      <c r="L162" s="223"/>
      <c r="M162" s="223"/>
      <c r="N162" s="223"/>
      <c r="O162" s="223"/>
      <c r="P162" s="223"/>
      <c r="Q162" s="223"/>
      <c r="R162" s="223"/>
      <c r="S162" s="223"/>
      <c r="T162" s="223"/>
      <c r="U162" s="223"/>
      <c r="V162" s="223"/>
      <c r="W162" s="223"/>
      <c r="X162" s="223"/>
      <c r="Y162" s="223"/>
      <c r="Z162" s="223"/>
      <c r="AA162" s="223"/>
      <c r="AB162" s="223"/>
      <c r="AC162" s="223"/>
      <c r="AD162" s="223"/>
      <c r="AE162" s="223"/>
      <c r="AF162" s="223"/>
      <c r="AG162" s="223"/>
    </row>
    <row r="163" spans="10:33">
      <c r="J163" s="223"/>
      <c r="K163" s="223"/>
      <c r="L163" s="223"/>
      <c r="M163" s="223"/>
      <c r="N163" s="223"/>
      <c r="O163" s="223"/>
      <c r="P163" s="223"/>
      <c r="Q163" s="223"/>
      <c r="R163" s="223"/>
      <c r="S163" s="223"/>
      <c r="T163" s="223"/>
      <c r="U163" s="223"/>
      <c r="V163" s="223"/>
      <c r="W163" s="223"/>
      <c r="X163" s="223"/>
      <c r="Y163" s="223"/>
      <c r="Z163" s="223"/>
      <c r="AA163" s="223"/>
      <c r="AB163" s="223"/>
      <c r="AC163" s="223"/>
      <c r="AD163" s="223"/>
      <c r="AE163" s="223"/>
      <c r="AF163" s="223"/>
      <c r="AG163" s="223"/>
    </row>
    <row r="164" spans="10:33">
      <c r="J164" s="223"/>
      <c r="K164" s="223"/>
      <c r="L164" s="223"/>
      <c r="M164" s="223"/>
      <c r="N164" s="223"/>
      <c r="O164" s="223"/>
      <c r="P164" s="223"/>
      <c r="Q164" s="223"/>
      <c r="R164" s="223"/>
      <c r="S164" s="223"/>
      <c r="T164" s="223"/>
      <c r="U164" s="223"/>
      <c r="V164" s="223"/>
      <c r="W164" s="223"/>
      <c r="X164" s="223"/>
      <c r="Y164" s="223"/>
      <c r="Z164" s="223"/>
      <c r="AA164" s="223"/>
      <c r="AB164" s="223"/>
      <c r="AC164" s="223"/>
      <c r="AD164" s="223"/>
      <c r="AE164" s="223"/>
      <c r="AF164" s="223"/>
      <c r="AG164" s="223"/>
    </row>
    <row r="165" spans="10:33">
      <c r="J165" s="223"/>
      <c r="K165" s="223"/>
      <c r="L165" s="223"/>
      <c r="M165" s="223"/>
      <c r="N165" s="223"/>
      <c r="O165" s="223"/>
      <c r="P165" s="223"/>
      <c r="Q165" s="223"/>
      <c r="R165" s="223"/>
      <c r="S165" s="223"/>
      <c r="T165" s="223"/>
      <c r="U165" s="223"/>
      <c r="V165" s="223"/>
      <c r="W165" s="223"/>
      <c r="X165" s="223"/>
      <c r="Y165" s="223"/>
      <c r="Z165" s="223"/>
      <c r="AA165" s="223"/>
      <c r="AB165" s="223"/>
      <c r="AC165" s="223"/>
      <c r="AD165" s="223"/>
      <c r="AE165" s="223"/>
      <c r="AF165" s="223"/>
      <c r="AG165" s="223"/>
    </row>
    <row r="166" spans="10:33">
      <c r="J166" s="223"/>
      <c r="K166" s="223"/>
      <c r="L166" s="223"/>
      <c r="M166" s="223"/>
      <c r="N166" s="223"/>
      <c r="O166" s="223"/>
      <c r="P166" s="223"/>
      <c r="Q166" s="223"/>
      <c r="R166" s="223"/>
      <c r="S166" s="223"/>
      <c r="T166" s="223"/>
      <c r="U166" s="223"/>
      <c r="V166" s="223"/>
      <c r="W166" s="223"/>
      <c r="X166" s="223"/>
      <c r="Y166" s="223"/>
      <c r="Z166" s="223"/>
      <c r="AA166" s="223"/>
      <c r="AB166" s="223"/>
      <c r="AC166" s="223"/>
      <c r="AD166" s="223"/>
      <c r="AE166" s="223"/>
      <c r="AF166" s="223"/>
      <c r="AG166" s="223"/>
    </row>
    <row r="167" spans="10:33">
      <c r="J167" s="223"/>
      <c r="K167" s="223"/>
      <c r="L167" s="223"/>
      <c r="M167" s="223"/>
      <c r="N167" s="223"/>
      <c r="O167" s="223"/>
      <c r="P167" s="223"/>
      <c r="Q167" s="223"/>
      <c r="R167" s="223"/>
      <c r="S167" s="223"/>
      <c r="T167" s="223"/>
      <c r="U167" s="223"/>
      <c r="V167" s="223"/>
      <c r="W167" s="223"/>
      <c r="X167" s="223"/>
      <c r="Y167" s="223"/>
      <c r="Z167" s="223"/>
      <c r="AA167" s="223"/>
      <c r="AB167" s="223"/>
      <c r="AC167" s="223"/>
      <c r="AD167" s="223"/>
      <c r="AE167" s="223"/>
      <c r="AF167" s="223"/>
      <c r="AG167" s="223"/>
    </row>
    <row r="168" spans="10:33">
      <c r="J168" s="223"/>
      <c r="K168" s="223"/>
      <c r="L168" s="223"/>
      <c r="M168" s="223"/>
      <c r="N168" s="223"/>
      <c r="O168" s="223"/>
      <c r="P168" s="223"/>
      <c r="Q168" s="223"/>
      <c r="R168" s="223"/>
      <c r="S168" s="223"/>
      <c r="T168" s="223"/>
      <c r="U168" s="223"/>
      <c r="V168" s="223"/>
      <c r="W168" s="223"/>
      <c r="X168" s="223"/>
      <c r="Y168" s="223"/>
      <c r="Z168" s="223"/>
      <c r="AA168" s="223"/>
      <c r="AB168" s="223"/>
      <c r="AC168" s="223"/>
      <c r="AD168" s="223"/>
      <c r="AE168" s="223"/>
      <c r="AF168" s="223"/>
      <c r="AG168" s="223"/>
    </row>
    <row r="169" spans="10:33">
      <c r="J169" s="223"/>
      <c r="K169" s="223"/>
      <c r="L169" s="223"/>
      <c r="M169" s="223"/>
      <c r="N169" s="223"/>
      <c r="O169" s="223"/>
      <c r="P169" s="223"/>
      <c r="Q169" s="223"/>
      <c r="R169" s="223"/>
      <c r="S169" s="223"/>
      <c r="T169" s="223"/>
      <c r="U169" s="223"/>
      <c r="V169" s="223"/>
      <c r="W169" s="223"/>
      <c r="X169" s="223"/>
      <c r="Y169" s="223"/>
      <c r="Z169" s="223"/>
      <c r="AA169" s="223"/>
      <c r="AB169" s="223"/>
      <c r="AC169" s="223"/>
      <c r="AD169" s="223"/>
      <c r="AE169" s="223"/>
      <c r="AF169" s="223"/>
      <c r="AG169" s="223"/>
    </row>
    <row r="170" spans="10:33">
      <c r="J170" s="223"/>
      <c r="K170" s="223"/>
      <c r="L170" s="223"/>
      <c r="M170" s="223"/>
      <c r="N170" s="223"/>
      <c r="O170" s="223"/>
      <c r="P170" s="223"/>
      <c r="Q170" s="223"/>
      <c r="R170" s="223"/>
      <c r="S170" s="223"/>
      <c r="T170" s="223"/>
      <c r="U170" s="223"/>
      <c r="V170" s="223"/>
      <c r="W170" s="223"/>
      <c r="X170" s="223"/>
      <c r="Y170" s="223"/>
      <c r="Z170" s="223"/>
      <c r="AA170" s="223"/>
      <c r="AB170" s="223"/>
      <c r="AC170" s="223"/>
      <c r="AD170" s="223"/>
      <c r="AE170" s="223"/>
      <c r="AF170" s="223"/>
      <c r="AG170" s="223"/>
    </row>
    <row r="171" spans="10:33">
      <c r="J171" s="223"/>
      <c r="K171" s="223"/>
      <c r="L171" s="223"/>
      <c r="M171" s="223"/>
      <c r="N171" s="223"/>
      <c r="O171" s="223"/>
      <c r="P171" s="223"/>
      <c r="Q171" s="223"/>
      <c r="R171" s="223"/>
      <c r="S171" s="223"/>
      <c r="T171" s="223"/>
      <c r="U171" s="223"/>
      <c r="V171" s="223"/>
      <c r="W171" s="223"/>
      <c r="X171" s="223"/>
      <c r="Y171" s="223"/>
      <c r="Z171" s="223"/>
      <c r="AA171" s="223"/>
      <c r="AB171" s="223"/>
      <c r="AC171" s="223"/>
      <c r="AD171" s="223"/>
      <c r="AE171" s="223"/>
      <c r="AF171" s="223"/>
      <c r="AG171" s="223"/>
    </row>
    <row r="172" spans="10:33">
      <c r="J172" s="223"/>
      <c r="K172" s="223"/>
      <c r="L172" s="223"/>
      <c r="M172" s="223"/>
      <c r="N172" s="223"/>
      <c r="O172" s="223"/>
      <c r="P172" s="223"/>
      <c r="Q172" s="223"/>
      <c r="R172" s="223"/>
      <c r="S172" s="223"/>
      <c r="T172" s="223"/>
      <c r="U172" s="223"/>
      <c r="V172" s="223"/>
      <c r="W172" s="223"/>
      <c r="X172" s="223"/>
      <c r="Y172" s="223"/>
      <c r="Z172" s="223"/>
      <c r="AA172" s="223"/>
      <c r="AB172" s="223"/>
      <c r="AC172" s="223"/>
      <c r="AD172" s="223"/>
      <c r="AE172" s="223"/>
      <c r="AF172" s="223"/>
      <c r="AG172" s="223"/>
    </row>
    <row r="173" spans="10:33">
      <c r="J173" s="223"/>
      <c r="K173" s="223"/>
      <c r="L173" s="223"/>
      <c r="M173" s="223"/>
      <c r="N173" s="223"/>
      <c r="O173" s="223"/>
      <c r="P173" s="223"/>
      <c r="Q173" s="223"/>
      <c r="R173" s="223"/>
      <c r="S173" s="223"/>
      <c r="T173" s="223"/>
      <c r="U173" s="223"/>
      <c r="V173" s="223"/>
      <c r="W173" s="223"/>
      <c r="X173" s="223"/>
      <c r="Y173" s="223"/>
      <c r="Z173" s="223"/>
      <c r="AA173" s="223"/>
      <c r="AB173" s="223"/>
      <c r="AC173" s="223"/>
      <c r="AD173" s="223"/>
      <c r="AE173" s="223"/>
      <c r="AF173" s="223"/>
      <c r="AG173" s="223"/>
    </row>
    <row r="174" spans="10:33">
      <c r="J174" s="223"/>
      <c r="K174" s="223"/>
      <c r="L174" s="223"/>
      <c r="M174" s="223"/>
      <c r="N174" s="223"/>
      <c r="O174" s="223"/>
      <c r="P174" s="223"/>
      <c r="Q174" s="223"/>
      <c r="R174" s="223"/>
      <c r="S174" s="223"/>
      <c r="T174" s="223"/>
      <c r="U174" s="223"/>
      <c r="V174" s="223"/>
      <c r="W174" s="223"/>
      <c r="X174" s="223"/>
      <c r="Y174" s="223"/>
      <c r="Z174" s="223"/>
      <c r="AA174" s="223"/>
      <c r="AB174" s="223"/>
      <c r="AC174" s="223"/>
      <c r="AD174" s="223"/>
      <c r="AE174" s="223"/>
      <c r="AF174" s="223"/>
      <c r="AG174" s="223"/>
    </row>
    <row r="175" spans="10:33">
      <c r="J175" s="223"/>
      <c r="K175" s="223"/>
      <c r="L175" s="223"/>
      <c r="M175" s="223"/>
      <c r="N175" s="223"/>
      <c r="O175" s="223"/>
      <c r="P175" s="223"/>
      <c r="Q175" s="223"/>
      <c r="R175" s="223"/>
      <c r="S175" s="223"/>
      <c r="T175" s="223"/>
      <c r="U175" s="223"/>
      <c r="V175" s="223"/>
      <c r="W175" s="223"/>
      <c r="X175" s="223"/>
      <c r="Y175" s="223"/>
      <c r="Z175" s="223"/>
      <c r="AA175" s="223"/>
      <c r="AB175" s="223"/>
      <c r="AC175" s="223"/>
      <c r="AD175" s="223"/>
      <c r="AE175" s="223"/>
      <c r="AF175" s="223"/>
      <c r="AG175" s="223"/>
    </row>
    <row r="176" spans="10:33">
      <c r="J176" s="223"/>
      <c r="K176" s="223"/>
      <c r="L176" s="223"/>
      <c r="M176" s="223"/>
      <c r="N176" s="223"/>
      <c r="O176" s="223"/>
      <c r="P176" s="223"/>
      <c r="Q176" s="223"/>
      <c r="R176" s="223"/>
      <c r="S176" s="223"/>
      <c r="T176" s="223"/>
      <c r="U176" s="223"/>
      <c r="V176" s="223"/>
      <c r="W176" s="223"/>
      <c r="X176" s="223"/>
      <c r="Y176" s="223"/>
      <c r="Z176" s="223"/>
      <c r="AA176" s="223"/>
      <c r="AB176" s="223"/>
      <c r="AC176" s="223"/>
      <c r="AD176" s="223"/>
      <c r="AE176" s="223"/>
      <c r="AF176" s="223"/>
      <c r="AG176" s="223"/>
    </row>
    <row r="177" spans="10:33">
      <c r="J177" s="223"/>
      <c r="K177" s="223"/>
      <c r="L177" s="223"/>
      <c r="M177" s="223"/>
      <c r="N177" s="223"/>
      <c r="O177" s="223"/>
      <c r="P177" s="223"/>
      <c r="Q177" s="223"/>
      <c r="R177" s="223"/>
      <c r="S177" s="223"/>
      <c r="T177" s="223"/>
      <c r="U177" s="223"/>
      <c r="V177" s="223"/>
      <c r="W177" s="223"/>
      <c r="X177" s="223"/>
      <c r="Y177" s="223"/>
      <c r="Z177" s="223"/>
      <c r="AA177" s="223"/>
      <c r="AB177" s="223"/>
      <c r="AC177" s="223"/>
      <c r="AD177" s="223"/>
      <c r="AE177" s="223"/>
      <c r="AF177" s="223"/>
      <c r="AG177" s="223"/>
    </row>
    <row r="178" spans="10:33">
      <c r="J178" s="223"/>
      <c r="K178" s="223"/>
      <c r="L178" s="223"/>
      <c r="M178" s="223"/>
      <c r="N178" s="223"/>
      <c r="O178" s="223"/>
      <c r="P178" s="223"/>
      <c r="Q178" s="223"/>
      <c r="R178" s="223"/>
      <c r="S178" s="223"/>
      <c r="T178" s="223"/>
      <c r="U178" s="223"/>
      <c r="V178" s="223"/>
      <c r="W178" s="223"/>
      <c r="X178" s="223"/>
      <c r="Y178" s="223"/>
      <c r="Z178" s="223"/>
      <c r="AA178" s="223"/>
      <c r="AB178" s="223"/>
      <c r="AC178" s="223"/>
      <c r="AD178" s="223"/>
      <c r="AE178" s="223"/>
      <c r="AF178" s="223"/>
      <c r="AG178" s="223"/>
    </row>
    <row r="179" spans="10:33">
      <c r="J179" s="223"/>
      <c r="K179" s="223"/>
      <c r="L179" s="223"/>
      <c r="M179" s="223"/>
      <c r="N179" s="223"/>
      <c r="O179" s="223"/>
      <c r="P179" s="223"/>
      <c r="Q179" s="223"/>
      <c r="R179" s="223"/>
      <c r="S179" s="223"/>
      <c r="T179" s="223"/>
      <c r="U179" s="223"/>
      <c r="V179" s="223"/>
      <c r="W179" s="223"/>
      <c r="X179" s="223"/>
      <c r="Y179" s="223"/>
      <c r="Z179" s="223"/>
      <c r="AA179" s="223"/>
      <c r="AB179" s="223"/>
      <c r="AC179" s="223"/>
      <c r="AD179" s="223"/>
      <c r="AE179" s="223"/>
      <c r="AF179" s="223"/>
      <c r="AG179" s="223"/>
    </row>
    <row r="180" spans="10:33">
      <c r="J180" s="223"/>
      <c r="K180" s="223"/>
      <c r="L180" s="223"/>
      <c r="M180" s="223"/>
      <c r="N180" s="223"/>
      <c r="O180" s="223"/>
      <c r="P180" s="223"/>
      <c r="Q180" s="223"/>
      <c r="R180" s="223"/>
      <c r="S180" s="223"/>
      <c r="T180" s="223"/>
      <c r="U180" s="223"/>
      <c r="V180" s="223"/>
      <c r="W180" s="223"/>
      <c r="X180" s="223"/>
      <c r="Y180" s="223"/>
      <c r="Z180" s="223"/>
      <c r="AA180" s="223"/>
      <c r="AB180" s="223"/>
      <c r="AC180" s="223"/>
      <c r="AD180" s="223"/>
      <c r="AE180" s="223"/>
      <c r="AF180" s="223"/>
      <c r="AG180" s="223"/>
    </row>
    <row r="181" spans="10:33">
      <c r="J181" s="223"/>
      <c r="K181" s="223"/>
      <c r="L181" s="223"/>
      <c r="M181" s="223"/>
      <c r="N181" s="223"/>
      <c r="O181" s="223"/>
      <c r="P181" s="223"/>
      <c r="Q181" s="223"/>
      <c r="R181" s="223"/>
      <c r="S181" s="223"/>
      <c r="T181" s="223"/>
      <c r="U181" s="223"/>
      <c r="V181" s="223"/>
      <c r="W181" s="223"/>
      <c r="X181" s="223"/>
      <c r="Y181" s="223"/>
      <c r="Z181" s="223"/>
      <c r="AA181" s="223"/>
      <c r="AB181" s="223"/>
      <c r="AC181" s="223"/>
      <c r="AD181" s="223"/>
      <c r="AE181" s="223"/>
      <c r="AF181" s="223"/>
      <c r="AG181" s="223"/>
    </row>
    <row r="182" spans="10:33">
      <c r="J182" s="223"/>
      <c r="K182" s="223"/>
      <c r="L182" s="223"/>
      <c r="M182" s="223"/>
      <c r="N182" s="223"/>
      <c r="O182" s="223"/>
      <c r="P182" s="223"/>
      <c r="Q182" s="223"/>
      <c r="R182" s="223"/>
      <c r="S182" s="223"/>
      <c r="T182" s="223"/>
      <c r="U182" s="223"/>
      <c r="V182" s="223"/>
      <c r="W182" s="223"/>
      <c r="X182" s="223"/>
      <c r="Y182" s="223"/>
      <c r="Z182" s="223"/>
      <c r="AA182" s="223"/>
      <c r="AB182" s="223"/>
      <c r="AC182" s="223"/>
      <c r="AD182" s="223"/>
      <c r="AE182" s="223"/>
      <c r="AF182" s="223"/>
      <c r="AG182" s="223"/>
    </row>
    <row r="183" spans="10:33">
      <c r="J183" s="223"/>
      <c r="K183" s="223"/>
      <c r="L183" s="223"/>
      <c r="M183" s="223"/>
      <c r="N183" s="223"/>
      <c r="O183" s="223"/>
      <c r="P183" s="223"/>
      <c r="Q183" s="223"/>
      <c r="R183" s="223"/>
      <c r="S183" s="223"/>
      <c r="T183" s="223"/>
      <c r="U183" s="223"/>
      <c r="V183" s="223"/>
      <c r="W183" s="223"/>
      <c r="X183" s="223"/>
      <c r="Y183" s="223"/>
      <c r="Z183" s="223"/>
      <c r="AA183" s="223"/>
      <c r="AB183" s="223"/>
      <c r="AC183" s="223"/>
      <c r="AD183" s="223"/>
      <c r="AE183" s="223"/>
      <c r="AF183" s="223"/>
      <c r="AG183" s="223"/>
    </row>
    <row r="184" spans="10:33">
      <c r="J184" s="223"/>
      <c r="K184" s="223"/>
      <c r="L184" s="223"/>
      <c r="M184" s="223"/>
      <c r="N184" s="223"/>
      <c r="O184" s="223"/>
      <c r="P184" s="223"/>
      <c r="Q184" s="223"/>
      <c r="R184" s="223"/>
      <c r="S184" s="223"/>
      <c r="T184" s="223"/>
      <c r="U184" s="223"/>
      <c r="V184" s="223"/>
      <c r="W184" s="223"/>
      <c r="X184" s="223"/>
      <c r="Y184" s="223"/>
      <c r="Z184" s="223"/>
      <c r="AA184" s="223"/>
      <c r="AB184" s="223"/>
      <c r="AC184" s="223"/>
      <c r="AD184" s="223"/>
      <c r="AE184" s="223"/>
      <c r="AF184" s="223"/>
      <c r="AG184" s="223"/>
    </row>
    <row r="185" spans="10:33">
      <c r="J185" s="223"/>
      <c r="K185" s="223"/>
      <c r="L185" s="223"/>
      <c r="M185" s="223"/>
      <c r="N185" s="223"/>
      <c r="O185" s="223"/>
      <c r="P185" s="223"/>
      <c r="Q185" s="223"/>
      <c r="R185" s="223"/>
      <c r="S185" s="223"/>
      <c r="T185" s="223"/>
      <c r="U185" s="223"/>
      <c r="V185" s="223"/>
      <c r="W185" s="223"/>
      <c r="X185" s="223"/>
      <c r="Y185" s="223"/>
      <c r="Z185" s="223"/>
      <c r="AA185" s="223"/>
      <c r="AB185" s="223"/>
      <c r="AC185" s="223"/>
      <c r="AD185" s="223"/>
      <c r="AE185" s="223"/>
      <c r="AF185" s="223"/>
      <c r="AG185" s="223"/>
    </row>
    <row r="186" spans="10:33">
      <c r="J186" s="223"/>
      <c r="K186" s="223"/>
      <c r="L186" s="223"/>
      <c r="M186" s="223"/>
      <c r="N186" s="223"/>
      <c r="O186" s="223"/>
      <c r="P186" s="223"/>
      <c r="Q186" s="223"/>
      <c r="R186" s="223"/>
      <c r="S186" s="223"/>
      <c r="T186" s="223"/>
      <c r="U186" s="223"/>
      <c r="V186" s="223"/>
      <c r="W186" s="223"/>
      <c r="X186" s="223"/>
      <c r="Y186" s="223"/>
      <c r="Z186" s="223"/>
      <c r="AA186" s="223"/>
      <c r="AB186" s="223"/>
      <c r="AC186" s="223"/>
      <c r="AD186" s="223"/>
      <c r="AE186" s="223"/>
      <c r="AF186" s="223"/>
      <c r="AG186" s="223"/>
    </row>
    <row r="187" spans="10:33">
      <c r="J187" s="223"/>
      <c r="K187" s="223"/>
      <c r="L187" s="223"/>
      <c r="M187" s="223"/>
      <c r="N187" s="223"/>
      <c r="O187" s="223"/>
      <c r="P187" s="223"/>
      <c r="Q187" s="223"/>
      <c r="R187" s="223"/>
      <c r="S187" s="223"/>
      <c r="T187" s="223"/>
      <c r="U187" s="223"/>
      <c r="V187" s="223"/>
      <c r="W187" s="223"/>
      <c r="X187" s="223"/>
      <c r="Y187" s="223"/>
      <c r="Z187" s="223"/>
      <c r="AA187" s="223"/>
      <c r="AB187" s="223"/>
      <c r="AC187" s="223"/>
      <c r="AD187" s="223"/>
      <c r="AE187" s="223"/>
      <c r="AF187" s="223"/>
      <c r="AG187" s="223"/>
    </row>
    <row r="188" spans="10:33">
      <c r="J188" s="223"/>
      <c r="K188" s="223"/>
      <c r="L188" s="223"/>
      <c r="M188" s="223"/>
      <c r="N188" s="223"/>
      <c r="O188" s="223"/>
      <c r="P188" s="223"/>
      <c r="Q188" s="223"/>
      <c r="R188" s="223"/>
      <c r="S188" s="223"/>
      <c r="T188" s="223"/>
      <c r="U188" s="223"/>
      <c r="V188" s="223"/>
      <c r="W188" s="223"/>
      <c r="X188" s="223"/>
      <c r="Y188" s="223"/>
      <c r="Z188" s="223"/>
      <c r="AA188" s="223"/>
      <c r="AB188" s="223"/>
      <c r="AC188" s="223"/>
      <c r="AD188" s="223"/>
      <c r="AE188" s="223"/>
      <c r="AF188" s="223"/>
      <c r="AG188" s="223"/>
    </row>
    <row r="189" spans="10:33">
      <c r="J189" s="223"/>
      <c r="K189" s="223"/>
      <c r="L189" s="223"/>
      <c r="M189" s="223"/>
      <c r="N189" s="223"/>
      <c r="O189" s="223"/>
      <c r="P189" s="223"/>
      <c r="Q189" s="223"/>
      <c r="R189" s="223"/>
      <c r="S189" s="223"/>
      <c r="T189" s="223"/>
      <c r="U189" s="223"/>
      <c r="V189" s="223"/>
      <c r="W189" s="223"/>
      <c r="X189" s="223"/>
      <c r="Y189" s="223"/>
      <c r="Z189" s="223"/>
      <c r="AA189" s="223"/>
      <c r="AB189" s="223"/>
      <c r="AC189" s="223"/>
      <c r="AD189" s="223"/>
      <c r="AE189" s="223"/>
      <c r="AF189" s="223"/>
      <c r="AG189" s="223"/>
    </row>
    <row r="190" spans="10:33">
      <c r="J190" s="223"/>
      <c r="K190" s="223"/>
      <c r="L190" s="223"/>
      <c r="M190" s="223"/>
      <c r="N190" s="223"/>
      <c r="O190" s="223"/>
      <c r="P190" s="223"/>
      <c r="Q190" s="223"/>
      <c r="R190" s="223"/>
      <c r="S190" s="223"/>
      <c r="T190" s="223"/>
      <c r="U190" s="223"/>
      <c r="V190" s="223"/>
      <c r="W190" s="223"/>
      <c r="X190" s="223"/>
      <c r="Y190" s="223"/>
      <c r="Z190" s="223"/>
      <c r="AA190" s="223"/>
      <c r="AB190" s="223"/>
      <c r="AC190" s="223"/>
      <c r="AD190" s="223"/>
      <c r="AE190" s="223"/>
      <c r="AF190" s="223"/>
      <c r="AG190" s="223"/>
    </row>
    <row r="191" spans="10:33">
      <c r="J191" s="223"/>
      <c r="K191" s="223"/>
      <c r="L191" s="223"/>
      <c r="M191" s="223"/>
      <c r="N191" s="223"/>
      <c r="O191" s="223"/>
      <c r="P191" s="223"/>
      <c r="Q191" s="223"/>
      <c r="R191" s="223"/>
      <c r="S191" s="223"/>
      <c r="T191" s="223"/>
      <c r="U191" s="223"/>
      <c r="V191" s="223"/>
      <c r="W191" s="223"/>
      <c r="X191" s="223"/>
      <c r="Y191" s="223"/>
      <c r="Z191" s="223"/>
      <c r="AA191" s="223"/>
      <c r="AB191" s="223"/>
      <c r="AC191" s="223"/>
      <c r="AD191" s="223"/>
      <c r="AE191" s="223"/>
      <c r="AF191" s="223"/>
      <c r="AG191" s="223"/>
    </row>
    <row r="192" spans="10:33">
      <c r="J192" s="223"/>
      <c r="K192" s="223"/>
      <c r="L192" s="223"/>
      <c r="M192" s="223"/>
      <c r="N192" s="223"/>
      <c r="O192" s="223"/>
      <c r="P192" s="223"/>
      <c r="Q192" s="223"/>
      <c r="R192" s="223"/>
      <c r="S192" s="223"/>
      <c r="T192" s="223"/>
      <c r="U192" s="223"/>
      <c r="V192" s="223"/>
      <c r="W192" s="223"/>
      <c r="X192" s="223"/>
      <c r="Y192" s="223"/>
      <c r="Z192" s="223"/>
      <c r="AA192" s="223"/>
      <c r="AB192" s="223"/>
      <c r="AC192" s="223"/>
      <c r="AD192" s="223"/>
      <c r="AE192" s="223"/>
      <c r="AF192" s="223"/>
      <c r="AG192" s="223"/>
    </row>
    <row r="193" spans="10:33">
      <c r="J193" s="223"/>
      <c r="K193" s="223"/>
      <c r="L193" s="223"/>
      <c r="M193" s="223"/>
      <c r="N193" s="223"/>
      <c r="O193" s="223"/>
      <c r="P193" s="223"/>
      <c r="Q193" s="223"/>
      <c r="R193" s="223"/>
      <c r="S193" s="223"/>
      <c r="T193" s="223"/>
      <c r="U193" s="223"/>
      <c r="V193" s="223"/>
      <c r="W193" s="223"/>
      <c r="X193" s="223"/>
      <c r="Y193" s="223"/>
      <c r="Z193" s="223"/>
      <c r="AA193" s="223"/>
      <c r="AB193" s="223"/>
      <c r="AC193" s="223"/>
      <c r="AD193" s="223"/>
      <c r="AE193" s="223"/>
      <c r="AF193" s="223"/>
      <c r="AG193" s="223"/>
    </row>
    <row r="194" spans="10:33">
      <c r="J194" s="223"/>
      <c r="K194" s="223"/>
      <c r="L194" s="223"/>
      <c r="M194" s="223"/>
      <c r="N194" s="223"/>
      <c r="O194" s="223"/>
      <c r="P194" s="223"/>
      <c r="Q194" s="223"/>
      <c r="R194" s="223"/>
      <c r="S194" s="223"/>
      <c r="T194" s="223"/>
      <c r="U194" s="223"/>
      <c r="V194" s="223"/>
      <c r="W194" s="223"/>
      <c r="X194" s="223"/>
      <c r="Y194" s="223"/>
      <c r="Z194" s="223"/>
      <c r="AA194" s="223"/>
      <c r="AB194" s="223"/>
      <c r="AC194" s="223"/>
      <c r="AD194" s="223"/>
      <c r="AE194" s="223"/>
      <c r="AF194" s="223"/>
      <c r="AG194" s="223"/>
    </row>
    <row r="195" spans="10:33">
      <c r="J195" s="223"/>
      <c r="K195" s="223"/>
      <c r="L195" s="223"/>
      <c r="M195" s="223"/>
      <c r="N195" s="223"/>
      <c r="O195" s="223"/>
      <c r="P195" s="223"/>
      <c r="Q195" s="223"/>
      <c r="R195" s="223"/>
      <c r="S195" s="223"/>
      <c r="T195" s="223"/>
      <c r="U195" s="223"/>
      <c r="V195" s="223"/>
      <c r="W195" s="223"/>
      <c r="X195" s="223"/>
      <c r="Y195" s="223"/>
      <c r="Z195" s="223"/>
      <c r="AA195" s="223"/>
      <c r="AB195" s="223"/>
      <c r="AC195" s="223"/>
      <c r="AD195" s="223"/>
      <c r="AE195" s="223"/>
      <c r="AF195" s="223"/>
      <c r="AG195" s="223"/>
    </row>
    <row r="196" spans="10:33">
      <c r="J196" s="223"/>
      <c r="K196" s="223"/>
      <c r="L196" s="223"/>
      <c r="M196" s="223"/>
      <c r="N196" s="223"/>
      <c r="O196" s="223"/>
      <c r="P196" s="223"/>
      <c r="Q196" s="223"/>
      <c r="R196" s="223"/>
      <c r="S196" s="223"/>
      <c r="T196" s="223"/>
      <c r="U196" s="223"/>
      <c r="V196" s="223"/>
      <c r="W196" s="223"/>
      <c r="X196" s="223"/>
      <c r="Y196" s="223"/>
      <c r="Z196" s="223"/>
      <c r="AA196" s="223"/>
      <c r="AB196" s="223"/>
      <c r="AC196" s="223"/>
      <c r="AD196" s="223"/>
      <c r="AE196" s="223"/>
      <c r="AF196" s="223"/>
      <c r="AG196" s="223"/>
    </row>
    <row r="197" spans="10:33">
      <c r="J197" s="223"/>
      <c r="K197" s="223"/>
      <c r="L197" s="223"/>
      <c r="M197" s="223"/>
      <c r="N197" s="223"/>
      <c r="O197" s="223"/>
      <c r="P197" s="223"/>
      <c r="Q197" s="223"/>
      <c r="R197" s="223"/>
      <c r="S197" s="223"/>
      <c r="T197" s="223"/>
      <c r="U197" s="223"/>
      <c r="V197" s="223"/>
      <c r="W197" s="223"/>
      <c r="X197" s="223"/>
      <c r="Y197" s="223"/>
      <c r="Z197" s="223"/>
      <c r="AA197" s="223"/>
      <c r="AB197" s="223"/>
      <c r="AC197" s="223"/>
      <c r="AD197" s="223"/>
      <c r="AE197" s="223"/>
      <c r="AF197" s="223"/>
      <c r="AG197" s="223"/>
    </row>
    <row r="198" spans="10:33">
      <c r="J198" s="223"/>
      <c r="K198" s="223"/>
      <c r="L198" s="223"/>
      <c r="M198" s="223"/>
      <c r="N198" s="223"/>
      <c r="O198" s="223"/>
      <c r="P198" s="223"/>
      <c r="Q198" s="223"/>
      <c r="R198" s="223"/>
      <c r="S198" s="223"/>
      <c r="T198" s="223"/>
      <c r="U198" s="223"/>
      <c r="V198" s="223"/>
      <c r="W198" s="223"/>
      <c r="X198" s="223"/>
      <c r="Y198" s="223"/>
      <c r="Z198" s="223"/>
      <c r="AA198" s="223"/>
      <c r="AB198" s="223"/>
      <c r="AC198" s="223"/>
      <c r="AD198" s="223"/>
      <c r="AE198" s="223"/>
      <c r="AF198" s="223"/>
      <c r="AG198" s="223"/>
    </row>
    <row r="199" spans="10:33">
      <c r="J199" s="223"/>
      <c r="K199" s="223"/>
      <c r="L199" s="223"/>
      <c r="M199" s="223"/>
      <c r="N199" s="223"/>
      <c r="O199" s="223"/>
      <c r="P199" s="223"/>
      <c r="Q199" s="223"/>
      <c r="R199" s="223"/>
      <c r="S199" s="223"/>
      <c r="T199" s="223"/>
      <c r="U199" s="223"/>
      <c r="V199" s="223"/>
      <c r="W199" s="223"/>
      <c r="X199" s="223"/>
      <c r="Y199" s="223"/>
      <c r="Z199" s="223"/>
      <c r="AA199" s="223"/>
      <c r="AB199" s="223"/>
      <c r="AC199" s="223"/>
      <c r="AD199" s="223"/>
      <c r="AE199" s="223"/>
      <c r="AF199" s="223"/>
      <c r="AG199" s="223"/>
    </row>
    <row r="200" spans="10:33">
      <c r="J200" s="223"/>
      <c r="K200" s="223"/>
      <c r="L200" s="223"/>
      <c r="M200" s="223"/>
      <c r="N200" s="223"/>
      <c r="O200" s="223"/>
      <c r="P200" s="223"/>
      <c r="Q200" s="223"/>
      <c r="R200" s="223"/>
      <c r="S200" s="223"/>
      <c r="T200" s="223"/>
      <c r="U200" s="223"/>
      <c r="V200" s="223"/>
      <c r="W200" s="223"/>
      <c r="X200" s="223"/>
      <c r="Y200" s="223"/>
      <c r="Z200" s="223"/>
      <c r="AA200" s="223"/>
      <c r="AB200" s="223"/>
      <c r="AC200" s="223"/>
      <c r="AD200" s="223"/>
      <c r="AE200" s="223"/>
      <c r="AF200" s="223"/>
      <c r="AG200" s="223"/>
    </row>
    <row r="201" spans="10:33">
      <c r="J201" s="223"/>
      <c r="K201" s="223"/>
      <c r="L201" s="223"/>
      <c r="M201" s="223"/>
      <c r="N201" s="223"/>
      <c r="O201" s="223"/>
      <c r="P201" s="223"/>
      <c r="Q201" s="223"/>
      <c r="R201" s="223"/>
      <c r="S201" s="223"/>
      <c r="T201" s="223"/>
      <c r="U201" s="223"/>
      <c r="V201" s="223"/>
      <c r="W201" s="223"/>
      <c r="X201" s="223"/>
      <c r="Y201" s="223"/>
      <c r="Z201" s="223"/>
      <c r="AA201" s="223"/>
      <c r="AB201" s="223"/>
      <c r="AC201" s="223"/>
      <c r="AD201" s="223"/>
      <c r="AE201" s="223"/>
      <c r="AF201" s="223"/>
      <c r="AG201" s="223"/>
    </row>
    <row r="202" spans="10:33">
      <c r="J202" s="223"/>
      <c r="K202" s="223"/>
      <c r="L202" s="223"/>
      <c r="M202" s="223"/>
      <c r="N202" s="223"/>
      <c r="O202" s="223"/>
      <c r="P202" s="223"/>
      <c r="Q202" s="223"/>
      <c r="R202" s="223"/>
      <c r="S202" s="223"/>
      <c r="T202" s="223"/>
      <c r="U202" s="223"/>
      <c r="V202" s="223"/>
      <c r="W202" s="223"/>
      <c r="X202" s="223"/>
      <c r="Y202" s="223"/>
      <c r="Z202" s="223"/>
      <c r="AA202" s="223"/>
      <c r="AB202" s="223"/>
      <c r="AC202" s="223"/>
      <c r="AD202" s="223"/>
      <c r="AE202" s="223"/>
      <c r="AF202" s="223"/>
      <c r="AG202" s="223"/>
    </row>
    <row r="203" spans="10:33">
      <c r="J203" s="223"/>
      <c r="K203" s="223"/>
      <c r="L203" s="223"/>
      <c r="M203" s="223"/>
      <c r="N203" s="223"/>
      <c r="O203" s="223"/>
      <c r="P203" s="223"/>
      <c r="Q203" s="223"/>
      <c r="R203" s="223"/>
      <c r="S203" s="223"/>
      <c r="T203" s="223"/>
      <c r="U203" s="223"/>
      <c r="V203" s="223"/>
      <c r="W203" s="223"/>
      <c r="X203" s="223"/>
      <c r="Y203" s="223"/>
      <c r="Z203" s="223"/>
      <c r="AA203" s="223"/>
      <c r="AB203" s="223"/>
      <c r="AC203" s="223"/>
      <c r="AD203" s="223"/>
      <c r="AE203" s="223"/>
      <c r="AF203" s="223"/>
      <c r="AG203" s="223"/>
    </row>
    <row r="204" spans="10:33">
      <c r="J204" s="223"/>
      <c r="K204" s="223"/>
      <c r="L204" s="223"/>
      <c r="M204" s="223"/>
      <c r="N204" s="223"/>
      <c r="O204" s="223"/>
      <c r="P204" s="223"/>
      <c r="Q204" s="223"/>
      <c r="R204" s="223"/>
      <c r="S204" s="223"/>
      <c r="T204" s="223"/>
      <c r="U204" s="223"/>
      <c r="V204" s="223"/>
      <c r="W204" s="223"/>
      <c r="X204" s="223"/>
      <c r="Y204" s="223"/>
      <c r="Z204" s="223"/>
      <c r="AA204" s="223"/>
      <c r="AB204" s="223"/>
      <c r="AC204" s="223"/>
      <c r="AD204" s="223"/>
      <c r="AE204" s="223"/>
      <c r="AF204" s="223"/>
      <c r="AG204" s="223"/>
    </row>
    <row r="205" spans="10:33">
      <c r="J205" s="223"/>
      <c r="K205" s="223"/>
      <c r="L205" s="223"/>
      <c r="M205" s="223"/>
      <c r="N205" s="223"/>
      <c r="O205" s="223"/>
      <c r="P205" s="223"/>
      <c r="Q205" s="223"/>
      <c r="R205" s="223"/>
      <c r="S205" s="223"/>
      <c r="T205" s="223"/>
      <c r="U205" s="223"/>
      <c r="V205" s="223"/>
      <c r="W205" s="223"/>
      <c r="X205" s="223"/>
      <c r="Y205" s="223"/>
      <c r="Z205" s="223"/>
      <c r="AA205" s="223"/>
      <c r="AB205" s="223"/>
      <c r="AC205" s="223"/>
      <c r="AD205" s="223"/>
      <c r="AE205" s="223"/>
      <c r="AF205" s="223"/>
      <c r="AG205" s="223"/>
    </row>
    <row r="206" spans="10:33">
      <c r="J206" s="223"/>
      <c r="K206" s="223"/>
      <c r="L206" s="223"/>
      <c r="M206" s="223"/>
      <c r="N206" s="223"/>
      <c r="O206" s="223"/>
      <c r="P206" s="223"/>
      <c r="Q206" s="223"/>
      <c r="R206" s="223"/>
      <c r="S206" s="223"/>
      <c r="T206" s="223"/>
      <c r="U206" s="223"/>
      <c r="V206" s="223"/>
      <c r="W206" s="223"/>
      <c r="X206" s="223"/>
      <c r="Y206" s="223"/>
      <c r="Z206" s="223"/>
      <c r="AA206" s="223"/>
      <c r="AB206" s="223"/>
      <c r="AC206" s="223"/>
      <c r="AD206" s="223"/>
      <c r="AE206" s="223"/>
      <c r="AF206" s="223"/>
      <c r="AG206" s="223"/>
    </row>
    <row r="207" spans="10:33">
      <c r="J207" s="223"/>
      <c r="K207" s="223"/>
      <c r="L207" s="223"/>
      <c r="M207" s="223"/>
      <c r="N207" s="223"/>
      <c r="O207" s="223"/>
      <c r="P207" s="223"/>
      <c r="Q207" s="223"/>
      <c r="R207" s="223"/>
      <c r="S207" s="223"/>
      <c r="T207" s="223"/>
      <c r="U207" s="223"/>
      <c r="V207" s="223"/>
      <c r="W207" s="223"/>
      <c r="X207" s="223"/>
      <c r="Y207" s="223"/>
      <c r="Z207" s="223"/>
      <c r="AA207" s="223"/>
      <c r="AB207" s="223"/>
      <c r="AC207" s="223"/>
      <c r="AD207" s="223"/>
      <c r="AE207" s="223"/>
      <c r="AF207" s="223"/>
      <c r="AG207" s="223"/>
    </row>
    <row r="208" spans="10:33">
      <c r="J208" s="223"/>
      <c r="K208" s="223"/>
      <c r="L208" s="223"/>
      <c r="M208" s="223"/>
      <c r="N208" s="223"/>
      <c r="O208" s="223"/>
      <c r="P208" s="223"/>
      <c r="Q208" s="223"/>
      <c r="R208" s="223"/>
      <c r="S208" s="223"/>
      <c r="T208" s="223"/>
      <c r="U208" s="223"/>
      <c r="V208" s="223"/>
      <c r="W208" s="223"/>
      <c r="X208" s="223"/>
      <c r="Y208" s="223"/>
      <c r="Z208" s="223"/>
      <c r="AA208" s="223"/>
      <c r="AB208" s="223"/>
      <c r="AC208" s="223"/>
      <c r="AD208" s="223"/>
      <c r="AE208" s="223"/>
      <c r="AF208" s="223"/>
      <c r="AG208" s="223"/>
    </row>
    <row r="209" spans="10:33">
      <c r="J209" s="223"/>
      <c r="K209" s="223"/>
      <c r="L209" s="223"/>
      <c r="M209" s="223"/>
      <c r="N209" s="223"/>
      <c r="O209" s="223"/>
      <c r="P209" s="223"/>
      <c r="Q209" s="223"/>
      <c r="R209" s="223"/>
      <c r="S209" s="223"/>
      <c r="T209" s="223"/>
      <c r="U209" s="223"/>
      <c r="V209" s="223"/>
      <c r="W209" s="223"/>
      <c r="X209" s="223"/>
      <c r="Y209" s="223"/>
      <c r="Z209" s="223"/>
      <c r="AA209" s="223"/>
      <c r="AB209" s="223"/>
      <c r="AC209" s="223"/>
      <c r="AD209" s="223"/>
      <c r="AE209" s="223"/>
      <c r="AF209" s="223"/>
      <c r="AG209" s="223"/>
    </row>
    <row r="210" spans="10:33">
      <c r="J210" s="223"/>
      <c r="K210" s="223"/>
      <c r="L210" s="223"/>
      <c r="M210" s="223"/>
      <c r="N210" s="223"/>
      <c r="O210" s="223"/>
      <c r="P210" s="223"/>
      <c r="Q210" s="223"/>
      <c r="R210" s="223"/>
      <c r="S210" s="223"/>
      <c r="T210" s="223"/>
      <c r="U210" s="223"/>
      <c r="V210" s="223"/>
      <c r="W210" s="223"/>
      <c r="X210" s="223"/>
      <c r="Y210" s="223"/>
      <c r="Z210" s="223"/>
      <c r="AA210" s="223"/>
      <c r="AB210" s="223"/>
      <c r="AC210" s="223"/>
      <c r="AD210" s="223"/>
      <c r="AE210" s="223"/>
      <c r="AF210" s="223"/>
      <c r="AG210" s="223"/>
    </row>
    <row r="211" spans="10:33">
      <c r="J211" s="223"/>
      <c r="K211" s="223"/>
      <c r="L211" s="223"/>
      <c r="M211" s="223"/>
      <c r="N211" s="223"/>
      <c r="O211" s="223"/>
      <c r="P211" s="223"/>
      <c r="Q211" s="223"/>
      <c r="R211" s="223"/>
      <c r="S211" s="223"/>
      <c r="T211" s="223"/>
      <c r="U211" s="223"/>
      <c r="V211" s="223"/>
      <c r="W211" s="223"/>
      <c r="X211" s="223"/>
      <c r="Y211" s="223"/>
      <c r="Z211" s="223"/>
      <c r="AA211" s="223"/>
      <c r="AB211" s="223"/>
      <c r="AC211" s="223"/>
      <c r="AD211" s="223"/>
      <c r="AE211" s="223"/>
      <c r="AF211" s="223"/>
      <c r="AG211" s="223"/>
    </row>
    <row r="212" spans="10:33">
      <c r="J212" s="223"/>
      <c r="K212" s="223"/>
      <c r="L212" s="223"/>
      <c r="M212" s="223"/>
      <c r="N212" s="223"/>
      <c r="O212" s="223"/>
      <c r="P212" s="223"/>
      <c r="Q212" s="223"/>
      <c r="R212" s="223"/>
      <c r="S212" s="223"/>
      <c r="T212" s="223"/>
      <c r="U212" s="223"/>
      <c r="V212" s="223"/>
      <c r="W212" s="223"/>
      <c r="X212" s="223"/>
      <c r="Y212" s="223"/>
      <c r="Z212" s="223"/>
      <c r="AA212" s="223"/>
      <c r="AB212" s="223"/>
      <c r="AC212" s="223"/>
      <c r="AD212" s="223"/>
      <c r="AE212" s="223"/>
      <c r="AF212" s="223"/>
      <c r="AG212" s="223"/>
    </row>
    <row r="213" spans="10:33">
      <c r="J213" s="223"/>
      <c r="K213" s="223"/>
      <c r="L213" s="223"/>
      <c r="M213" s="223"/>
      <c r="N213" s="223"/>
      <c r="O213" s="223"/>
      <c r="P213" s="223"/>
      <c r="Q213" s="223"/>
      <c r="R213" s="223"/>
      <c r="S213" s="223"/>
      <c r="T213" s="223"/>
      <c r="U213" s="223"/>
      <c r="V213" s="223"/>
      <c r="W213" s="223"/>
      <c r="X213" s="223"/>
      <c r="Y213" s="223"/>
      <c r="Z213" s="223"/>
      <c r="AA213" s="223"/>
      <c r="AB213" s="223"/>
      <c r="AC213" s="223"/>
      <c r="AD213" s="223"/>
      <c r="AE213" s="223"/>
      <c r="AF213" s="223"/>
      <c r="AG213" s="223"/>
    </row>
    <row r="214" spans="10:33">
      <c r="J214" s="223"/>
      <c r="K214" s="223"/>
      <c r="L214" s="223"/>
      <c r="M214" s="223"/>
      <c r="N214" s="223"/>
      <c r="O214" s="223"/>
      <c r="P214" s="223"/>
      <c r="Q214" s="223"/>
      <c r="R214" s="223"/>
      <c r="S214" s="223"/>
      <c r="T214" s="223"/>
      <c r="U214" s="223"/>
      <c r="V214" s="223"/>
      <c r="W214" s="223"/>
      <c r="X214" s="223"/>
      <c r="Y214" s="223"/>
      <c r="Z214" s="223"/>
      <c r="AA214" s="223"/>
      <c r="AB214" s="223"/>
      <c r="AC214" s="223"/>
      <c r="AD214" s="223"/>
      <c r="AE214" s="223"/>
      <c r="AF214" s="223"/>
      <c r="AG214" s="223"/>
    </row>
    <row r="215" spans="10:33">
      <c r="J215" s="223"/>
      <c r="K215" s="223"/>
      <c r="L215" s="223"/>
      <c r="M215" s="223"/>
      <c r="N215" s="223"/>
      <c r="O215" s="223"/>
      <c r="P215" s="223"/>
      <c r="Q215" s="223"/>
      <c r="R215" s="223"/>
      <c r="S215" s="223"/>
      <c r="T215" s="223"/>
      <c r="U215" s="223"/>
      <c r="V215" s="223"/>
      <c r="W215" s="223"/>
      <c r="X215" s="223"/>
      <c r="Y215" s="223"/>
      <c r="Z215" s="223"/>
      <c r="AA215" s="223"/>
      <c r="AB215" s="223"/>
      <c r="AC215" s="223"/>
      <c r="AD215" s="223"/>
      <c r="AE215" s="223"/>
      <c r="AF215" s="223"/>
      <c r="AG215" s="223"/>
    </row>
    <row r="216" spans="10:33">
      <c r="J216" s="223"/>
      <c r="K216" s="223"/>
      <c r="L216" s="223"/>
      <c r="M216" s="223"/>
      <c r="N216" s="223"/>
      <c r="O216" s="223"/>
      <c r="P216" s="223"/>
      <c r="Q216" s="223"/>
      <c r="R216" s="223"/>
      <c r="S216" s="223"/>
      <c r="T216" s="223"/>
      <c r="U216" s="223"/>
      <c r="V216" s="223"/>
      <c r="W216" s="223"/>
      <c r="X216" s="223"/>
      <c r="Y216" s="223"/>
      <c r="Z216" s="223"/>
      <c r="AA216" s="223"/>
      <c r="AB216" s="223"/>
      <c r="AC216" s="223"/>
      <c r="AD216" s="223"/>
      <c r="AE216" s="223"/>
      <c r="AF216" s="223"/>
      <c r="AG216" s="223"/>
    </row>
    <row r="217" spans="10:33">
      <c r="J217" s="223"/>
      <c r="K217" s="223"/>
      <c r="L217" s="223"/>
      <c r="M217" s="223"/>
      <c r="N217" s="223"/>
      <c r="O217" s="223"/>
      <c r="P217" s="223"/>
      <c r="Q217" s="223"/>
      <c r="R217" s="223"/>
      <c r="S217" s="223"/>
      <c r="T217" s="223"/>
      <c r="U217" s="223"/>
      <c r="V217" s="223"/>
      <c r="W217" s="223"/>
      <c r="X217" s="223"/>
      <c r="Y217" s="223"/>
      <c r="Z217" s="223"/>
      <c r="AA217" s="223"/>
      <c r="AB217" s="223"/>
      <c r="AC217" s="223"/>
      <c r="AD217" s="223"/>
      <c r="AE217" s="223"/>
      <c r="AF217" s="223"/>
      <c r="AG217" s="223"/>
    </row>
    <row r="218" spans="10:33">
      <c r="J218" s="223"/>
      <c r="K218" s="223"/>
      <c r="L218" s="223"/>
      <c r="M218" s="223"/>
      <c r="N218" s="223"/>
      <c r="O218" s="223"/>
      <c r="P218" s="223"/>
      <c r="Q218" s="223"/>
      <c r="R218" s="223"/>
      <c r="S218" s="223"/>
      <c r="T218" s="223"/>
      <c r="U218" s="223"/>
      <c r="V218" s="223"/>
      <c r="W218" s="223"/>
      <c r="X218" s="223"/>
      <c r="Y218" s="223"/>
      <c r="Z218" s="223"/>
      <c r="AA218" s="223"/>
      <c r="AB218" s="223"/>
      <c r="AC218" s="223"/>
      <c r="AD218" s="223"/>
      <c r="AE218" s="223"/>
      <c r="AF218" s="223"/>
      <c r="AG218" s="223"/>
    </row>
    <row r="219" spans="10:33">
      <c r="J219" s="223"/>
      <c r="K219" s="223"/>
      <c r="L219" s="223"/>
      <c r="M219" s="223"/>
      <c r="N219" s="223"/>
      <c r="O219" s="223"/>
      <c r="P219" s="223"/>
      <c r="Q219" s="223"/>
      <c r="R219" s="223"/>
      <c r="S219" s="223"/>
      <c r="T219" s="223"/>
      <c r="U219" s="223"/>
      <c r="V219" s="223"/>
      <c r="W219" s="223"/>
      <c r="X219" s="223"/>
      <c r="Y219" s="223"/>
      <c r="Z219" s="223"/>
      <c r="AA219" s="223"/>
      <c r="AB219" s="223"/>
      <c r="AC219" s="223"/>
      <c r="AD219" s="223"/>
      <c r="AE219" s="223"/>
      <c r="AF219" s="223"/>
      <c r="AG219" s="223"/>
    </row>
    <row r="220" spans="10:33">
      <c r="J220" s="223"/>
      <c r="K220" s="223"/>
      <c r="L220" s="223"/>
      <c r="M220" s="223"/>
      <c r="N220" s="223"/>
      <c r="O220" s="223"/>
      <c r="P220" s="223"/>
      <c r="Q220" s="223"/>
      <c r="R220" s="223"/>
      <c r="S220" s="223"/>
      <c r="T220" s="223"/>
      <c r="U220" s="223"/>
      <c r="V220" s="223"/>
      <c r="W220" s="223"/>
      <c r="X220" s="223"/>
      <c r="Y220" s="223"/>
      <c r="Z220" s="223"/>
      <c r="AA220" s="223"/>
      <c r="AB220" s="223"/>
      <c r="AC220" s="223"/>
      <c r="AD220" s="223"/>
      <c r="AE220" s="223"/>
      <c r="AF220" s="223"/>
      <c r="AG220" s="223"/>
    </row>
    <row r="221" spans="10:33">
      <c r="J221" s="223"/>
      <c r="K221" s="223"/>
      <c r="L221" s="223"/>
      <c r="M221" s="223"/>
      <c r="N221" s="223"/>
      <c r="O221" s="223"/>
      <c r="P221" s="223"/>
      <c r="Q221" s="223"/>
      <c r="R221" s="223"/>
      <c r="S221" s="223"/>
      <c r="T221" s="223"/>
      <c r="U221" s="223"/>
      <c r="V221" s="223"/>
      <c r="W221" s="223"/>
      <c r="X221" s="223"/>
      <c r="Y221" s="223"/>
      <c r="Z221" s="223"/>
      <c r="AA221" s="223"/>
      <c r="AB221" s="223"/>
      <c r="AC221" s="223"/>
      <c r="AD221" s="223"/>
      <c r="AE221" s="223"/>
      <c r="AF221" s="223"/>
      <c r="AG221" s="223"/>
    </row>
    <row r="222" spans="10:33">
      <c r="J222" s="223"/>
      <c r="K222" s="223"/>
      <c r="L222" s="223"/>
      <c r="M222" s="223"/>
      <c r="N222" s="223"/>
      <c r="O222" s="223"/>
      <c r="P222" s="223"/>
      <c r="Q222" s="223"/>
      <c r="R222" s="223"/>
      <c r="S222" s="223"/>
      <c r="T222" s="223"/>
      <c r="U222" s="223"/>
      <c r="V222" s="223"/>
      <c r="W222" s="223"/>
      <c r="X222" s="223"/>
      <c r="Y222" s="223"/>
      <c r="Z222" s="223"/>
      <c r="AA222" s="223"/>
      <c r="AB222" s="223"/>
      <c r="AC222" s="223"/>
      <c r="AD222" s="223"/>
      <c r="AE222" s="223"/>
      <c r="AF222" s="223"/>
      <c r="AG222" s="223"/>
    </row>
    <row r="223" spans="10:33">
      <c r="J223" s="223"/>
      <c r="K223" s="223"/>
      <c r="L223" s="223"/>
      <c r="M223" s="223"/>
      <c r="N223" s="223"/>
      <c r="O223" s="223"/>
      <c r="P223" s="223"/>
      <c r="Q223" s="223"/>
      <c r="R223" s="223"/>
      <c r="S223" s="223"/>
      <c r="T223" s="223"/>
      <c r="U223" s="223"/>
      <c r="V223" s="223"/>
      <c r="W223" s="223"/>
      <c r="X223" s="223"/>
      <c r="Y223" s="223"/>
      <c r="Z223" s="223"/>
      <c r="AA223" s="223"/>
      <c r="AB223" s="223"/>
      <c r="AC223" s="223"/>
      <c r="AD223" s="223"/>
      <c r="AE223" s="223"/>
      <c r="AF223" s="223"/>
      <c r="AG223" s="223"/>
    </row>
    <row r="224" spans="10:33">
      <c r="J224" s="223"/>
      <c r="K224" s="223"/>
      <c r="L224" s="223"/>
      <c r="M224" s="223"/>
      <c r="N224" s="223"/>
      <c r="O224" s="223"/>
      <c r="P224" s="223"/>
      <c r="Q224" s="223"/>
      <c r="R224" s="223"/>
      <c r="S224" s="223"/>
      <c r="T224" s="223"/>
      <c r="U224" s="223"/>
      <c r="V224" s="223"/>
      <c r="W224" s="223"/>
      <c r="X224" s="223"/>
      <c r="Y224" s="223"/>
      <c r="Z224" s="223"/>
      <c r="AA224" s="223"/>
      <c r="AB224" s="223"/>
      <c r="AC224" s="223"/>
      <c r="AD224" s="223"/>
      <c r="AE224" s="223"/>
      <c r="AF224" s="223"/>
      <c r="AG224" s="223"/>
    </row>
    <row r="225" spans="10:33">
      <c r="J225" s="223"/>
      <c r="K225" s="223"/>
      <c r="L225" s="223"/>
      <c r="M225" s="223"/>
      <c r="N225" s="223"/>
      <c r="O225" s="223"/>
      <c r="P225" s="223"/>
      <c r="Q225" s="223"/>
      <c r="R225" s="223"/>
      <c r="S225" s="223"/>
      <c r="T225" s="223"/>
      <c r="U225" s="223"/>
      <c r="V225" s="223"/>
      <c r="W225" s="223"/>
      <c r="X225" s="223"/>
      <c r="Y225" s="223"/>
      <c r="Z225" s="223"/>
      <c r="AA225" s="223"/>
      <c r="AB225" s="223"/>
      <c r="AC225" s="223"/>
      <c r="AD225" s="223"/>
      <c r="AE225" s="223"/>
      <c r="AF225" s="223"/>
      <c r="AG225" s="223"/>
    </row>
    <row r="226" spans="10:33">
      <c r="J226" s="223"/>
      <c r="K226" s="223"/>
      <c r="L226" s="223"/>
      <c r="M226" s="223"/>
      <c r="N226" s="223"/>
      <c r="O226" s="223"/>
      <c r="P226" s="223"/>
      <c r="Q226" s="223"/>
      <c r="R226" s="223"/>
      <c r="S226" s="223"/>
      <c r="T226" s="223"/>
      <c r="U226" s="223"/>
      <c r="V226" s="223"/>
      <c r="W226" s="223"/>
      <c r="X226" s="223"/>
      <c r="Y226" s="223"/>
      <c r="Z226" s="223"/>
      <c r="AA226" s="223"/>
      <c r="AB226" s="223"/>
      <c r="AC226" s="223"/>
      <c r="AD226" s="223"/>
      <c r="AE226" s="223"/>
      <c r="AF226" s="223"/>
      <c r="AG226" s="223"/>
    </row>
    <row r="227" spans="10:33">
      <c r="J227" s="223"/>
      <c r="K227" s="223"/>
      <c r="L227" s="223"/>
      <c r="M227" s="223"/>
      <c r="N227" s="223"/>
      <c r="O227" s="223"/>
      <c r="P227" s="223"/>
      <c r="Q227" s="223"/>
      <c r="R227" s="223"/>
      <c r="S227" s="223"/>
      <c r="T227" s="223"/>
      <c r="U227" s="223"/>
      <c r="V227" s="223"/>
      <c r="W227" s="223"/>
      <c r="X227" s="223"/>
      <c r="Y227" s="223"/>
      <c r="Z227" s="223"/>
      <c r="AA227" s="223"/>
      <c r="AB227" s="223"/>
      <c r="AC227" s="223"/>
      <c r="AD227" s="223"/>
      <c r="AE227" s="223"/>
      <c r="AF227" s="223"/>
      <c r="AG227" s="223"/>
    </row>
    <row r="228" spans="10:33">
      <c r="J228" s="223"/>
      <c r="K228" s="223"/>
      <c r="L228" s="223"/>
      <c r="M228" s="223"/>
      <c r="N228" s="223"/>
      <c r="O228" s="223"/>
      <c r="P228" s="223"/>
      <c r="Q228" s="223"/>
      <c r="R228" s="223"/>
      <c r="S228" s="223"/>
      <c r="T228" s="223"/>
      <c r="U228" s="223"/>
      <c r="V228" s="223"/>
      <c r="W228" s="223"/>
      <c r="X228" s="223"/>
      <c r="Y228" s="223"/>
      <c r="Z228" s="223"/>
      <c r="AA228" s="223"/>
      <c r="AB228" s="223"/>
      <c r="AC228" s="223"/>
      <c r="AD228" s="223"/>
      <c r="AE228" s="223"/>
      <c r="AF228" s="223"/>
      <c r="AG228" s="223"/>
    </row>
    <row r="229" spans="10:33">
      <c r="J229" s="223"/>
      <c r="K229" s="223"/>
      <c r="L229" s="223"/>
      <c r="M229" s="223"/>
      <c r="N229" s="223"/>
      <c r="O229" s="223"/>
      <c r="P229" s="223"/>
      <c r="Q229" s="223"/>
      <c r="R229" s="223"/>
      <c r="S229" s="223"/>
      <c r="T229" s="223"/>
      <c r="U229" s="223"/>
      <c r="V229" s="223"/>
      <c r="W229" s="223"/>
      <c r="X229" s="223"/>
      <c r="Y229" s="223"/>
      <c r="Z229" s="223"/>
      <c r="AA229" s="223"/>
      <c r="AB229" s="223"/>
      <c r="AC229" s="223"/>
      <c r="AD229" s="223"/>
      <c r="AE229" s="223"/>
      <c r="AF229" s="223"/>
      <c r="AG229" s="223"/>
    </row>
    <row r="230" spans="10:33">
      <c r="J230" s="223"/>
      <c r="K230" s="223"/>
      <c r="L230" s="223"/>
      <c r="M230" s="223"/>
      <c r="N230" s="223"/>
      <c r="O230" s="223"/>
      <c r="P230" s="223"/>
      <c r="Q230" s="223"/>
      <c r="R230" s="223"/>
      <c r="S230" s="223"/>
      <c r="T230" s="223"/>
      <c r="U230" s="223"/>
      <c r="V230" s="223"/>
      <c r="W230" s="223"/>
      <c r="X230" s="223"/>
      <c r="Y230" s="223"/>
      <c r="Z230" s="223"/>
      <c r="AA230" s="223"/>
      <c r="AB230" s="223"/>
      <c r="AC230" s="223"/>
      <c r="AD230" s="223"/>
      <c r="AE230" s="223"/>
      <c r="AF230" s="223"/>
      <c r="AG230" s="223"/>
    </row>
    <row r="231" spans="10:33">
      <c r="J231" s="223"/>
      <c r="K231" s="223"/>
      <c r="L231" s="223"/>
      <c r="M231" s="223"/>
      <c r="N231" s="223"/>
      <c r="O231" s="223"/>
      <c r="P231" s="223"/>
      <c r="Q231" s="223"/>
      <c r="R231" s="223"/>
      <c r="S231" s="223"/>
      <c r="T231" s="223"/>
      <c r="U231" s="223"/>
      <c r="V231" s="223"/>
      <c r="W231" s="223"/>
      <c r="X231" s="223"/>
      <c r="Y231" s="223"/>
      <c r="Z231" s="223"/>
      <c r="AA231" s="223"/>
      <c r="AB231" s="223"/>
      <c r="AC231" s="223"/>
      <c r="AD231" s="223"/>
      <c r="AE231" s="223"/>
      <c r="AF231" s="223"/>
      <c r="AG231" s="223"/>
    </row>
    <row r="232" spans="10:33">
      <c r="J232" s="223"/>
      <c r="K232" s="223"/>
      <c r="L232" s="223"/>
      <c r="M232" s="223"/>
      <c r="N232" s="223"/>
      <c r="O232" s="223"/>
      <c r="P232" s="223"/>
      <c r="Q232" s="223"/>
      <c r="R232" s="223"/>
      <c r="S232" s="223"/>
      <c r="T232" s="223"/>
      <c r="U232" s="223"/>
      <c r="V232" s="223"/>
      <c r="W232" s="223"/>
      <c r="X232" s="223"/>
      <c r="Y232" s="223"/>
      <c r="Z232" s="223"/>
      <c r="AA232" s="223"/>
      <c r="AB232" s="223"/>
      <c r="AC232" s="223"/>
      <c r="AD232" s="223"/>
      <c r="AE232" s="223"/>
      <c r="AF232" s="223"/>
      <c r="AG232" s="223"/>
    </row>
    <row r="233" spans="10:33">
      <c r="J233" s="223"/>
      <c r="K233" s="223"/>
      <c r="L233" s="223"/>
      <c r="M233" s="223"/>
      <c r="N233" s="223"/>
      <c r="O233" s="223"/>
      <c r="P233" s="223"/>
      <c r="Q233" s="223"/>
      <c r="R233" s="223"/>
      <c r="S233" s="223"/>
      <c r="T233" s="223"/>
      <c r="U233" s="223"/>
      <c r="V233" s="223"/>
      <c r="W233" s="223"/>
      <c r="X233" s="223"/>
      <c r="Y233" s="223"/>
      <c r="Z233" s="223"/>
      <c r="AA233" s="223"/>
      <c r="AB233" s="223"/>
      <c r="AC233" s="223"/>
      <c r="AD233" s="223"/>
      <c r="AE233" s="223"/>
      <c r="AF233" s="223"/>
      <c r="AG233" s="223"/>
    </row>
    <row r="234" spans="10:33">
      <c r="J234" s="223"/>
      <c r="K234" s="223"/>
      <c r="L234" s="223"/>
      <c r="M234" s="223"/>
      <c r="N234" s="223"/>
      <c r="O234" s="223"/>
      <c r="P234" s="223"/>
      <c r="Q234" s="223"/>
      <c r="R234" s="223"/>
      <c r="S234" s="223"/>
      <c r="T234" s="223"/>
      <c r="U234" s="223"/>
      <c r="V234" s="223"/>
      <c r="W234" s="223"/>
      <c r="X234" s="223"/>
      <c r="Y234" s="223"/>
      <c r="Z234" s="223"/>
      <c r="AA234" s="223"/>
      <c r="AB234" s="223"/>
      <c r="AC234" s="223"/>
      <c r="AD234" s="223"/>
      <c r="AE234" s="223"/>
      <c r="AF234" s="223"/>
      <c r="AG234" s="223"/>
    </row>
    <row r="235" spans="10:33">
      <c r="J235" s="223"/>
      <c r="K235" s="223"/>
      <c r="L235" s="223"/>
      <c r="M235" s="223"/>
      <c r="N235" s="223"/>
      <c r="O235" s="223"/>
      <c r="P235" s="223"/>
      <c r="Q235" s="223"/>
      <c r="R235" s="223"/>
      <c r="S235" s="223"/>
      <c r="T235" s="223"/>
      <c r="U235" s="223"/>
      <c r="V235" s="223"/>
      <c r="W235" s="223"/>
      <c r="X235" s="223"/>
      <c r="Y235" s="223"/>
      <c r="Z235" s="223"/>
      <c r="AA235" s="223"/>
      <c r="AB235" s="223"/>
      <c r="AC235" s="223"/>
      <c r="AD235" s="223"/>
      <c r="AE235" s="223"/>
      <c r="AF235" s="223"/>
      <c r="AG235" s="223"/>
    </row>
    <row r="236" spans="10:33">
      <c r="J236" s="223"/>
      <c r="K236" s="223"/>
      <c r="L236" s="223"/>
      <c r="M236" s="223"/>
      <c r="N236" s="223"/>
      <c r="O236" s="223"/>
      <c r="P236" s="223"/>
      <c r="Q236" s="223"/>
      <c r="R236" s="223"/>
      <c r="S236" s="223"/>
      <c r="T236" s="223"/>
      <c r="U236" s="223"/>
      <c r="V236" s="223"/>
      <c r="W236" s="223"/>
      <c r="X236" s="223"/>
      <c r="Y236" s="223"/>
      <c r="Z236" s="223"/>
      <c r="AA236" s="223"/>
      <c r="AB236" s="223"/>
      <c r="AC236" s="223"/>
      <c r="AD236" s="223"/>
      <c r="AE236" s="223"/>
      <c r="AF236" s="223"/>
      <c r="AG236" s="223"/>
    </row>
    <row r="237" spans="10:33">
      <c r="J237" s="223"/>
      <c r="K237" s="223"/>
      <c r="L237" s="223"/>
      <c r="M237" s="223"/>
      <c r="N237" s="223"/>
      <c r="O237" s="223"/>
      <c r="P237" s="223"/>
      <c r="Q237" s="223"/>
      <c r="R237" s="223"/>
      <c r="S237" s="223"/>
      <c r="T237" s="223"/>
      <c r="U237" s="223"/>
      <c r="V237" s="223"/>
      <c r="W237" s="223"/>
      <c r="X237" s="223"/>
      <c r="Y237" s="223"/>
      <c r="Z237" s="223"/>
      <c r="AA237" s="223"/>
      <c r="AB237" s="223"/>
      <c r="AC237" s="223"/>
      <c r="AD237" s="223"/>
      <c r="AE237" s="223"/>
      <c r="AF237" s="223"/>
      <c r="AG237" s="223"/>
    </row>
    <row r="238" spans="10:33">
      <c r="J238" s="223"/>
      <c r="K238" s="223"/>
      <c r="L238" s="223"/>
      <c r="M238" s="223"/>
      <c r="N238" s="223"/>
      <c r="O238" s="223"/>
      <c r="P238" s="223"/>
      <c r="Q238" s="223"/>
      <c r="R238" s="223"/>
      <c r="S238" s="223"/>
      <c r="T238" s="223"/>
      <c r="U238" s="223"/>
      <c r="V238" s="223"/>
      <c r="W238" s="223"/>
      <c r="X238" s="223"/>
      <c r="Y238" s="223"/>
      <c r="Z238" s="223"/>
      <c r="AA238" s="223"/>
      <c r="AB238" s="223"/>
      <c r="AC238" s="223"/>
      <c r="AD238" s="223"/>
      <c r="AE238" s="223"/>
      <c r="AF238" s="223"/>
      <c r="AG238" s="223"/>
    </row>
    <row r="239" spans="10:33">
      <c r="J239" s="223"/>
      <c r="K239" s="223"/>
      <c r="L239" s="223"/>
      <c r="M239" s="223"/>
      <c r="N239" s="223"/>
      <c r="O239" s="223"/>
      <c r="P239" s="223"/>
      <c r="Q239" s="223"/>
      <c r="R239" s="223"/>
      <c r="S239" s="223"/>
      <c r="T239" s="223"/>
      <c r="U239" s="223"/>
      <c r="V239" s="223"/>
      <c r="W239" s="223"/>
      <c r="X239" s="223"/>
      <c r="Y239" s="223"/>
      <c r="Z239" s="223"/>
      <c r="AA239" s="223"/>
      <c r="AB239" s="223"/>
      <c r="AC239" s="223"/>
      <c r="AD239" s="223"/>
      <c r="AE239" s="223"/>
      <c r="AF239" s="223"/>
      <c r="AG239" s="223"/>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7</vt:i4>
      </vt:variant>
    </vt:vector>
  </HeadingPairs>
  <TitlesOfParts>
    <vt:vector size="24" baseType="lpstr">
      <vt:lpstr>forRPM</vt:lpstr>
      <vt:lpstr>7PSourceSummary</vt:lpstr>
      <vt:lpstr>SC-Retro</vt:lpstr>
      <vt:lpstr>M_Input_Out</vt:lpstr>
      <vt:lpstr>M_Input</vt:lpstr>
      <vt:lpstr>MMap</vt:lpstr>
      <vt:lpstr>CBSA Window by Size</vt:lpstr>
      <vt:lpstr>CBSA Data</vt:lpstr>
      <vt:lpstr>Cost Data</vt:lpstr>
      <vt:lpstr>Energy Savings SmOff_Gas</vt:lpstr>
      <vt:lpstr>Energy Savings SmOff_HP</vt:lpstr>
      <vt:lpstr>Energy Savings MidOff_PVAV_E</vt:lpstr>
      <vt:lpstr>Energy Savings MidOff_PVAV_G</vt:lpstr>
      <vt:lpstr>Energy Savings LrgOff_G</vt:lpstr>
      <vt:lpstr>Notes</vt:lpstr>
      <vt:lpstr>Kennedy Out</vt:lpstr>
      <vt:lpstr>ToDo7P</vt:lpstr>
      <vt:lpstr>High_rise_Office__VAV_with_Central_Chillers___Gas_Boilers</vt:lpstr>
      <vt:lpstr>MeasOut</vt:lpstr>
      <vt:lpstr>Mid_rise_Office__Apackaged_VAV_with_Electric_reheat</vt:lpstr>
      <vt:lpstr>Mid_rise_Office__Apackaged_VAV_with_Gas</vt:lpstr>
      <vt:lpstr>Single_Glaze_by_System_Type</vt:lpstr>
      <vt:lpstr>Small_Office__AC_with_Gas_Furnace</vt:lpstr>
      <vt:lpstr>Small_Office__Air_source_Heat_Pump</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Charlie Grist</dc:creator>
  <cp:lastModifiedBy>Charlie Grist</cp:lastModifiedBy>
  <dcterms:created xsi:type="dcterms:W3CDTF">2014-11-01T20:14:00Z</dcterms:created>
  <dcterms:modified xsi:type="dcterms:W3CDTF">2015-03-01T04:02:41Z</dcterms:modified>
</cp:coreProperties>
</file>