
<file path=[Content_Types].xml><?xml version="1.0" encoding="utf-8"?>
<Types xmlns="http://schemas.openxmlformats.org/package/2006/content-types">
  <Override PartName="/xl/worksheets/sheet1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externalLinks/externalLink9.xml" ContentType="application/vnd.openxmlformats-officedocument.spreadsheetml.externalLink+xml"/>
  <Override PartName="/xl/externalLinks/externalLink2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worksheets/sheet7.xml" ContentType="application/vnd.openxmlformats-officedocument.spreadsheetml.worksheet+xml"/>
  <Override PartName="/xl/worksheets/sheet11.xml" ContentType="application/vnd.openxmlformats-officedocument.spreadsheetml.worksheet+xml"/>
  <Override PartName="/xl/worksheets/sheet20.xml" ContentType="application/vnd.openxmlformats-officedocument.spreadsheetml.worksheet+xml"/>
  <Override PartName="/xl/externalLinks/externalLink7.xml" ContentType="application/vnd.openxmlformats-officedocument.spreadsheetml.externalLink+xml"/>
  <Override PartName="/xl/externalLinks/externalLink18.xml" ContentType="application/vnd.openxmlformats-officedocument.spreadsheetml.externalLink+xml"/>
  <Override PartName="/xl/externalLinks/externalLink27.xml" ContentType="application/vnd.openxmlformats-officedocument.spreadsheetml.externalLink+xml"/>
  <Override PartName="/xl/charts/chart2.xml" ContentType="application/vnd.openxmlformats-officedocument.drawingml.chart+xml"/>
  <Override PartName="/xl/drawings/drawing4.xml" ContentType="application/vnd.openxmlformats-officedocument.drawing+xml"/>
  <Override PartName="/xl/comments6.xml" ContentType="application/vnd.openxmlformats-officedocument.spreadsheetml.comments+xml"/>
  <Override PartName="/xl/vbaProject.bin" ContentType="application/vnd.ms-office.vbaProject"/>
  <Default Extension="rels" ContentType="application/vnd.openxmlformats-package.relationships+xml"/>
  <Default Extension="xml" ContentType="application/xml"/>
  <Override PartName="/xl/worksheets/sheet5.xml" ContentType="application/vnd.openxmlformats-officedocument.spreadsheetml.worksheet+xml"/>
  <Override PartName="/xl/externalLinks/externalLink5.xml" ContentType="application/vnd.openxmlformats-officedocument.spreadsheetml.externalLink+xml"/>
  <Override PartName="/xl/externalLinks/externalLink16.xml" ContentType="application/vnd.openxmlformats-officedocument.spreadsheetml.externalLink+xml"/>
  <Override PartName="/xl/externalLinks/externalLink25.xml" ContentType="application/vnd.openxmlformats-officedocument.spreadsheetml.externalLink+xml"/>
  <Override PartName="/xl/externalLinks/externalLink34.xml" ContentType="application/vnd.openxmlformats-officedocument.spreadsheetml.externalLink+xml"/>
  <Override PartName="/xl/drawings/drawing2.xml" ContentType="application/vnd.openxmlformats-officedocument.drawing+xml"/>
  <Override PartName="/xl/comments4.xml" ContentType="application/vnd.openxmlformats-officedocument.spreadsheetml.comments+xml"/>
  <Override PartName="/xl/worksheets/sheet3.xml" ContentType="application/vnd.openxmlformats-officedocument.spreadsheetml.worksheet+xml"/>
  <Override PartName="/xl/externalLinks/externalLink3.xml" ContentType="application/vnd.openxmlformats-officedocument.spreadsheetml.externalLink+xml"/>
  <Override PartName="/xl/externalLinks/externalLink14.xml" ContentType="application/vnd.openxmlformats-officedocument.spreadsheetml.externalLink+xml"/>
  <Override PartName="/xl/externalLinks/externalLink23.xml" ContentType="application/vnd.openxmlformats-officedocument.spreadsheetml.externalLink+xml"/>
  <Override PartName="/xl/externalLinks/externalLink32.xml" ContentType="application/vnd.openxmlformats-officedocument.spreadsheetml.externalLink+xml"/>
  <Override PartName="/xl/comments2.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12.xml" ContentType="application/vnd.openxmlformats-officedocument.spreadsheetml.externalLink+xml"/>
  <Override PartName="/xl/externalLinks/externalLink21.xml" ContentType="application/vnd.openxmlformats-officedocument.spreadsheetml.externalLink+xml"/>
  <Override PartName="/xl/externalLinks/externalLink30.xml" ContentType="application/vnd.openxmlformats-officedocument.spreadsheetml.externalLink+xml"/>
  <Override PartName="/xl/worksheets/sheet19.xml" ContentType="application/vnd.openxmlformats-officedocument.spreadsheetml.worksheet+xml"/>
  <Override PartName="/xl/externalLinks/externalLink10.xml" ContentType="application/vnd.openxmlformats-officedocument.spreadsheetml.externalLink+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Override PartName="/xl/worksheets/sheet14.xml" ContentType="application/vnd.openxmlformats-officedocument.spreadsheetml.worksheet+xml"/>
  <Override PartName="/xl/externalLinks/externalLink8.xml" ContentType="application/vnd.openxmlformats-officedocument.spreadsheetml.externalLink+xml"/>
  <Override PartName="/xl/externalLinks/externalLink19.xml" ContentType="application/vnd.openxmlformats-officedocument.spreadsheetml.externalLink+xml"/>
  <Override PartName="/xl/charts/chart5.xml" ContentType="application/vnd.openxmlformats-officedocument.drawingml.chart+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externalLinks/externalLink6.xml" ContentType="application/vnd.openxmlformats-officedocument.spreadsheetml.externalLink+xml"/>
  <Override PartName="/xl/externalLinks/externalLink17.xml" ContentType="application/vnd.openxmlformats-officedocument.spreadsheetml.externalLink+xml"/>
  <Override PartName="/xl/externalLinks/externalLink28.xml" ContentType="application/vnd.openxmlformats-officedocument.spreadsheetml.externalLink+xml"/>
  <Override PartName="/xl/charts/chart3.xml" ContentType="application/vnd.openxmlformats-officedocument.drawingml.chart+xml"/>
  <Override PartName="/xl/drawings/drawing5.xml" ContentType="application/vnd.openxmlformats-officedocument.drawing+xml"/>
  <Override PartName="/xl/comments7.xml" ContentType="application/vnd.openxmlformats-officedocument.spreadsheetml.comments+xml"/>
  <Override PartName="/xl/workbook.xml" ContentType="application/vnd.ms-excel.sheet.macroEnabled.main+xml"/>
  <Override PartName="/xl/worksheets/sheet4.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externalLinks/externalLink15.xml" ContentType="application/vnd.openxmlformats-officedocument.spreadsheetml.externalLink+xml"/>
  <Override PartName="/xl/externalLinks/externalLink24.xml" ContentType="application/vnd.openxmlformats-officedocument.spreadsheetml.externalLink+xml"/>
  <Override PartName="/xl/externalLinks/externalLink26.xml" ContentType="application/vnd.openxmlformats-officedocument.spreadsheetml.externalLink+xml"/>
  <Override PartName="/xl/drawings/drawing3.xml" ContentType="application/vnd.openxmlformats-officedocument.drawing+xml"/>
  <Override PartName="/xl/charts/chart1.xml" ContentType="application/vnd.openxmlformats-officedocument.drawingml.chart+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externalLinks/externalLink2.xml" ContentType="application/vnd.openxmlformats-officedocument.spreadsheetml.externalLink+xml"/>
  <Override PartName="/xl/externalLinks/externalLink13.xml" ContentType="application/vnd.openxmlformats-officedocument.spreadsheetml.externalLink+xml"/>
  <Override PartName="/xl/externalLinks/externalLink22.xml" ContentType="application/vnd.openxmlformats-officedocument.spreadsheetml.externalLink+xml"/>
  <Override PartName="/xl/externalLinks/externalLink33.xml" ContentType="application/vnd.openxmlformats-officedocument.spreadsheetml.externalLink+xml"/>
  <Override PartName="/xl/drawings/drawing1.xml" ContentType="application/vnd.openxmlformats-officedocument.drawing+xml"/>
  <Override PartName="/xl/comments3.xml" ContentType="application/vnd.openxmlformats-officedocument.spreadsheetml.comments+xml"/>
  <Override PartName="/xl/externalLinks/externalLink11.xml" ContentType="application/vnd.openxmlformats-officedocument.spreadsheetml.externalLink+xml"/>
  <Override PartName="/xl/externalLinks/externalLink20.xml" ContentType="application/vnd.openxmlformats-officedocument.spreadsheetml.externalLink+xml"/>
  <Override PartName="/xl/externalLinks/externalLink3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bookViews>
    <workbookView xWindow="2085" yWindow="-60" windowWidth="20730" windowHeight="10335" activeTab="2"/>
  </bookViews>
  <sheets>
    <sheet name="Overview" sheetId="24" r:id="rId1"/>
    <sheet name="MLIST" sheetId="56" r:id="rId2"/>
    <sheet name="FILES" sheetId="20" r:id="rId3"/>
    <sheet name="APPLIC" sheetId="1" r:id="rId4"/>
    <sheet name="BASE" sheetId="19" r:id="rId5"/>
    <sheet name="STOCK" sheetId="3" r:id="rId6"/>
    <sheet name="TURN" sheetId="4" r:id="rId7"/>
    <sheet name="ACHIEV" sheetId="55" r:id="rId8"/>
    <sheet name="FEAS" sheetId="63" r:id="rId9"/>
    <sheet name="RAMP" sheetId="61" r:id="rId10"/>
    <sheet name="CODE" sheetId="37" r:id="rId11"/>
    <sheet name="CHAR" sheetId="7" r:id="rId12"/>
    <sheet name="Floor" sheetId="57" r:id="rId13"/>
    <sheet name="Vars" sheetId="9" r:id="rId14"/>
    <sheet name="Labels" sheetId="11" r:id="rId15"/>
    <sheet name="Lookup" sheetId="12" r:id="rId16"/>
    <sheet name="EUI" sheetId="13" r:id="rId17"/>
    <sheet name="Measure Name List" sheetId="59" r:id="rId18"/>
    <sheet name="CBSA Data" sheetId="60" r:id="rId19"/>
    <sheet name="CBSA Data New" sheetId="62" r:id="rId20"/>
    <sheet name="BPA Taxonomy" sheetId="64" r:id="rId21"/>
  </sheets>
  <externalReferences>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s>
  <definedNames>
    <definedName name="_xlnm._FilterDatabase" localSheetId="7" hidden="1">ACHIEV!$A$18:$AC$18</definedName>
    <definedName name="_xlnm._FilterDatabase" localSheetId="3" hidden="1">APPLIC!$A$11:$U$80</definedName>
    <definedName name="_xlnm._FilterDatabase" localSheetId="20" hidden="1">'BPA Taxonomy'!$A$1:$D$411</definedName>
    <definedName name="_xlnm._FilterDatabase" localSheetId="2" hidden="1">FILES!$A$11:$S$96</definedName>
    <definedName name="_xlnm._FilterDatabase" localSheetId="1" hidden="1">MLIST!$A$11:$AI$96</definedName>
    <definedName name="_xlnm._FilterDatabase" localSheetId="5" hidden="1">STOCK!$A$11:$W$113</definedName>
    <definedName name="_xlnm._FilterDatabase" localSheetId="6" hidden="1">TURN!$A$11:$T$50</definedName>
    <definedName name="_Key1" localSheetId="19" hidden="1">#REF!</definedName>
    <definedName name="_Key1" localSheetId="14" hidden="1">[1]ProData!$O$27</definedName>
    <definedName name="_Key1" localSheetId="9" hidden="1">#REF!</definedName>
    <definedName name="_Key1" hidden="1">#REF!</definedName>
    <definedName name="_Order1" hidden="1">255</definedName>
    <definedName name="_PRE2013">CHAR!$B$64:$U$103</definedName>
    <definedName name="_Sort" localSheetId="19" hidden="1">#REF!</definedName>
    <definedName name="_Sort" localSheetId="14" hidden="1">[1]ProData!$A$28:$CD$34</definedName>
    <definedName name="_Sort" localSheetId="9" hidden="1">#REF!</definedName>
    <definedName name="_Sort" hidden="1">#REF!</definedName>
    <definedName name="ACHIEV">ACHIEV!$B$19:$Y$122</definedName>
    <definedName name="APPLIC">APPLIC!$B$12:$X$115</definedName>
    <definedName name="BASE">BASE!$B$12:$U$115</definedName>
    <definedName name="BLDGTYPE">APPLIC!$B$11:$U$11</definedName>
    <definedName name="BTYPEMAP">Labels!$C$59:$F$79</definedName>
    <definedName name="Category_Codes">[2]Codes!$H$2:$I$56</definedName>
    <definedName name="CHAR">CHAR!$A$11:$U$56</definedName>
    <definedName name="EndUse_Codes">[2]Codes!$E$2:$F$16</definedName>
    <definedName name="EUI">EUI!$B$19:$T$64</definedName>
    <definedName name="FILELIST">FILES!$B$12:$P$114</definedName>
    <definedName name="FloorA_PRE2006">Floor!$B$51:$J$70</definedName>
    <definedName name="LSYield">[3]!LSYield</definedName>
    <definedName name="POST2013">CHAR!$B$17:$U$55</definedName>
    <definedName name="_xlnm.Print_Area" localSheetId="20">'BPA Taxonomy'!#REF!</definedName>
    <definedName name="_xlnm.Print_Area" localSheetId="14">Labels!$B$2:$N$47</definedName>
    <definedName name="Ramp_Names">RAMP!$B$3:$B$20</definedName>
    <definedName name="Sector_Codes">[2]Codes!$A$1:$C$7</definedName>
    <definedName name="STOCK">STOCK!$B$12:$U$113</definedName>
    <definedName name="TURN" localSheetId="6">TURN!$B$12:$U$98</definedName>
    <definedName name="V_PRE2013">CHAR!$B$61:$T$100</definedName>
    <definedName name="VSTOCK">Lookup!$C$4:$D$20</definedName>
  </definedNames>
  <calcPr calcId="125725"/>
</workbook>
</file>

<file path=xl/calcChain.xml><?xml version="1.0" encoding="utf-8"?>
<calcChain xmlns="http://schemas.openxmlformats.org/spreadsheetml/2006/main">
  <c r="H75" i="20"/>
  <c r="H74"/>
  <c r="A73" i="63" l="1"/>
  <c r="B73"/>
  <c r="A74"/>
  <c r="B74"/>
  <c r="D81" i="55"/>
  <c r="E81"/>
  <c r="F81"/>
  <c r="G81"/>
  <c r="H81"/>
  <c r="I81"/>
  <c r="J81"/>
  <c r="K81"/>
  <c r="L81"/>
  <c r="M81"/>
  <c r="N81"/>
  <c r="O81"/>
  <c r="P81"/>
  <c r="Q81"/>
  <c r="R81"/>
  <c r="S81"/>
  <c r="T81"/>
  <c r="U81"/>
  <c r="V81"/>
  <c r="W81"/>
  <c r="D82"/>
  <c r="E82"/>
  <c r="F82"/>
  <c r="G82"/>
  <c r="H82"/>
  <c r="I82"/>
  <c r="J82"/>
  <c r="K82"/>
  <c r="L82"/>
  <c r="M82"/>
  <c r="N82"/>
  <c r="O82"/>
  <c r="P82"/>
  <c r="Q82"/>
  <c r="R82"/>
  <c r="S82"/>
  <c r="T82"/>
  <c r="U82"/>
  <c r="V82"/>
  <c r="W82"/>
  <c r="A81"/>
  <c r="B81"/>
  <c r="A82"/>
  <c r="B82"/>
  <c r="B74" i="4"/>
  <c r="B75"/>
  <c r="Y74" i="3"/>
  <c r="X74"/>
  <c r="Y73"/>
  <c r="X73"/>
  <c r="C73"/>
  <c r="D73"/>
  <c r="C74"/>
  <c r="D74"/>
  <c r="B73"/>
  <c r="B74"/>
  <c r="B74" i="19"/>
  <c r="B75"/>
  <c r="A74" i="1"/>
  <c r="B74"/>
  <c r="A75"/>
  <c r="B75"/>
  <c r="A74" i="20"/>
  <c r="B74"/>
  <c r="A75"/>
  <c r="B75"/>
  <c r="D75" i="56" l="1"/>
  <c r="D74"/>
  <c r="C4" i="60"/>
  <c r="D101" i="7"/>
  <c r="E101"/>
  <c r="F101"/>
  <c r="G101"/>
  <c r="H101"/>
  <c r="I101"/>
  <c r="J101"/>
  <c r="K101"/>
  <c r="L101"/>
  <c r="M101"/>
  <c r="N101"/>
  <c r="O101"/>
  <c r="P101"/>
  <c r="Q101"/>
  <c r="R101"/>
  <c r="S101"/>
  <c r="T101"/>
  <c r="C101"/>
  <c r="H40" i="20"/>
  <c r="H29"/>
  <c r="H21"/>
  <c r="H19"/>
  <c r="H18"/>
  <c r="H15"/>
  <c r="H57"/>
  <c r="C53" i="7" l="1"/>
  <c r="X23" i="1"/>
  <c r="S53" i="7"/>
  <c r="AN23" i="1"/>
  <c r="O53" i="7"/>
  <c r="AJ23" i="1"/>
  <c r="K53" i="7"/>
  <c r="AF23" i="1"/>
  <c r="G53" i="7"/>
  <c r="AB23" i="1"/>
  <c r="T53" i="7"/>
  <c r="AO23" i="1"/>
  <c r="P53" i="7"/>
  <c r="AK23" i="1"/>
  <c r="L53" i="7"/>
  <c r="AG23" i="1"/>
  <c r="H53" i="7"/>
  <c r="AC23" i="1"/>
  <c r="D53" i="7"/>
  <c r="Y23" i="1"/>
  <c r="Q53" i="7"/>
  <c r="AL23" i="1"/>
  <c r="M53" i="7"/>
  <c r="AH23" i="1"/>
  <c r="I53" i="7"/>
  <c r="AD23" i="1"/>
  <c r="E53" i="7"/>
  <c r="Z23" i="1"/>
  <c r="R53" i="7"/>
  <c r="AM23" i="1"/>
  <c r="N53" i="7"/>
  <c r="AI23" i="1"/>
  <c r="J53" i="7"/>
  <c r="AE23" i="1"/>
  <c r="F53" i="7"/>
  <c r="AA23" i="1"/>
  <c r="H88" i="20"/>
  <c r="K89" i="7" l="1"/>
  <c r="Y37" i="1"/>
  <c r="Z37"/>
  <c r="AA37"/>
  <c r="AB37"/>
  <c r="AC37"/>
  <c r="AD37"/>
  <c r="AE37"/>
  <c r="AF37"/>
  <c r="AG37"/>
  <c r="AH37"/>
  <c r="AI37"/>
  <c r="AJ37"/>
  <c r="AK37"/>
  <c r="AL37"/>
  <c r="AM37"/>
  <c r="AN37"/>
  <c r="AO37"/>
  <c r="X37"/>
  <c r="F117" i="20"/>
  <c r="H16"/>
  <c r="H17"/>
  <c r="H20"/>
  <c r="AB34" i="63"/>
  <c r="H66" i="20" l="1"/>
  <c r="H64"/>
  <c r="H73" l="1"/>
  <c r="U68" i="19" l="1"/>
  <c r="A13" i="20" l="1"/>
  <c r="A14"/>
  <c r="A15"/>
  <c r="A16"/>
  <c r="A17"/>
  <c r="A18"/>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6"/>
  <c r="A77"/>
  <c r="A78"/>
  <c r="A79"/>
  <c r="A80"/>
  <c r="A81"/>
  <c r="A82"/>
  <c r="A83"/>
  <c r="A84"/>
  <c r="A85"/>
  <c r="A86"/>
  <c r="A87"/>
  <c r="A88"/>
  <c r="A89"/>
  <c r="A90"/>
  <c r="A91"/>
  <c r="A92"/>
  <c r="A93"/>
  <c r="A94"/>
  <c r="A95"/>
  <c r="A96"/>
  <c r="A73"/>
  <c r="A12"/>
  <c r="I85" i="59"/>
  <c r="H85"/>
  <c r="F85"/>
  <c r="E85"/>
  <c r="D85"/>
  <c r="B85"/>
  <c r="A85"/>
  <c r="D45" i="56"/>
  <c r="B45" i="20" s="1"/>
  <c r="U15" i="4"/>
  <c r="U15" i="1"/>
  <c r="F32" i="20"/>
  <c r="F79"/>
  <c r="F80"/>
  <c r="H84" l="1"/>
  <c r="F29" l="1"/>
  <c r="F28"/>
  <c r="F27"/>
  <c r="P38" i="60" l="1"/>
  <c r="H72" i="20"/>
  <c r="U88" i="1" l="1"/>
  <c r="T88"/>
  <c r="S88"/>
  <c r="R88"/>
  <c r="Q88"/>
  <c r="P88"/>
  <c r="O88"/>
  <c r="N88"/>
  <c r="M88"/>
  <c r="L88"/>
  <c r="K88"/>
  <c r="J88"/>
  <c r="I88"/>
  <c r="H88"/>
  <c r="G88"/>
  <c r="F88"/>
  <c r="E88"/>
  <c r="D88"/>
  <c r="C88"/>
  <c r="C11" l="1"/>
  <c r="D11"/>
  <c r="D11" i="4" s="1"/>
  <c r="H11" i="1"/>
  <c r="AC11" s="1"/>
  <c r="L11"/>
  <c r="L11" i="19" s="1"/>
  <c r="L11" i="3" s="1"/>
  <c r="P11" i="1"/>
  <c r="P11" i="4" s="1"/>
  <c r="S11" i="1"/>
  <c r="AN11" s="1"/>
  <c r="E11" i="63"/>
  <c r="E55" s="1"/>
  <c r="AC55" i="1" s="1"/>
  <c r="H55" s="1"/>
  <c r="Q11" i="63"/>
  <c r="Q55" s="1"/>
  <c r="AO55" i="1" s="1"/>
  <c r="T55" s="1"/>
  <c r="C11" i="63"/>
  <c r="C55" s="1"/>
  <c r="AA55" i="1" s="1"/>
  <c r="F55" s="1"/>
  <c r="G11" i="63"/>
  <c r="G55" s="1"/>
  <c r="AE55" i="1" s="1"/>
  <c r="J55" s="1"/>
  <c r="H11" i="63"/>
  <c r="H55" s="1"/>
  <c r="AF55" i="1" s="1"/>
  <c r="K55" s="1"/>
  <c r="M11" i="63"/>
  <c r="M55" s="1"/>
  <c r="AK55" i="1" s="1"/>
  <c r="P55" s="1"/>
  <c r="T11" i="63"/>
  <c r="T54" s="1"/>
  <c r="AO54" i="1" s="1"/>
  <c r="T54" s="1"/>
  <c r="S11" i="63"/>
  <c r="S54" s="1"/>
  <c r="AN54" i="1" s="1"/>
  <c r="S54" s="1"/>
  <c r="AF14" i="63"/>
  <c r="AF15"/>
  <c r="AF16"/>
  <c r="AF17"/>
  <c r="AF18"/>
  <c r="AF19"/>
  <c r="AF20"/>
  <c r="AF21"/>
  <c r="AF22"/>
  <c r="AF23"/>
  <c r="AF24"/>
  <c r="AF25"/>
  <c r="AF26"/>
  <c r="AF27"/>
  <c r="AF28"/>
  <c r="AF29"/>
  <c r="AF30"/>
  <c r="AF13"/>
  <c r="U17" i="1"/>
  <c r="F26" i="7"/>
  <c r="G26"/>
  <c r="H26"/>
  <c r="I26"/>
  <c r="J26"/>
  <c r="K26"/>
  <c r="L26"/>
  <c r="M26"/>
  <c r="N26"/>
  <c r="O26"/>
  <c r="P26"/>
  <c r="Q26"/>
  <c r="R26"/>
  <c r="S26"/>
  <c r="T26"/>
  <c r="E26"/>
  <c r="A72" i="63"/>
  <c r="A80" i="55"/>
  <c r="C72" i="3"/>
  <c r="D72"/>
  <c r="Y72"/>
  <c r="A73" i="1"/>
  <c r="D73" i="56"/>
  <c r="B72" i="63" s="1"/>
  <c r="C59" i="3"/>
  <c r="C65"/>
  <c r="D65"/>
  <c r="E65"/>
  <c r="F65"/>
  <c r="G65"/>
  <c r="H65"/>
  <c r="I65"/>
  <c r="J65"/>
  <c r="K65"/>
  <c r="L65"/>
  <c r="M65"/>
  <c r="N65"/>
  <c r="O65"/>
  <c r="P65"/>
  <c r="Q65"/>
  <c r="R65"/>
  <c r="S65"/>
  <c r="T65"/>
  <c r="D96" i="1"/>
  <c r="E96"/>
  <c r="F96"/>
  <c r="G96"/>
  <c r="H96"/>
  <c r="I96"/>
  <c r="J96"/>
  <c r="K96"/>
  <c r="L96"/>
  <c r="M96"/>
  <c r="N96"/>
  <c r="O96"/>
  <c r="P96"/>
  <c r="Q96"/>
  <c r="R96"/>
  <c r="S96"/>
  <c r="T96"/>
  <c r="C96"/>
  <c r="F89" i="20"/>
  <c r="U19" i="4"/>
  <c r="U18"/>
  <c r="U45"/>
  <c r="U19" i="1"/>
  <c r="U18"/>
  <c r="U45"/>
  <c r="AB141" i="7"/>
  <c r="AB142"/>
  <c r="AB143"/>
  <c r="AB144"/>
  <c r="AB145"/>
  <c r="AB146"/>
  <c r="AB147"/>
  <c r="AB148"/>
  <c r="AB149"/>
  <c r="AB150"/>
  <c r="AB151"/>
  <c r="AB152"/>
  <c r="AB153"/>
  <c r="AB154"/>
  <c r="AB155"/>
  <c r="AB156"/>
  <c r="AB157"/>
  <c r="AB140"/>
  <c r="D18"/>
  <c r="E18"/>
  <c r="F18"/>
  <c r="G18"/>
  <c r="H18"/>
  <c r="I18"/>
  <c r="J18"/>
  <c r="K18"/>
  <c r="L18"/>
  <c r="M18"/>
  <c r="N18"/>
  <c r="O18"/>
  <c r="P18"/>
  <c r="Q18"/>
  <c r="R18"/>
  <c r="S18"/>
  <c r="T18"/>
  <c r="C18"/>
  <c r="L116" i="60"/>
  <c r="L117"/>
  <c r="L118"/>
  <c r="L119"/>
  <c r="L120"/>
  <c r="L121"/>
  <c r="L122"/>
  <c r="L123"/>
  <c r="L124"/>
  <c r="L125"/>
  <c r="L115"/>
  <c r="K115"/>
  <c r="I70" i="7"/>
  <c r="H70"/>
  <c r="G70"/>
  <c r="F70"/>
  <c r="E70"/>
  <c r="D70"/>
  <c r="C70"/>
  <c r="AD137"/>
  <c r="AC137"/>
  <c r="AD136"/>
  <c r="AC136"/>
  <c r="AD135"/>
  <c r="AC135"/>
  <c r="AD134"/>
  <c r="AC134"/>
  <c r="AD133"/>
  <c r="AC133"/>
  <c r="AD132"/>
  <c r="AC132"/>
  <c r="AD131"/>
  <c r="AC131"/>
  <c r="AD130"/>
  <c r="AC130"/>
  <c r="AD129"/>
  <c r="AC129"/>
  <c r="AD128"/>
  <c r="AC128"/>
  <c r="AD127"/>
  <c r="AC127"/>
  <c r="AD126"/>
  <c r="AC126"/>
  <c r="AD125"/>
  <c r="AC125"/>
  <c r="AE124"/>
  <c r="AD124"/>
  <c r="AC124"/>
  <c r="AE123"/>
  <c r="AD123"/>
  <c r="AC123"/>
  <c r="AD122"/>
  <c r="AC122"/>
  <c r="AD121"/>
  <c r="AC121"/>
  <c r="AE122"/>
  <c r="AE120"/>
  <c r="AD120"/>
  <c r="AC120"/>
  <c r="AE119"/>
  <c r="AD119"/>
  <c r="AC119"/>
  <c r="AD118"/>
  <c r="AC118"/>
  <c r="AD117"/>
  <c r="AC117"/>
  <c r="AD116"/>
  <c r="AC116"/>
  <c r="AD115"/>
  <c r="AC115"/>
  <c r="AD114"/>
  <c r="AC114"/>
  <c r="AD113"/>
  <c r="AC113"/>
  <c r="AD112"/>
  <c r="AC112"/>
  <c r="AD111"/>
  <c r="AC111"/>
  <c r="AD110"/>
  <c r="AC110"/>
  <c r="AD109"/>
  <c r="AC109"/>
  <c r="AD108"/>
  <c r="AC108"/>
  <c r="AD107"/>
  <c r="AC107"/>
  <c r="AD106"/>
  <c r="AC106"/>
  <c r="AD105"/>
  <c r="AC105"/>
  <c r="AD104"/>
  <c r="AC104"/>
  <c r="AD103"/>
  <c r="AC103"/>
  <c r="AD102"/>
  <c r="AC102"/>
  <c r="AE103"/>
  <c r="AD101"/>
  <c r="AC101"/>
  <c r="AD100"/>
  <c r="AC100"/>
  <c r="AE101"/>
  <c r="AD99"/>
  <c r="AC99"/>
  <c r="AE99"/>
  <c r="AD98"/>
  <c r="AC98"/>
  <c r="AD97"/>
  <c r="AC97"/>
  <c r="AD96"/>
  <c r="AC96"/>
  <c r="AD95"/>
  <c r="AC95"/>
  <c r="AD94"/>
  <c r="AC94"/>
  <c r="AD93"/>
  <c r="AC93"/>
  <c r="AD92"/>
  <c r="AC92"/>
  <c r="AD91"/>
  <c r="AC91"/>
  <c r="AD90"/>
  <c r="AC90"/>
  <c r="AD89"/>
  <c r="AC89"/>
  <c r="AD88"/>
  <c r="AC88"/>
  <c r="AD87"/>
  <c r="AC87"/>
  <c r="AD86"/>
  <c r="AC86"/>
  <c r="AD85"/>
  <c r="AC85"/>
  <c r="AD84"/>
  <c r="AC84"/>
  <c r="AD83"/>
  <c r="AC83"/>
  <c r="AD82"/>
  <c r="AC82"/>
  <c r="AD81"/>
  <c r="AC81"/>
  <c r="T71"/>
  <c r="S71"/>
  <c r="Q71"/>
  <c r="AE91"/>
  <c r="R50" i="62"/>
  <c r="S50"/>
  <c r="R49"/>
  <c r="S49"/>
  <c r="G47"/>
  <c r="R48"/>
  <c r="S48"/>
  <c r="G45"/>
  <c r="R47"/>
  <c r="S47"/>
  <c r="G41"/>
  <c r="R46"/>
  <c r="S46"/>
  <c r="G42"/>
  <c r="R45"/>
  <c r="S45"/>
  <c r="G43"/>
  <c r="R44"/>
  <c r="S44"/>
  <c r="G44"/>
  <c r="R43"/>
  <c r="S43"/>
  <c r="G40"/>
  <c r="R42"/>
  <c r="S42"/>
  <c r="G39"/>
  <c r="R41"/>
  <c r="S41"/>
  <c r="G38"/>
  <c r="R37"/>
  <c r="S37"/>
  <c r="R38"/>
  <c r="S38"/>
  <c r="R39"/>
  <c r="S39"/>
  <c r="R40"/>
  <c r="S40"/>
  <c r="R36"/>
  <c r="S36"/>
  <c r="G37"/>
  <c r="R35"/>
  <c r="S35"/>
  <c r="G34"/>
  <c r="R33"/>
  <c r="S33"/>
  <c r="R34"/>
  <c r="S34"/>
  <c r="R32"/>
  <c r="S32"/>
  <c r="R31"/>
  <c r="S31"/>
  <c r="G32"/>
  <c r="R30"/>
  <c r="S30"/>
  <c r="G30"/>
  <c r="K116"/>
  <c r="P116"/>
  <c r="P20" i="7"/>
  <c r="J116" i="62"/>
  <c r="K115"/>
  <c r="P115"/>
  <c r="O20" i="7"/>
  <c r="J115" i="62"/>
  <c r="K114"/>
  <c r="P114"/>
  <c r="N20" i="7"/>
  <c r="J114" i="62"/>
  <c r="P73"/>
  <c r="P74"/>
  <c r="P75"/>
  <c r="P76"/>
  <c r="P77"/>
  <c r="P78"/>
  <c r="P79"/>
  <c r="P80"/>
  <c r="P81"/>
  <c r="P82"/>
  <c r="P83"/>
  <c r="P84"/>
  <c r="P85"/>
  <c r="P86"/>
  <c r="P87"/>
  <c r="P88"/>
  <c r="P89"/>
  <c r="P90"/>
  <c r="P91"/>
  <c r="P72"/>
  <c r="J109"/>
  <c r="J108"/>
  <c r="J104"/>
  <c r="J120"/>
  <c r="J118"/>
  <c r="J117"/>
  <c r="J113"/>
  <c r="J112"/>
  <c r="J106"/>
  <c r="J111"/>
  <c r="J110"/>
  <c r="J107"/>
  <c r="J105"/>
  <c r="J103"/>
  <c r="K120"/>
  <c r="P120"/>
  <c r="T20" i="7"/>
  <c r="K118" i="62"/>
  <c r="K119"/>
  <c r="P119"/>
  <c r="S20" i="7"/>
  <c r="K117" i="62"/>
  <c r="P117"/>
  <c r="Q20" i="7"/>
  <c r="K113" i="62"/>
  <c r="P113"/>
  <c r="M20" i="7"/>
  <c r="K112" i="62"/>
  <c r="K106"/>
  <c r="P106"/>
  <c r="F20" i="7"/>
  <c r="K111" i="62"/>
  <c r="P111"/>
  <c r="K20" i="7"/>
  <c r="K110" i="62"/>
  <c r="P110"/>
  <c r="J20" i="7"/>
  <c r="K109" i="62"/>
  <c r="P109"/>
  <c r="I20" i="7"/>
  <c r="G35" i="62"/>
  <c r="G31"/>
  <c r="G36"/>
  <c r="J119"/>
  <c r="P118"/>
  <c r="R20" i="7"/>
  <c r="P112" i="62"/>
  <c r="L20" i="7"/>
  <c r="U6" i="63"/>
  <c r="V6"/>
  <c r="B7"/>
  <c r="D11" s="1"/>
  <c r="D55" s="1"/>
  <c r="AB55" i="1" s="1"/>
  <c r="G55" s="1"/>
  <c r="C7" i="63"/>
  <c r="D7"/>
  <c r="F11" s="1"/>
  <c r="F54" s="1"/>
  <c r="AA54" i="1" s="1"/>
  <c r="F54" s="1"/>
  <c r="E7" i="63"/>
  <c r="F7"/>
  <c r="G7"/>
  <c r="I11" s="1"/>
  <c r="I55" s="1"/>
  <c r="AG55" i="1" s="1"/>
  <c r="L55" s="1"/>
  <c r="H7" i="63"/>
  <c r="J11" s="1"/>
  <c r="J55" s="1"/>
  <c r="AH55" i="1" s="1"/>
  <c r="M55" s="1"/>
  <c r="I7" i="63"/>
  <c r="K11" s="1"/>
  <c r="K55" s="1"/>
  <c r="AI55" i="1" s="1"/>
  <c r="N55" s="1"/>
  <c r="J7" i="63"/>
  <c r="L11" s="1"/>
  <c r="L55" s="1"/>
  <c r="AJ55" i="1" s="1"/>
  <c r="O55" s="1"/>
  <c r="K7" i="63"/>
  <c r="L7"/>
  <c r="N11" s="1"/>
  <c r="N55" s="1"/>
  <c r="AL55" i="1" s="1"/>
  <c r="Q55" s="1"/>
  <c r="M7" i="63"/>
  <c r="O11" s="1"/>
  <c r="O55" s="1"/>
  <c r="AM55" i="1" s="1"/>
  <c r="R55" s="1"/>
  <c r="N7" i="63"/>
  <c r="P11" s="1"/>
  <c r="P55" s="1"/>
  <c r="AN55" i="1" s="1"/>
  <c r="S55" s="1"/>
  <c r="O7" i="63"/>
  <c r="P7"/>
  <c r="R11" s="1"/>
  <c r="R54" s="1"/>
  <c r="AM54" i="1" s="1"/>
  <c r="R54" s="1"/>
  <c r="Q7" i="63"/>
  <c r="R7"/>
  <c r="S7"/>
  <c r="T7"/>
  <c r="U7"/>
  <c r="A96"/>
  <c r="A95"/>
  <c r="A94"/>
  <c r="A93"/>
  <c r="A92"/>
  <c r="A91"/>
  <c r="A90"/>
  <c r="A89"/>
  <c r="A88"/>
  <c r="A87"/>
  <c r="A86"/>
  <c r="A85"/>
  <c r="A84"/>
  <c r="A83"/>
  <c r="A82"/>
  <c r="A81"/>
  <c r="A80"/>
  <c r="A79"/>
  <c r="A78"/>
  <c r="A77"/>
  <c r="A76"/>
  <c r="A75"/>
  <c r="A71"/>
  <c r="A70"/>
  <c r="A69"/>
  <c r="A68"/>
  <c r="A67"/>
  <c r="A66"/>
  <c r="A65"/>
  <c r="A64"/>
  <c r="A63"/>
  <c r="A62"/>
  <c r="A61"/>
  <c r="A60"/>
  <c r="A59"/>
  <c r="A58"/>
  <c r="A57"/>
  <c r="A56"/>
  <c r="A55"/>
  <c r="A54"/>
  <c r="A53"/>
  <c r="A52"/>
  <c r="A51"/>
  <c r="A50"/>
  <c r="A49"/>
  <c r="A48"/>
  <c r="A47"/>
  <c r="A46"/>
  <c r="A45"/>
  <c r="A44"/>
  <c r="A43"/>
  <c r="A42"/>
  <c r="A41"/>
  <c r="A40"/>
  <c r="A39"/>
  <c r="A38"/>
  <c r="A37"/>
  <c r="A36"/>
  <c r="A35"/>
  <c r="A34"/>
  <c r="A33"/>
  <c r="A32"/>
  <c r="A31"/>
  <c r="A30"/>
  <c r="A29"/>
  <c r="A28"/>
  <c r="A27"/>
  <c r="A26"/>
  <c r="A25"/>
  <c r="A24"/>
  <c r="A23"/>
  <c r="A22"/>
  <c r="A21"/>
  <c r="A20"/>
  <c r="A19"/>
  <c r="A18"/>
  <c r="A17"/>
  <c r="A16"/>
  <c r="A15"/>
  <c r="A14"/>
  <c r="A13"/>
  <c r="A12"/>
  <c r="K108" i="62"/>
  <c r="P108"/>
  <c r="H20" i="7"/>
  <c r="K107" i="62"/>
  <c r="P107"/>
  <c r="G20" i="7"/>
  <c r="K104" i="62"/>
  <c r="P104"/>
  <c r="D20" i="7"/>
  <c r="K105" i="62"/>
  <c r="P105"/>
  <c r="E20" i="7"/>
  <c r="K103" i="62"/>
  <c r="P103"/>
  <c r="C20" i="7"/>
  <c r="Q91" i="62"/>
  <c r="R91"/>
  <c r="Q90"/>
  <c r="Q89"/>
  <c r="L118"/>
  <c r="Q88"/>
  <c r="Q87"/>
  <c r="Q86"/>
  <c r="Q85"/>
  <c r="L117"/>
  <c r="R117"/>
  <c r="Q21" i="7"/>
  <c r="Q84" i="62"/>
  <c r="Q83"/>
  <c r="L112"/>
  <c r="Q82"/>
  <c r="Q81"/>
  <c r="R81"/>
  <c r="Q80"/>
  <c r="Q79"/>
  <c r="R79"/>
  <c r="Q78"/>
  <c r="Q77"/>
  <c r="L110"/>
  <c r="R110"/>
  <c r="J21" i="7"/>
  <c r="Q76" i="62"/>
  <c r="Q75"/>
  <c r="R75"/>
  <c r="Q74"/>
  <c r="R73"/>
  <c r="M105"/>
  <c r="Q105"/>
  <c r="E19" i="7"/>
  <c r="Q73" i="62"/>
  <c r="L105"/>
  <c r="R105"/>
  <c r="E21" i="7"/>
  <c r="Q72" i="62"/>
  <c r="L103"/>
  <c r="R103"/>
  <c r="C21" i="7"/>
  <c r="D31"/>
  <c r="E31"/>
  <c r="F31"/>
  <c r="G31"/>
  <c r="H31"/>
  <c r="I31"/>
  <c r="J31"/>
  <c r="K31"/>
  <c r="L31"/>
  <c r="M31"/>
  <c r="N31"/>
  <c r="O31"/>
  <c r="P31"/>
  <c r="Q31"/>
  <c r="R31"/>
  <c r="S31"/>
  <c r="T31"/>
  <c r="D33"/>
  <c r="E33"/>
  <c r="F33"/>
  <c r="G33"/>
  <c r="H33"/>
  <c r="I33"/>
  <c r="J33"/>
  <c r="K33"/>
  <c r="K30" s="1"/>
  <c r="L33"/>
  <c r="M33"/>
  <c r="N33"/>
  <c r="O33"/>
  <c r="P33"/>
  <c r="Q33"/>
  <c r="Q30"/>
  <c r="R33"/>
  <c r="S33"/>
  <c r="T33"/>
  <c r="D34"/>
  <c r="D32" s="1"/>
  <c r="E34"/>
  <c r="F34"/>
  <c r="G34"/>
  <c r="H34"/>
  <c r="I34"/>
  <c r="J34"/>
  <c r="K34"/>
  <c r="K32"/>
  <c r="L34"/>
  <c r="M34"/>
  <c r="N34"/>
  <c r="O34"/>
  <c r="P34"/>
  <c r="Q34"/>
  <c r="Q32"/>
  <c r="R34"/>
  <c r="S34"/>
  <c r="T34"/>
  <c r="D35"/>
  <c r="E35"/>
  <c r="F35"/>
  <c r="G35"/>
  <c r="H35"/>
  <c r="I35"/>
  <c r="J35"/>
  <c r="K35"/>
  <c r="L35"/>
  <c r="M35"/>
  <c r="N35"/>
  <c r="O35"/>
  <c r="P35"/>
  <c r="Q35"/>
  <c r="R35"/>
  <c r="S35"/>
  <c r="T35"/>
  <c r="D36"/>
  <c r="E36"/>
  <c r="F36"/>
  <c r="G36"/>
  <c r="H36"/>
  <c r="I36"/>
  <c r="J36"/>
  <c r="K36"/>
  <c r="L36"/>
  <c r="M36"/>
  <c r="N36"/>
  <c r="O36"/>
  <c r="P36"/>
  <c r="Q36"/>
  <c r="R36"/>
  <c r="S36"/>
  <c r="T36"/>
  <c r="C36"/>
  <c r="C35"/>
  <c r="C34"/>
  <c r="C33"/>
  <c r="C30" s="1"/>
  <c r="C31"/>
  <c r="C79"/>
  <c r="C81"/>
  <c r="C78"/>
  <c r="C82"/>
  <c r="C80" s="1"/>
  <c r="R88" i="62"/>
  <c r="M114"/>
  <c r="Q114"/>
  <c r="N19" i="7"/>
  <c r="L114" i="62"/>
  <c r="R114"/>
  <c r="N21" i="7"/>
  <c r="R86" i="62"/>
  <c r="M116"/>
  <c r="Q116"/>
  <c r="P19" i="7"/>
  <c r="L116" i="62"/>
  <c r="R116"/>
  <c r="P21" i="7"/>
  <c r="R77" i="62"/>
  <c r="M110"/>
  <c r="Q110"/>
  <c r="J19" i="7"/>
  <c r="R83" i="62"/>
  <c r="M112"/>
  <c r="R89"/>
  <c r="M118"/>
  <c r="R82"/>
  <c r="M111"/>
  <c r="Q111"/>
  <c r="K19" i="7"/>
  <c r="L111" i="62"/>
  <c r="R111"/>
  <c r="K21" i="7"/>
  <c r="R84" i="62"/>
  <c r="M113"/>
  <c r="Q113"/>
  <c r="M19" i="7"/>
  <c r="L113" i="62"/>
  <c r="R113"/>
  <c r="M21" i="7"/>
  <c r="R87" i="62"/>
  <c r="M115"/>
  <c r="Q115"/>
  <c r="O19" i="7"/>
  <c r="L115" i="62"/>
  <c r="R115"/>
  <c r="O21" i="7"/>
  <c r="R90" i="62"/>
  <c r="M120"/>
  <c r="Q120"/>
  <c r="T19" i="7"/>
  <c r="L120" i="62"/>
  <c r="R120"/>
  <c r="T21" i="7"/>
  <c r="R80" i="62"/>
  <c r="M108"/>
  <c r="Q108"/>
  <c r="H19" i="7"/>
  <c r="L108" i="62"/>
  <c r="R108"/>
  <c r="H21" i="7"/>
  <c r="L106" i="62"/>
  <c r="R106"/>
  <c r="F21" i="7"/>
  <c r="R112" i="62"/>
  <c r="L21" i="7"/>
  <c r="L119" i="62"/>
  <c r="R119"/>
  <c r="S21" i="7"/>
  <c r="R118" i="62"/>
  <c r="R21" i="7"/>
  <c r="L109" i="62"/>
  <c r="R109"/>
  <c r="I21" i="7"/>
  <c r="R85" i="62"/>
  <c r="M117"/>
  <c r="Q117"/>
  <c r="Q19" i="7"/>
  <c r="R76" i="62"/>
  <c r="M107"/>
  <c r="Q107"/>
  <c r="G19" i="7"/>
  <c r="L107" i="62"/>
  <c r="R107"/>
  <c r="G21" i="7"/>
  <c r="R78" i="62"/>
  <c r="M109"/>
  <c r="Q109"/>
  <c r="I19" i="7"/>
  <c r="R74" i="62"/>
  <c r="M104"/>
  <c r="Q104"/>
  <c r="D19" i="7"/>
  <c r="L104" i="62"/>
  <c r="R104"/>
  <c r="D21" i="7"/>
  <c r="J121" i="62"/>
  <c r="R72"/>
  <c r="M103"/>
  <c r="Q103"/>
  <c r="C19" i="7"/>
  <c r="D46" i="62"/>
  <c r="E46"/>
  <c r="D47"/>
  <c r="E47"/>
  <c r="E45"/>
  <c r="D45"/>
  <c r="E43"/>
  <c r="E44"/>
  <c r="E42"/>
  <c r="E41"/>
  <c r="E40"/>
  <c r="E39"/>
  <c r="E38"/>
  <c r="E37"/>
  <c r="E36"/>
  <c r="E35"/>
  <c r="E34"/>
  <c r="E33"/>
  <c r="E32"/>
  <c r="E31"/>
  <c r="E30"/>
  <c r="D30"/>
  <c r="T15" i="7"/>
  <c r="S15"/>
  <c r="P15"/>
  <c r="O15"/>
  <c r="M15"/>
  <c r="L15"/>
  <c r="J15"/>
  <c r="F15"/>
  <c r="B23" i="62"/>
  <c r="Q15" i="7"/>
  <c r="C15"/>
  <c r="J46" i="62"/>
  <c r="J31"/>
  <c r="J35"/>
  <c r="J34"/>
  <c r="L31"/>
  <c r="D22" i="7"/>
  <c r="L35" i="62"/>
  <c r="H22" i="7"/>
  <c r="L39" i="62"/>
  <c r="L22" i="7"/>
  <c r="L43" i="62"/>
  <c r="P22" i="7"/>
  <c r="L47" i="62"/>
  <c r="T22" i="7"/>
  <c r="L46" i="62"/>
  <c r="S22" i="7"/>
  <c r="L37" i="62"/>
  <c r="J22" i="7"/>
  <c r="L32" i="62"/>
  <c r="E22" i="7"/>
  <c r="L36" i="62"/>
  <c r="I22" i="7"/>
  <c r="L40" i="62"/>
  <c r="M22" i="7"/>
  <c r="L44" i="62"/>
  <c r="L30"/>
  <c r="C22" i="7"/>
  <c r="L34" i="62"/>
  <c r="G22" i="7"/>
  <c r="L38" i="62"/>
  <c r="L42"/>
  <c r="O22" i="7"/>
  <c r="L33" i="62"/>
  <c r="F22" i="7"/>
  <c r="L41" i="62"/>
  <c r="N22" i="7"/>
  <c r="L45" i="62"/>
  <c r="R22" i="7"/>
  <c r="J45" i="62"/>
  <c r="J38"/>
  <c r="J43"/>
  <c r="J42"/>
  <c r="M106"/>
  <c r="Q106"/>
  <c r="F19" i="7"/>
  <c r="Q112" i="62"/>
  <c r="L19" i="7"/>
  <c r="M119" i="62"/>
  <c r="Q119"/>
  <c r="S19" i="7"/>
  <c r="Q118" i="62"/>
  <c r="R19" i="7"/>
  <c r="J47" i="62"/>
  <c r="J39"/>
  <c r="J41"/>
  <c r="J37"/>
  <c r="J33"/>
  <c r="E48"/>
  <c r="F32"/>
  <c r="K32"/>
  <c r="J30"/>
  <c r="J44"/>
  <c r="J40"/>
  <c r="J36"/>
  <c r="J32"/>
  <c r="D66" i="59"/>
  <c r="E66"/>
  <c r="F66"/>
  <c r="H66"/>
  <c r="I66"/>
  <c r="D67"/>
  <c r="E67"/>
  <c r="F67"/>
  <c r="H67"/>
  <c r="I67"/>
  <c r="D68"/>
  <c r="E68"/>
  <c r="F68"/>
  <c r="H68"/>
  <c r="I68"/>
  <c r="D69"/>
  <c r="E69"/>
  <c r="F69"/>
  <c r="H69"/>
  <c r="I69"/>
  <c r="D70"/>
  <c r="E70"/>
  <c r="F70"/>
  <c r="H70"/>
  <c r="I70"/>
  <c r="D71"/>
  <c r="E71"/>
  <c r="F71"/>
  <c r="H71"/>
  <c r="I71"/>
  <c r="D72"/>
  <c r="E72"/>
  <c r="F72"/>
  <c r="H72"/>
  <c r="I72"/>
  <c r="D73"/>
  <c r="E73"/>
  <c r="F73"/>
  <c r="H73"/>
  <c r="I73"/>
  <c r="D74"/>
  <c r="E74"/>
  <c r="F74"/>
  <c r="H74"/>
  <c r="I74"/>
  <c r="D75"/>
  <c r="E75"/>
  <c r="F75"/>
  <c r="H75"/>
  <c r="I75"/>
  <c r="D76"/>
  <c r="E76"/>
  <c r="F76"/>
  <c r="H76"/>
  <c r="I76"/>
  <c r="D77"/>
  <c r="E77"/>
  <c r="F77"/>
  <c r="H77"/>
  <c r="I77"/>
  <c r="D78"/>
  <c r="E78"/>
  <c r="F78"/>
  <c r="H78"/>
  <c r="I78"/>
  <c r="D79"/>
  <c r="E79"/>
  <c r="F79"/>
  <c r="H79"/>
  <c r="I79"/>
  <c r="D80"/>
  <c r="E80"/>
  <c r="F80"/>
  <c r="H80"/>
  <c r="I80"/>
  <c r="D81"/>
  <c r="E81"/>
  <c r="F81"/>
  <c r="H81"/>
  <c r="I81"/>
  <c r="D82"/>
  <c r="E82"/>
  <c r="F82"/>
  <c r="H82"/>
  <c r="I82"/>
  <c r="D83"/>
  <c r="E83"/>
  <c r="F83"/>
  <c r="H83"/>
  <c r="I83"/>
  <c r="E84"/>
  <c r="F84"/>
  <c r="H84"/>
  <c r="I84"/>
  <c r="A66"/>
  <c r="B66"/>
  <c r="A67"/>
  <c r="B67"/>
  <c r="A68"/>
  <c r="B68"/>
  <c r="A69"/>
  <c r="B69"/>
  <c r="A70"/>
  <c r="B70"/>
  <c r="A71"/>
  <c r="B71"/>
  <c r="A72"/>
  <c r="B72"/>
  <c r="A73"/>
  <c r="B73"/>
  <c r="A74"/>
  <c r="B74"/>
  <c r="A75"/>
  <c r="B75"/>
  <c r="A76"/>
  <c r="B76"/>
  <c r="A77"/>
  <c r="B77"/>
  <c r="A78"/>
  <c r="B78"/>
  <c r="A79"/>
  <c r="B79"/>
  <c r="A80"/>
  <c r="B80"/>
  <c r="A81"/>
  <c r="B81"/>
  <c r="A82"/>
  <c r="B82"/>
  <c r="A83"/>
  <c r="B83"/>
  <c r="A84"/>
  <c r="B84"/>
  <c r="J48" i="62"/>
  <c r="T23" i="7"/>
  <c r="Q23"/>
  <c r="R30"/>
  <c r="S23"/>
  <c r="S32"/>
  <c r="S30"/>
  <c r="H30"/>
  <c r="O23"/>
  <c r="J30"/>
  <c r="J32"/>
  <c r="L23"/>
  <c r="I30"/>
  <c r="I32"/>
  <c r="E32"/>
  <c r="P23"/>
  <c r="P30"/>
  <c r="P32"/>
  <c r="F31" i="62"/>
  <c r="K31"/>
  <c r="F38"/>
  <c r="K38"/>
  <c r="F46"/>
  <c r="K46"/>
  <c r="F43"/>
  <c r="K43"/>
  <c r="F42"/>
  <c r="K42"/>
  <c r="F39"/>
  <c r="K39"/>
  <c r="F44"/>
  <c r="K44"/>
  <c r="F30"/>
  <c r="K30"/>
  <c r="F33"/>
  <c r="K33"/>
  <c r="F37"/>
  <c r="K37"/>
  <c r="J17" i="7"/>
  <c r="F41" i="62"/>
  <c r="K41"/>
  <c r="F45"/>
  <c r="K45"/>
  <c r="F34"/>
  <c r="K34"/>
  <c r="F40"/>
  <c r="K40"/>
  <c r="F35"/>
  <c r="K35"/>
  <c r="F47"/>
  <c r="K47"/>
  <c r="F36"/>
  <c r="K36"/>
  <c r="H55" i="56"/>
  <c r="F55" i="20" s="1"/>
  <c r="D79" i="7"/>
  <c r="E79"/>
  <c r="F79"/>
  <c r="G79"/>
  <c r="H79"/>
  <c r="I79"/>
  <c r="J79"/>
  <c r="K79"/>
  <c r="L79"/>
  <c r="M79"/>
  <c r="N79"/>
  <c r="O79"/>
  <c r="P79"/>
  <c r="Q79"/>
  <c r="R79"/>
  <c r="S79"/>
  <c r="T79"/>
  <c r="D81"/>
  <c r="E81"/>
  <c r="E78"/>
  <c r="F81"/>
  <c r="F78" s="1"/>
  <c r="G81"/>
  <c r="G78"/>
  <c r="H81"/>
  <c r="I81"/>
  <c r="I78"/>
  <c r="J81"/>
  <c r="J78" s="1"/>
  <c r="K81"/>
  <c r="K78"/>
  <c r="L81"/>
  <c r="L78" s="1"/>
  <c r="M81"/>
  <c r="M78"/>
  <c r="N81"/>
  <c r="N78" s="1"/>
  <c r="O81"/>
  <c r="O78"/>
  <c r="P81"/>
  <c r="P78" s="1"/>
  <c r="Q81"/>
  <c r="Q78"/>
  <c r="R81"/>
  <c r="R78" s="1"/>
  <c r="S81"/>
  <c r="S78"/>
  <c r="T81"/>
  <c r="T78" s="1"/>
  <c r="D82"/>
  <c r="D80"/>
  <c r="E82"/>
  <c r="E80" s="1"/>
  <c r="F82"/>
  <c r="F80"/>
  <c r="G82"/>
  <c r="G80" s="1"/>
  <c r="H82"/>
  <c r="H80"/>
  <c r="I82"/>
  <c r="I80" s="1"/>
  <c r="J82"/>
  <c r="J80"/>
  <c r="K82"/>
  <c r="K80" s="1"/>
  <c r="L82"/>
  <c r="L80"/>
  <c r="M82"/>
  <c r="M80" s="1"/>
  <c r="N82"/>
  <c r="N80"/>
  <c r="O82"/>
  <c r="O80" s="1"/>
  <c r="P82"/>
  <c r="P80"/>
  <c r="Q82"/>
  <c r="Q80" s="1"/>
  <c r="R82"/>
  <c r="S82"/>
  <c r="S80"/>
  <c r="T82"/>
  <c r="T80" s="1"/>
  <c r="D83"/>
  <c r="E83"/>
  <c r="F83"/>
  <c r="G83"/>
  <c r="H83"/>
  <c r="I83"/>
  <c r="J83"/>
  <c r="K83"/>
  <c r="L83"/>
  <c r="M83"/>
  <c r="N83"/>
  <c r="O83"/>
  <c r="P83"/>
  <c r="Q83"/>
  <c r="R83"/>
  <c r="S83"/>
  <c r="T83"/>
  <c r="D84"/>
  <c r="E84"/>
  <c r="F84"/>
  <c r="G84"/>
  <c r="H84"/>
  <c r="I84"/>
  <c r="J84"/>
  <c r="K84"/>
  <c r="L84"/>
  <c r="M84"/>
  <c r="N84"/>
  <c r="O84"/>
  <c r="P84"/>
  <c r="Q84"/>
  <c r="R84"/>
  <c r="S84"/>
  <c r="T84"/>
  <c r="E17"/>
  <c r="K48" i="62"/>
  <c r="I17" i="7"/>
  <c r="N17"/>
  <c r="G17"/>
  <c r="M17"/>
  <c r="K17"/>
  <c r="J23"/>
  <c r="F17"/>
  <c r="H17"/>
  <c r="R80"/>
  <c r="H78"/>
  <c r="D78"/>
  <c r="C84"/>
  <c r="C83"/>
  <c r="D17"/>
  <c r="C17"/>
  <c r="M23"/>
  <c r="F23"/>
  <c r="C23"/>
  <c r="K6" i="20"/>
  <c r="H96" i="56"/>
  <c r="D84" i="59" s="1"/>
  <c r="H54" i="56"/>
  <c r="U41" i="1"/>
  <c r="M140" i="60"/>
  <c r="M139"/>
  <c r="M138"/>
  <c r="M137"/>
  <c r="M136"/>
  <c r="M135"/>
  <c r="M134"/>
  <c r="M133"/>
  <c r="M132"/>
  <c r="M131"/>
  <c r="AB71"/>
  <c r="AB72"/>
  <c r="AB73"/>
  <c r="AB74"/>
  <c r="AB70"/>
  <c r="V71"/>
  <c r="W71"/>
  <c r="P29"/>
  <c r="V70"/>
  <c r="W70"/>
  <c r="P28"/>
  <c r="T74"/>
  <c r="T73"/>
  <c r="V72"/>
  <c r="W72"/>
  <c r="P30"/>
  <c r="T72"/>
  <c r="T71"/>
  <c r="T70"/>
  <c r="P45"/>
  <c r="P44"/>
  <c r="P42"/>
  <c r="P43" s="1"/>
  <c r="P41"/>
  <c r="P31"/>
  <c r="P32" s="1"/>
  <c r="P33" s="1"/>
  <c r="P34" s="1"/>
  <c r="P40"/>
  <c r="P39"/>
  <c r="P37"/>
  <c r="P36"/>
  <c r="P35"/>
  <c r="E4"/>
  <c r="L39"/>
  <c r="N5"/>
  <c r="P62"/>
  <c r="O62"/>
  <c r="P61"/>
  <c r="L38"/>
  <c r="M5"/>
  <c r="O61"/>
  <c r="K34"/>
  <c r="L34"/>
  <c r="I5"/>
  <c r="P90"/>
  <c r="O90"/>
  <c r="P89"/>
  <c r="L33"/>
  <c r="H5"/>
  <c r="O89"/>
  <c r="M33"/>
  <c r="H6"/>
  <c r="P88"/>
  <c r="L32"/>
  <c r="G5"/>
  <c r="O88"/>
  <c r="M32"/>
  <c r="G6"/>
  <c r="P87"/>
  <c r="L31"/>
  <c r="F5"/>
  <c r="O87"/>
  <c r="M31"/>
  <c r="F6"/>
  <c r="I12"/>
  <c r="I13"/>
  <c r="I14"/>
  <c r="I15"/>
  <c r="I16"/>
  <c r="I17"/>
  <c r="I18"/>
  <c r="M34"/>
  <c r="I6"/>
  <c r="I19"/>
  <c r="I20"/>
  <c r="I21"/>
  <c r="I11"/>
  <c r="H14"/>
  <c r="H15"/>
  <c r="H18"/>
  <c r="H19"/>
  <c r="H11"/>
  <c r="K116"/>
  <c r="H12"/>
  <c r="K117"/>
  <c r="H13"/>
  <c r="K118"/>
  <c r="K119"/>
  <c r="K120"/>
  <c r="H16"/>
  <c r="K121"/>
  <c r="H17"/>
  <c r="K122"/>
  <c r="K123"/>
  <c r="K124"/>
  <c r="H20"/>
  <c r="K125"/>
  <c r="H21"/>
  <c r="M28"/>
  <c r="C6"/>
  <c r="K30"/>
  <c r="L30"/>
  <c r="E5"/>
  <c r="L28"/>
  <c r="C5"/>
  <c r="P72"/>
  <c r="O72"/>
  <c r="M30"/>
  <c r="E6"/>
  <c r="P71"/>
  <c r="L29"/>
  <c r="D5"/>
  <c r="O71"/>
  <c r="M29"/>
  <c r="D6"/>
  <c r="P70"/>
  <c r="O70"/>
  <c r="K28"/>
  <c r="N34"/>
  <c r="I4"/>
  <c r="N30"/>
  <c r="K31"/>
  <c r="K32"/>
  <c r="K29"/>
  <c r="D4"/>
  <c r="K33"/>
  <c r="N28"/>
  <c r="N29"/>
  <c r="Y1" i="55"/>
  <c r="H4" i="60"/>
  <c r="N33"/>
  <c r="N31"/>
  <c r="F4"/>
  <c r="G4"/>
  <c r="N32"/>
  <c r="D2" i="61"/>
  <c r="E2"/>
  <c r="F2"/>
  <c r="G2"/>
  <c r="H2"/>
  <c r="I2"/>
  <c r="J2"/>
  <c r="K2"/>
  <c r="L2"/>
  <c r="M2"/>
  <c r="N2"/>
  <c r="O2"/>
  <c r="P2"/>
  <c r="Q2"/>
  <c r="R2"/>
  <c r="S2"/>
  <c r="T2"/>
  <c r="U2"/>
  <c r="V2"/>
  <c r="G67" i="7"/>
  <c r="H67"/>
  <c r="I67"/>
  <c r="F68"/>
  <c r="G68"/>
  <c r="H68"/>
  <c r="I68"/>
  <c r="M68"/>
  <c r="N68"/>
  <c r="T68"/>
  <c r="S69"/>
  <c r="T69"/>
  <c r="D67"/>
  <c r="D68"/>
  <c r="E68"/>
  <c r="C68"/>
  <c r="C69"/>
  <c r="C67"/>
  <c r="L12" i="60"/>
  <c r="M12"/>
  <c r="N12"/>
  <c r="L13"/>
  <c r="M13"/>
  <c r="L41"/>
  <c r="P5"/>
  <c r="P68" i="7"/>
  <c r="N13" i="60"/>
  <c r="L14"/>
  <c r="E67" i="7"/>
  <c r="M14" i="60"/>
  <c r="N14"/>
  <c r="E69" i="7"/>
  <c r="L15" i="60"/>
  <c r="M15"/>
  <c r="L45"/>
  <c r="T5"/>
  <c r="N15"/>
  <c r="M45"/>
  <c r="T6"/>
  <c r="L16"/>
  <c r="M16"/>
  <c r="L43"/>
  <c r="N16"/>
  <c r="L17"/>
  <c r="M17"/>
  <c r="L40"/>
  <c r="O5"/>
  <c r="O68" i="7"/>
  <c r="N17" i="60"/>
  <c r="L18"/>
  <c r="F67" i="7"/>
  <c r="M18" i="60"/>
  <c r="N18"/>
  <c r="G69" i="7"/>
  <c r="L19" i="60"/>
  <c r="K35"/>
  <c r="M19"/>
  <c r="L35"/>
  <c r="N19"/>
  <c r="M35"/>
  <c r="L20"/>
  <c r="M20"/>
  <c r="L37"/>
  <c r="L5"/>
  <c r="L68" i="7"/>
  <c r="N20" i="60"/>
  <c r="L21"/>
  <c r="M21"/>
  <c r="N21"/>
  <c r="N11"/>
  <c r="M44"/>
  <c r="S6"/>
  <c r="L11"/>
  <c r="M11"/>
  <c r="L44"/>
  <c r="S5"/>
  <c r="S68" i="7"/>
  <c r="O16" i="60"/>
  <c r="K43"/>
  <c r="R5"/>
  <c r="R68" i="7"/>
  <c r="L42" i="60"/>
  <c r="Q5"/>
  <c r="K45"/>
  <c r="P69" i="7"/>
  <c r="M41" i="60"/>
  <c r="P6"/>
  <c r="L36"/>
  <c r="K5"/>
  <c r="J5"/>
  <c r="J68" i="7"/>
  <c r="M43" i="60"/>
  <c r="M39"/>
  <c r="N6"/>
  <c r="N69" i="7"/>
  <c r="M38" i="60"/>
  <c r="M6"/>
  <c r="M69" i="7"/>
  <c r="O20" i="60"/>
  <c r="K37"/>
  <c r="O12"/>
  <c r="K38"/>
  <c r="K39"/>
  <c r="J4"/>
  <c r="N35"/>
  <c r="K36"/>
  <c r="M40"/>
  <c r="O6"/>
  <c r="O69" i="7"/>
  <c r="L69"/>
  <c r="M37" i="60"/>
  <c r="L6"/>
  <c r="O11"/>
  <c r="K44"/>
  <c r="J6"/>
  <c r="J69" i="7"/>
  <c r="M36" i="60"/>
  <c r="K6"/>
  <c r="K40"/>
  <c r="K41"/>
  <c r="D69" i="7"/>
  <c r="F69"/>
  <c r="O21" i="60"/>
  <c r="O18"/>
  <c r="H69" i="7"/>
  <c r="I69"/>
  <c r="O14" i="60"/>
  <c r="J67" i="7"/>
  <c r="O17" i="60"/>
  <c r="O13"/>
  <c r="O19"/>
  <c r="O15"/>
  <c r="X13" i="3"/>
  <c r="Y13" s="1"/>
  <c r="X14"/>
  <c r="Y14" s="1"/>
  <c r="X15"/>
  <c r="Y15" s="1"/>
  <c r="X16"/>
  <c r="Y16" s="1"/>
  <c r="X17"/>
  <c r="Y17" s="1"/>
  <c r="X18"/>
  <c r="Y18" s="1"/>
  <c r="X19"/>
  <c r="Y19" s="1"/>
  <c r="X20"/>
  <c r="Y20" s="1"/>
  <c r="X21"/>
  <c r="Y21" s="1"/>
  <c r="X22"/>
  <c r="Y22" s="1"/>
  <c r="X23"/>
  <c r="Y23" s="1"/>
  <c r="X24"/>
  <c r="Y24" s="1"/>
  <c r="X25"/>
  <c r="Y25" s="1"/>
  <c r="X26"/>
  <c r="Y26" s="1"/>
  <c r="X27"/>
  <c r="Y27" s="1"/>
  <c r="X28"/>
  <c r="Y28" s="1"/>
  <c r="X29"/>
  <c r="Y29" s="1"/>
  <c r="X30"/>
  <c r="Y30" s="1"/>
  <c r="X31"/>
  <c r="Y31" s="1"/>
  <c r="X32"/>
  <c r="Y32" s="1"/>
  <c r="X33"/>
  <c r="Y33" s="1"/>
  <c r="X34"/>
  <c r="Y34" s="1"/>
  <c r="X35"/>
  <c r="Y35" s="1"/>
  <c r="X36"/>
  <c r="Y36" s="1"/>
  <c r="X37"/>
  <c r="Y37" s="1"/>
  <c r="X38"/>
  <c r="Y38" s="1"/>
  <c r="X39"/>
  <c r="Y39" s="1"/>
  <c r="X40"/>
  <c r="Y40" s="1"/>
  <c r="X41"/>
  <c r="Y41" s="1"/>
  <c r="X42"/>
  <c r="Y42" s="1"/>
  <c r="X43"/>
  <c r="Y43" s="1"/>
  <c r="X44"/>
  <c r="Y44" s="1"/>
  <c r="X45"/>
  <c r="Y45" s="1"/>
  <c r="X46"/>
  <c r="Y46" s="1"/>
  <c r="X47"/>
  <c r="Y47" s="1"/>
  <c r="X48"/>
  <c r="Y48" s="1"/>
  <c r="X49"/>
  <c r="Y49" s="1"/>
  <c r="X50"/>
  <c r="Y50"/>
  <c r="X51"/>
  <c r="Y51" s="1"/>
  <c r="X52"/>
  <c r="Y52" s="1"/>
  <c r="X53"/>
  <c r="Y53" s="1"/>
  <c r="X54"/>
  <c r="Y54" s="1"/>
  <c r="X55"/>
  <c r="Y55" s="1"/>
  <c r="X56"/>
  <c r="Y56"/>
  <c r="X57"/>
  <c r="Y57" s="1"/>
  <c r="X58"/>
  <c r="Y58" s="1"/>
  <c r="X59"/>
  <c r="X60"/>
  <c r="Y60" s="1"/>
  <c r="X61"/>
  <c r="Y61" s="1"/>
  <c r="X62"/>
  <c r="Y62" s="1"/>
  <c r="X63"/>
  <c r="Y63" s="1"/>
  <c r="X64"/>
  <c r="Y64" s="1"/>
  <c r="X65"/>
  <c r="X66"/>
  <c r="Y66" s="1"/>
  <c r="X67"/>
  <c r="Y67" s="1"/>
  <c r="X68"/>
  <c r="Y68"/>
  <c r="X69"/>
  <c r="Y69" s="1"/>
  <c r="X70"/>
  <c r="Y70" s="1"/>
  <c r="X71"/>
  <c r="Y71" s="1"/>
  <c r="X75"/>
  <c r="Y75" s="1"/>
  <c r="X76"/>
  <c r="Y76" s="1"/>
  <c r="X77"/>
  <c r="Y77" s="1"/>
  <c r="X78"/>
  <c r="Y78" s="1"/>
  <c r="X79"/>
  <c r="Y79" s="1"/>
  <c r="X80"/>
  <c r="Y80" s="1"/>
  <c r="X81"/>
  <c r="Y81" s="1"/>
  <c r="X82"/>
  <c r="Y82" s="1"/>
  <c r="X83"/>
  <c r="Y83" s="1"/>
  <c r="X84"/>
  <c r="Y84" s="1"/>
  <c r="X85"/>
  <c r="Y85" s="1"/>
  <c r="X86"/>
  <c r="Y86" s="1"/>
  <c r="X87"/>
  <c r="Y87" s="1"/>
  <c r="X88"/>
  <c r="Y88" s="1"/>
  <c r="X89"/>
  <c r="Y89" s="1"/>
  <c r="X90"/>
  <c r="Y90" s="1"/>
  <c r="X91"/>
  <c r="Y91" s="1"/>
  <c r="X92"/>
  <c r="Y92" s="1"/>
  <c r="X93"/>
  <c r="Y93" s="1"/>
  <c r="X94"/>
  <c r="Y94" s="1"/>
  <c r="X95"/>
  <c r="Y95" s="1"/>
  <c r="X96"/>
  <c r="Y96" s="1"/>
  <c r="X12"/>
  <c r="Y12" s="1"/>
  <c r="T4" i="60"/>
  <c r="T67" i="7"/>
  <c r="N45" i="60"/>
  <c r="P4"/>
  <c r="P67" i="7"/>
  <c r="N41" i="60"/>
  <c r="M4"/>
  <c r="M67" i="7"/>
  <c r="N38" i="60"/>
  <c r="N40"/>
  <c r="O4"/>
  <c r="O67" i="7"/>
  <c r="N44" i="60"/>
  <c r="S4"/>
  <c r="S67" i="7"/>
  <c r="L4" i="60"/>
  <c r="L67" i="7"/>
  <c r="N37" i="60"/>
  <c r="K42"/>
  <c r="R4"/>
  <c r="N43"/>
  <c r="K4"/>
  <c r="N36"/>
  <c r="N39"/>
  <c r="N4"/>
  <c r="N67" i="7"/>
  <c r="R6" i="60"/>
  <c r="R69" i="7"/>
  <c r="M42" i="60"/>
  <c r="Q6"/>
  <c r="R67" i="7"/>
  <c r="M26" i="57"/>
  <c r="M8"/>
  <c r="M9"/>
  <c r="M10"/>
  <c r="M11"/>
  <c r="M12"/>
  <c r="M13"/>
  <c r="M14"/>
  <c r="M15"/>
  <c r="M16"/>
  <c r="M17"/>
  <c r="M18"/>
  <c r="M19"/>
  <c r="M20"/>
  <c r="M21"/>
  <c r="M22"/>
  <c r="M23"/>
  <c r="M24"/>
  <c r="M7"/>
  <c r="Q4" i="60"/>
  <c r="N42"/>
  <c r="C28" i="4"/>
  <c r="D28"/>
  <c r="E28"/>
  <c r="F28"/>
  <c r="G28"/>
  <c r="H28"/>
  <c r="I28"/>
  <c r="J28"/>
  <c r="K28"/>
  <c r="L28"/>
  <c r="M28"/>
  <c r="N28"/>
  <c r="O28"/>
  <c r="P28"/>
  <c r="Q28"/>
  <c r="R28"/>
  <c r="S28"/>
  <c r="T28"/>
  <c r="C29"/>
  <c r="D29"/>
  <c r="E29"/>
  <c r="F29"/>
  <c r="G29"/>
  <c r="H29"/>
  <c r="I29"/>
  <c r="J29"/>
  <c r="K29"/>
  <c r="L29"/>
  <c r="M29"/>
  <c r="N29"/>
  <c r="O29"/>
  <c r="P29"/>
  <c r="Q29"/>
  <c r="R29"/>
  <c r="S29"/>
  <c r="T29"/>
  <c r="D27"/>
  <c r="E27"/>
  <c r="F27"/>
  <c r="G27"/>
  <c r="H27"/>
  <c r="I27"/>
  <c r="J27"/>
  <c r="K27"/>
  <c r="L27"/>
  <c r="M27"/>
  <c r="N27"/>
  <c r="O27"/>
  <c r="P27"/>
  <c r="Q27"/>
  <c r="R27"/>
  <c r="S27"/>
  <c r="T27"/>
  <c r="C27"/>
  <c r="U11"/>
  <c r="C10" i="19"/>
  <c r="J44" i="11"/>
  <c r="H44"/>
  <c r="J32"/>
  <c r="H32"/>
  <c r="J30"/>
  <c r="H30"/>
  <c r="J29"/>
  <c r="T23" i="4"/>
  <c r="S23"/>
  <c r="R23"/>
  <c r="Q23"/>
  <c r="P23"/>
  <c r="O23"/>
  <c r="N23"/>
  <c r="M23"/>
  <c r="L23"/>
  <c r="K23"/>
  <c r="J23"/>
  <c r="I23"/>
  <c r="H23"/>
  <c r="G23"/>
  <c r="F23"/>
  <c r="E23"/>
  <c r="D23"/>
  <c r="C23"/>
  <c r="T22"/>
  <c r="S22"/>
  <c r="R22"/>
  <c r="Q22"/>
  <c r="P22"/>
  <c r="O22"/>
  <c r="N22"/>
  <c r="M22"/>
  <c r="L22"/>
  <c r="K22"/>
  <c r="J22"/>
  <c r="I22"/>
  <c r="H22"/>
  <c r="G22"/>
  <c r="F22"/>
  <c r="E22"/>
  <c r="D22"/>
  <c r="C22"/>
  <c r="I65" i="59"/>
  <c r="H65"/>
  <c r="F65"/>
  <c r="E65"/>
  <c r="D65"/>
  <c r="B65"/>
  <c r="A65"/>
  <c r="I64"/>
  <c r="H64"/>
  <c r="F64"/>
  <c r="E64"/>
  <c r="D64"/>
  <c r="B64"/>
  <c r="A64"/>
  <c r="I63"/>
  <c r="H63"/>
  <c r="F63"/>
  <c r="E63"/>
  <c r="D63"/>
  <c r="B63"/>
  <c r="A63"/>
  <c r="I62"/>
  <c r="H62"/>
  <c r="F62"/>
  <c r="E62"/>
  <c r="D62"/>
  <c r="B62"/>
  <c r="A62"/>
  <c r="I61"/>
  <c r="H61"/>
  <c r="F61"/>
  <c r="E61"/>
  <c r="D61"/>
  <c r="B61"/>
  <c r="A61"/>
  <c r="I60"/>
  <c r="H60"/>
  <c r="F60"/>
  <c r="E60"/>
  <c r="D60"/>
  <c r="B60"/>
  <c r="A60"/>
  <c r="I59"/>
  <c r="H59"/>
  <c r="F59"/>
  <c r="E59"/>
  <c r="D59"/>
  <c r="B59"/>
  <c r="A59"/>
  <c r="I58"/>
  <c r="H58"/>
  <c r="F58"/>
  <c r="E58"/>
  <c r="D58"/>
  <c r="B58"/>
  <c r="A58"/>
  <c r="I57"/>
  <c r="H57"/>
  <c r="F57"/>
  <c r="E57"/>
  <c r="D57"/>
  <c r="B57"/>
  <c r="A57"/>
  <c r="I56"/>
  <c r="H56"/>
  <c r="F56"/>
  <c r="E56"/>
  <c r="D56"/>
  <c r="B56"/>
  <c r="A56"/>
  <c r="I55"/>
  <c r="H55"/>
  <c r="F55"/>
  <c r="E55"/>
  <c r="D55"/>
  <c r="B55"/>
  <c r="A55"/>
  <c r="I54"/>
  <c r="H54"/>
  <c r="F54"/>
  <c r="E54"/>
  <c r="D54"/>
  <c r="B54"/>
  <c r="A54"/>
  <c r="I53"/>
  <c r="H53"/>
  <c r="F53"/>
  <c r="E53"/>
  <c r="D53"/>
  <c r="B53"/>
  <c r="A53"/>
  <c r="I52"/>
  <c r="H52"/>
  <c r="F52"/>
  <c r="E52"/>
  <c r="D52"/>
  <c r="B52"/>
  <c r="A52"/>
  <c r="I51"/>
  <c r="H51"/>
  <c r="F51"/>
  <c r="E51"/>
  <c r="D51"/>
  <c r="B51"/>
  <c r="A51"/>
  <c r="I50"/>
  <c r="H50"/>
  <c r="F50"/>
  <c r="E50"/>
  <c r="D50"/>
  <c r="B50"/>
  <c r="A50"/>
  <c r="I49"/>
  <c r="H49"/>
  <c r="F49"/>
  <c r="E49"/>
  <c r="D49"/>
  <c r="B49"/>
  <c r="A49"/>
  <c r="I48"/>
  <c r="H48"/>
  <c r="F48"/>
  <c r="E48"/>
  <c r="D48"/>
  <c r="B48"/>
  <c r="A48"/>
  <c r="I47"/>
  <c r="H47"/>
  <c r="F47"/>
  <c r="E47"/>
  <c r="D47"/>
  <c r="B47"/>
  <c r="A47"/>
  <c r="I46"/>
  <c r="H46"/>
  <c r="F46"/>
  <c r="E46"/>
  <c r="D46"/>
  <c r="B46"/>
  <c r="A46"/>
  <c r="I45"/>
  <c r="H45"/>
  <c r="F45"/>
  <c r="E45"/>
  <c r="D45"/>
  <c r="B45"/>
  <c r="A45"/>
  <c r="I44"/>
  <c r="H44"/>
  <c r="F44"/>
  <c r="E44"/>
  <c r="D44"/>
  <c r="B44"/>
  <c r="A44"/>
  <c r="I43"/>
  <c r="H43"/>
  <c r="F43"/>
  <c r="E43"/>
  <c r="D43"/>
  <c r="B43"/>
  <c r="A43"/>
  <c r="I42"/>
  <c r="H42"/>
  <c r="F42"/>
  <c r="E42"/>
  <c r="D42"/>
  <c r="B42"/>
  <c r="A42"/>
  <c r="I41"/>
  <c r="H41"/>
  <c r="F41"/>
  <c r="E41"/>
  <c r="D41"/>
  <c r="B41"/>
  <c r="A41"/>
  <c r="I40"/>
  <c r="H40"/>
  <c r="F40"/>
  <c r="E40"/>
  <c r="D40"/>
  <c r="B40"/>
  <c r="A40"/>
  <c r="I39"/>
  <c r="H39"/>
  <c r="F39"/>
  <c r="E39"/>
  <c r="D39"/>
  <c r="B39"/>
  <c r="A39"/>
  <c r="I38"/>
  <c r="H38"/>
  <c r="F38"/>
  <c r="E38"/>
  <c r="D38"/>
  <c r="B38"/>
  <c r="A38"/>
  <c r="I37"/>
  <c r="H37"/>
  <c r="F37"/>
  <c r="E37"/>
  <c r="D37"/>
  <c r="B37"/>
  <c r="A37"/>
  <c r="I36"/>
  <c r="H36"/>
  <c r="F36"/>
  <c r="E36"/>
  <c r="D36"/>
  <c r="B36"/>
  <c r="A36"/>
  <c r="I35"/>
  <c r="H35"/>
  <c r="F35"/>
  <c r="E35"/>
  <c r="D35"/>
  <c r="B35"/>
  <c r="A35"/>
  <c r="I34"/>
  <c r="H34"/>
  <c r="F34"/>
  <c r="E34"/>
  <c r="D34"/>
  <c r="B34"/>
  <c r="A34"/>
  <c r="I33"/>
  <c r="H33"/>
  <c r="F33"/>
  <c r="E33"/>
  <c r="D33"/>
  <c r="B33"/>
  <c r="A33"/>
  <c r="I32"/>
  <c r="H32"/>
  <c r="F32"/>
  <c r="E32"/>
  <c r="D32"/>
  <c r="B32"/>
  <c r="A32"/>
  <c r="I31"/>
  <c r="H31"/>
  <c r="F31"/>
  <c r="E31"/>
  <c r="D31"/>
  <c r="B31"/>
  <c r="A31"/>
  <c r="I30"/>
  <c r="H30"/>
  <c r="F30"/>
  <c r="E30"/>
  <c r="D30"/>
  <c r="B30"/>
  <c r="A30"/>
  <c r="I29"/>
  <c r="H29"/>
  <c r="F29"/>
  <c r="E29"/>
  <c r="D29"/>
  <c r="B29"/>
  <c r="A29"/>
  <c r="I28"/>
  <c r="H28"/>
  <c r="F28"/>
  <c r="E28"/>
  <c r="D28"/>
  <c r="B28"/>
  <c r="A28"/>
  <c r="I27"/>
  <c r="H27"/>
  <c r="F27"/>
  <c r="E27"/>
  <c r="D27"/>
  <c r="B27"/>
  <c r="A27"/>
  <c r="I26"/>
  <c r="H26"/>
  <c r="F26"/>
  <c r="E26"/>
  <c r="D26"/>
  <c r="B26"/>
  <c r="A26"/>
  <c r="I25"/>
  <c r="H25"/>
  <c r="F25"/>
  <c r="E25"/>
  <c r="D25"/>
  <c r="B25"/>
  <c r="A25"/>
  <c r="I24"/>
  <c r="H24"/>
  <c r="F24"/>
  <c r="E24"/>
  <c r="D24"/>
  <c r="B24"/>
  <c r="A24"/>
  <c r="I23"/>
  <c r="H23"/>
  <c r="F23"/>
  <c r="E23"/>
  <c r="D23"/>
  <c r="B23"/>
  <c r="A23"/>
  <c r="I22"/>
  <c r="H22"/>
  <c r="F22"/>
  <c r="E22"/>
  <c r="D22"/>
  <c r="B22"/>
  <c r="A22"/>
  <c r="I21"/>
  <c r="H21"/>
  <c r="F21"/>
  <c r="E21"/>
  <c r="D21"/>
  <c r="B21"/>
  <c r="A21"/>
  <c r="I20"/>
  <c r="H20"/>
  <c r="F20"/>
  <c r="E20"/>
  <c r="D20"/>
  <c r="B20"/>
  <c r="A20"/>
  <c r="I19"/>
  <c r="H19"/>
  <c r="F19"/>
  <c r="E19"/>
  <c r="D19"/>
  <c r="B19"/>
  <c r="A19"/>
  <c r="I18"/>
  <c r="H18"/>
  <c r="F18"/>
  <c r="E18"/>
  <c r="D18"/>
  <c r="B18"/>
  <c r="A18"/>
  <c r="I17"/>
  <c r="H17"/>
  <c r="F17"/>
  <c r="E17"/>
  <c r="D17"/>
  <c r="B17"/>
  <c r="A17"/>
  <c r="I16"/>
  <c r="H16"/>
  <c r="F16"/>
  <c r="E16"/>
  <c r="D16"/>
  <c r="B16"/>
  <c r="A16"/>
  <c r="I15"/>
  <c r="H15"/>
  <c r="F15"/>
  <c r="E15"/>
  <c r="D15"/>
  <c r="B15"/>
  <c r="A15"/>
  <c r="I14"/>
  <c r="H14"/>
  <c r="F14"/>
  <c r="E14"/>
  <c r="D14"/>
  <c r="B14"/>
  <c r="A14"/>
  <c r="I13"/>
  <c r="H13"/>
  <c r="F13"/>
  <c r="E13"/>
  <c r="D13"/>
  <c r="B13"/>
  <c r="A13"/>
  <c r="I12"/>
  <c r="H12"/>
  <c r="F12"/>
  <c r="E12"/>
  <c r="D12"/>
  <c r="B12"/>
  <c r="A12"/>
  <c r="I11"/>
  <c r="H11"/>
  <c r="F11"/>
  <c r="E11"/>
  <c r="D11"/>
  <c r="B11"/>
  <c r="A11"/>
  <c r="I10"/>
  <c r="H10"/>
  <c r="F10"/>
  <c r="E10"/>
  <c r="D10"/>
  <c r="B10"/>
  <c r="A10"/>
  <c r="I9"/>
  <c r="H9"/>
  <c r="F9"/>
  <c r="E9"/>
  <c r="D9"/>
  <c r="B9"/>
  <c r="A9"/>
  <c r="I8"/>
  <c r="H8"/>
  <c r="F8"/>
  <c r="E8"/>
  <c r="D8"/>
  <c r="B8"/>
  <c r="A8"/>
  <c r="I7"/>
  <c r="H7"/>
  <c r="F7"/>
  <c r="E7"/>
  <c r="D7"/>
  <c r="B7"/>
  <c r="A7"/>
  <c r="I6"/>
  <c r="H6"/>
  <c r="F6"/>
  <c r="E6"/>
  <c r="D6"/>
  <c r="B6"/>
  <c r="A6"/>
  <c r="I5"/>
  <c r="H5"/>
  <c r="F5"/>
  <c r="E5"/>
  <c r="D5"/>
  <c r="B5"/>
  <c r="A5"/>
  <c r="I4"/>
  <c r="H4"/>
  <c r="F4"/>
  <c r="E4"/>
  <c r="D4"/>
  <c r="B4"/>
  <c r="A4"/>
  <c r="I3"/>
  <c r="H3"/>
  <c r="F3"/>
  <c r="E3"/>
  <c r="D3"/>
  <c r="B3"/>
  <c r="A3"/>
  <c r="S135" i="13"/>
  <c r="P133"/>
  <c r="O133"/>
  <c r="V132"/>
  <c r="T132"/>
  <c r="S132"/>
  <c r="P132"/>
  <c r="O132"/>
  <c r="V131"/>
  <c r="T131"/>
  <c r="S131"/>
  <c r="P131"/>
  <c r="O131"/>
  <c r="P130"/>
  <c r="O130"/>
  <c r="P129"/>
  <c r="O129"/>
  <c r="T128"/>
  <c r="S128"/>
  <c r="P128"/>
  <c r="O128"/>
  <c r="T127"/>
  <c r="S127"/>
  <c r="P127"/>
  <c r="O127"/>
  <c r="V126"/>
  <c r="T126"/>
  <c r="S126"/>
  <c r="P126"/>
  <c r="O126"/>
  <c r="P125"/>
  <c r="O125"/>
  <c r="P124"/>
  <c r="O124"/>
  <c r="V123"/>
  <c r="T123"/>
  <c r="S123"/>
  <c r="P123"/>
  <c r="O123"/>
  <c r="V122"/>
  <c r="T122"/>
  <c r="S122"/>
  <c r="P122"/>
  <c r="O122"/>
  <c r="T121"/>
  <c r="S121"/>
  <c r="P121"/>
  <c r="O121"/>
  <c r="V120"/>
  <c r="T120"/>
  <c r="S120"/>
  <c r="P120"/>
  <c r="O120"/>
  <c r="P119"/>
  <c r="O119"/>
  <c r="P118"/>
  <c r="O118"/>
  <c r="V117"/>
  <c r="T117"/>
  <c r="S117"/>
  <c r="P117"/>
  <c r="O117"/>
  <c r="V116"/>
  <c r="T116"/>
  <c r="S116"/>
  <c r="P116"/>
  <c r="O116"/>
  <c r="P110"/>
  <c r="O110"/>
  <c r="P109"/>
  <c r="O109"/>
  <c r="P108"/>
  <c r="O108"/>
  <c r="P107"/>
  <c r="O107"/>
  <c r="P106"/>
  <c r="O106"/>
  <c r="P105"/>
  <c r="O105"/>
  <c r="P104"/>
  <c r="O104"/>
  <c r="P103"/>
  <c r="O103"/>
  <c r="P102"/>
  <c r="O102"/>
  <c r="P101"/>
  <c r="O101"/>
  <c r="P100"/>
  <c r="O100"/>
  <c r="P99"/>
  <c r="O99"/>
  <c r="P98"/>
  <c r="O98"/>
  <c r="P97"/>
  <c r="O97"/>
  <c r="P96"/>
  <c r="O96"/>
  <c r="P95"/>
  <c r="O95"/>
  <c r="P94"/>
  <c r="O94"/>
  <c r="P93"/>
  <c r="O93"/>
  <c r="F87"/>
  <c r="C87"/>
  <c r="F86"/>
  <c r="C86"/>
  <c r="T79"/>
  <c r="S79"/>
  <c r="R79"/>
  <c r="Q79"/>
  <c r="P79"/>
  <c r="O79"/>
  <c r="M79"/>
  <c r="L79"/>
  <c r="J79"/>
  <c r="F79"/>
  <c r="C79"/>
  <c r="T51"/>
  <c r="S51"/>
  <c r="R51"/>
  <c r="Q51"/>
  <c r="P51"/>
  <c r="O51"/>
  <c r="N51"/>
  <c r="M51"/>
  <c r="L51"/>
  <c r="K51"/>
  <c r="J51"/>
  <c r="I51"/>
  <c r="H51"/>
  <c r="G51"/>
  <c r="T50"/>
  <c r="S50"/>
  <c r="R50"/>
  <c r="Q50"/>
  <c r="P50"/>
  <c r="O50"/>
  <c r="N50"/>
  <c r="M50"/>
  <c r="L50"/>
  <c r="K50"/>
  <c r="J50"/>
  <c r="I50"/>
  <c r="H50"/>
  <c r="G50"/>
  <c r="T49"/>
  <c r="S49"/>
  <c r="R49"/>
  <c r="Q49"/>
  <c r="P49"/>
  <c r="O49"/>
  <c r="N49"/>
  <c r="M49"/>
  <c r="L49"/>
  <c r="K49"/>
  <c r="J49"/>
  <c r="I49"/>
  <c r="H49"/>
  <c r="G49"/>
  <c r="T24"/>
  <c r="S24"/>
  <c r="R24"/>
  <c r="Q24"/>
  <c r="P24"/>
  <c r="O24"/>
  <c r="N24"/>
  <c r="M24"/>
  <c r="L24"/>
  <c r="K24"/>
  <c r="J24"/>
  <c r="I24"/>
  <c r="H24"/>
  <c r="G24"/>
  <c r="F24"/>
  <c r="E24"/>
  <c r="D24"/>
  <c r="C24"/>
  <c r="U16"/>
  <c r="A16"/>
  <c r="U15"/>
  <c r="A15"/>
  <c r="U14"/>
  <c r="A14"/>
  <c r="U13"/>
  <c r="A13"/>
  <c r="U12"/>
  <c r="A12"/>
  <c r="U11"/>
  <c r="A11"/>
  <c r="U10"/>
  <c r="A10"/>
  <c r="U9"/>
  <c r="A9"/>
  <c r="U8"/>
  <c r="A8"/>
  <c r="U7"/>
  <c r="T7"/>
  <c r="R7"/>
  <c r="Q7"/>
  <c r="P7"/>
  <c r="O7"/>
  <c r="N7"/>
  <c r="M7"/>
  <c r="L7"/>
  <c r="K7"/>
  <c r="J7"/>
  <c r="I7"/>
  <c r="H7"/>
  <c r="G7"/>
  <c r="F7"/>
  <c r="E7"/>
  <c r="C7"/>
  <c r="A7"/>
  <c r="U6"/>
  <c r="B6"/>
  <c r="U5"/>
  <c r="T5"/>
  <c r="Q5"/>
  <c r="P5"/>
  <c r="O5"/>
  <c r="M5"/>
  <c r="L5"/>
  <c r="J5"/>
  <c r="F5"/>
  <c r="C5"/>
  <c r="A5"/>
  <c r="A4"/>
  <c r="E76" i="11"/>
  <c r="E74"/>
  <c r="E73"/>
  <c r="E72"/>
  <c r="E71"/>
  <c r="E70"/>
  <c r="E69"/>
  <c r="E68"/>
  <c r="E67"/>
  <c r="E66"/>
  <c r="E65"/>
  <c r="E64"/>
  <c r="E63"/>
  <c r="E62"/>
  <c r="E61"/>
  <c r="E60"/>
  <c r="E59"/>
  <c r="C42" i="9"/>
  <c r="C41"/>
  <c r="C40"/>
  <c r="C39"/>
  <c r="C38"/>
  <c r="C37"/>
  <c r="C36"/>
  <c r="C35"/>
  <c r="C34"/>
  <c r="C33"/>
  <c r="C32"/>
  <c r="C31"/>
  <c r="C30"/>
  <c r="C29"/>
  <c r="C28"/>
  <c r="C27"/>
  <c r="C26"/>
  <c r="C25"/>
  <c r="C24"/>
  <c r="C23"/>
  <c r="C22"/>
  <c r="C21"/>
  <c r="C20"/>
  <c r="C19"/>
  <c r="C18"/>
  <c r="C17"/>
  <c r="C16"/>
  <c r="C15"/>
  <c r="C14"/>
  <c r="C13"/>
  <c r="C12"/>
  <c r="C11"/>
  <c r="C10"/>
  <c r="C9"/>
  <c r="C8"/>
  <c r="C7"/>
  <c r="C6"/>
  <c r="N26" i="57"/>
  <c r="N24"/>
  <c r="N23"/>
  <c r="N22"/>
  <c r="N21"/>
  <c r="N20"/>
  <c r="N19"/>
  <c r="N18"/>
  <c r="N17"/>
  <c r="N16"/>
  <c r="N15"/>
  <c r="N14"/>
  <c r="N13"/>
  <c r="N12"/>
  <c r="N11"/>
  <c r="N10"/>
  <c r="N9"/>
  <c r="N8"/>
  <c r="N7"/>
  <c r="A61" i="7"/>
  <c r="A63"/>
  <c r="B64"/>
  <c r="N66"/>
  <c r="Z151" s="1"/>
  <c r="AA151" s="1"/>
  <c r="B62"/>
  <c r="I66"/>
  <c r="Z146" s="1"/>
  <c r="AA146" s="1"/>
  <c r="H66"/>
  <c r="Z145" s="1"/>
  <c r="AA145" s="1"/>
  <c r="AC145" s="1"/>
  <c r="A13"/>
  <c r="A15"/>
  <c r="B7" i="13"/>
  <c r="A6"/>
  <c r="B5"/>
  <c r="B105" i="37"/>
  <c r="B104"/>
  <c r="B103"/>
  <c r="B102"/>
  <c r="B101"/>
  <c r="B100"/>
  <c r="B99"/>
  <c r="B98"/>
  <c r="B97"/>
  <c r="B96"/>
  <c r="B93"/>
  <c r="B92"/>
  <c r="B91"/>
  <c r="B90"/>
  <c r="B89"/>
  <c r="B87"/>
  <c r="B86"/>
  <c r="B84"/>
  <c r="B83"/>
  <c r="B81"/>
  <c r="B74"/>
  <c r="B71"/>
  <c r="B70"/>
  <c r="B69"/>
  <c r="B68"/>
  <c r="B67"/>
  <c r="B66"/>
  <c r="B65"/>
  <c r="B64"/>
  <c r="B63"/>
  <c r="B62"/>
  <c r="B60"/>
  <c r="B59"/>
  <c r="B58"/>
  <c r="B57"/>
  <c r="B56"/>
  <c r="B55"/>
  <c r="B54"/>
  <c r="B53"/>
  <c r="B52"/>
  <c r="B51"/>
  <c r="B50"/>
  <c r="B46"/>
  <c r="B45"/>
  <c r="B43"/>
  <c r="B37"/>
  <c r="B28"/>
  <c r="B25"/>
  <c r="B22"/>
  <c r="B19"/>
  <c r="X17"/>
  <c r="X19"/>
  <c r="X24"/>
  <c r="W17"/>
  <c r="W19"/>
  <c r="W24"/>
  <c r="V17"/>
  <c r="U17"/>
  <c r="U19"/>
  <c r="T17"/>
  <c r="T19"/>
  <c r="T24"/>
  <c r="S17"/>
  <c r="R17"/>
  <c r="Q17"/>
  <c r="P17"/>
  <c r="P19"/>
  <c r="P24"/>
  <c r="O17"/>
  <c r="N17"/>
  <c r="M17"/>
  <c r="M19"/>
  <c r="M24"/>
  <c r="L17"/>
  <c r="K17"/>
  <c r="J17"/>
  <c r="I17"/>
  <c r="H17"/>
  <c r="G17"/>
  <c r="G19"/>
  <c r="G24"/>
  <c r="B16"/>
  <c r="B15"/>
  <c r="X14"/>
  <c r="W14"/>
  <c r="V14"/>
  <c r="U14"/>
  <c r="T14"/>
  <c r="S14"/>
  <c r="R14"/>
  <c r="Q14"/>
  <c r="P14"/>
  <c r="O14"/>
  <c r="N14"/>
  <c r="M14"/>
  <c r="L14"/>
  <c r="K14"/>
  <c r="J14"/>
  <c r="I14"/>
  <c r="H14"/>
  <c r="G14"/>
  <c r="B9"/>
  <c r="W119" i="55"/>
  <c r="V119"/>
  <c r="U119"/>
  <c r="T119"/>
  <c r="S119"/>
  <c r="R119"/>
  <c r="Q119"/>
  <c r="P119"/>
  <c r="O119"/>
  <c r="N119"/>
  <c r="M119"/>
  <c r="L119"/>
  <c r="K119"/>
  <c r="J119"/>
  <c r="I119"/>
  <c r="H119"/>
  <c r="G119"/>
  <c r="F119"/>
  <c r="E119"/>
  <c r="D119"/>
  <c r="W118"/>
  <c r="V118"/>
  <c r="U118"/>
  <c r="T118"/>
  <c r="S118"/>
  <c r="R118"/>
  <c r="Q118"/>
  <c r="P118"/>
  <c r="O118"/>
  <c r="N118"/>
  <c r="M118"/>
  <c r="L118"/>
  <c r="K118"/>
  <c r="J118"/>
  <c r="I118"/>
  <c r="H118"/>
  <c r="G118"/>
  <c r="F118"/>
  <c r="E118"/>
  <c r="D118"/>
  <c r="W117"/>
  <c r="V117"/>
  <c r="U117"/>
  <c r="T117"/>
  <c r="S117"/>
  <c r="R117"/>
  <c r="Q117"/>
  <c r="P117"/>
  <c r="O117"/>
  <c r="N117"/>
  <c r="M117"/>
  <c r="L117"/>
  <c r="K117"/>
  <c r="J117"/>
  <c r="I117"/>
  <c r="H117"/>
  <c r="G117"/>
  <c r="F117"/>
  <c r="E117"/>
  <c r="D117"/>
  <c r="W116"/>
  <c r="V116"/>
  <c r="U116"/>
  <c r="T116"/>
  <c r="S116"/>
  <c r="R116"/>
  <c r="Q116"/>
  <c r="P116"/>
  <c r="O116"/>
  <c r="N116"/>
  <c r="M116"/>
  <c r="L116"/>
  <c r="K116"/>
  <c r="J116"/>
  <c r="I116"/>
  <c r="H116"/>
  <c r="G116"/>
  <c r="F116"/>
  <c r="E116"/>
  <c r="D116"/>
  <c r="W115"/>
  <c r="V115"/>
  <c r="U115"/>
  <c r="T115"/>
  <c r="S115"/>
  <c r="R115"/>
  <c r="Q115"/>
  <c r="P115"/>
  <c r="O115"/>
  <c r="N115"/>
  <c r="M115"/>
  <c r="L115"/>
  <c r="K115"/>
  <c r="J115"/>
  <c r="I115"/>
  <c r="H115"/>
  <c r="G115"/>
  <c r="F115"/>
  <c r="E115"/>
  <c r="D115"/>
  <c r="W114"/>
  <c r="V114"/>
  <c r="U114"/>
  <c r="T114"/>
  <c r="S114"/>
  <c r="R114"/>
  <c r="Q114"/>
  <c r="P114"/>
  <c r="O114"/>
  <c r="N114"/>
  <c r="M114"/>
  <c r="L114"/>
  <c r="K114"/>
  <c r="J114"/>
  <c r="I114"/>
  <c r="H114"/>
  <c r="G114"/>
  <c r="F114"/>
  <c r="E114"/>
  <c r="D114"/>
  <c r="W113"/>
  <c r="V113"/>
  <c r="U113"/>
  <c r="T113"/>
  <c r="S113"/>
  <c r="R113"/>
  <c r="Q113"/>
  <c r="P113"/>
  <c r="O113"/>
  <c r="N113"/>
  <c r="M113"/>
  <c r="L113"/>
  <c r="K113"/>
  <c r="J113"/>
  <c r="I113"/>
  <c r="H113"/>
  <c r="G113"/>
  <c r="F113"/>
  <c r="E113"/>
  <c r="D113"/>
  <c r="W112"/>
  <c r="V112"/>
  <c r="U112"/>
  <c r="T112"/>
  <c r="S112"/>
  <c r="R112"/>
  <c r="Q112"/>
  <c r="P112"/>
  <c r="O112"/>
  <c r="N112"/>
  <c r="M112"/>
  <c r="L112"/>
  <c r="K112"/>
  <c r="J112"/>
  <c r="I112"/>
  <c r="H112"/>
  <c r="G112"/>
  <c r="F112"/>
  <c r="E112"/>
  <c r="D112"/>
  <c r="W111"/>
  <c r="V111"/>
  <c r="U111"/>
  <c r="T111"/>
  <c r="S111"/>
  <c r="R111"/>
  <c r="Q111"/>
  <c r="P111"/>
  <c r="O111"/>
  <c r="N111"/>
  <c r="M111"/>
  <c r="L111"/>
  <c r="K111"/>
  <c r="J111"/>
  <c r="I111"/>
  <c r="H111"/>
  <c r="G111"/>
  <c r="F111"/>
  <c r="E111"/>
  <c r="D111"/>
  <c r="W110"/>
  <c r="V110"/>
  <c r="U110"/>
  <c r="T110"/>
  <c r="S110"/>
  <c r="R110"/>
  <c r="Q110"/>
  <c r="P110"/>
  <c r="O110"/>
  <c r="N110"/>
  <c r="M110"/>
  <c r="L110"/>
  <c r="K110"/>
  <c r="J110"/>
  <c r="I110"/>
  <c r="H110"/>
  <c r="G110"/>
  <c r="F110"/>
  <c r="E110"/>
  <c r="D110"/>
  <c r="W109"/>
  <c r="V109"/>
  <c r="U109"/>
  <c r="T109"/>
  <c r="S109"/>
  <c r="R109"/>
  <c r="Q109"/>
  <c r="P109"/>
  <c r="O109"/>
  <c r="N109"/>
  <c r="M109"/>
  <c r="L109"/>
  <c r="K109"/>
  <c r="J109"/>
  <c r="I109"/>
  <c r="H109"/>
  <c r="G109"/>
  <c r="F109"/>
  <c r="E109"/>
  <c r="D109"/>
  <c r="W108"/>
  <c r="V108"/>
  <c r="U108"/>
  <c r="T108"/>
  <c r="S108"/>
  <c r="R108"/>
  <c r="Q108"/>
  <c r="P108"/>
  <c r="O108"/>
  <c r="N108"/>
  <c r="M108"/>
  <c r="L108"/>
  <c r="K108"/>
  <c r="J108"/>
  <c r="I108"/>
  <c r="H108"/>
  <c r="G108"/>
  <c r="F108"/>
  <c r="E108"/>
  <c r="D108"/>
  <c r="W107"/>
  <c r="V107"/>
  <c r="U107"/>
  <c r="T107"/>
  <c r="S107"/>
  <c r="R107"/>
  <c r="Q107"/>
  <c r="P107"/>
  <c r="O107"/>
  <c r="N107"/>
  <c r="M107"/>
  <c r="L107"/>
  <c r="K107"/>
  <c r="J107"/>
  <c r="I107"/>
  <c r="H107"/>
  <c r="G107"/>
  <c r="F107"/>
  <c r="E107"/>
  <c r="D107"/>
  <c r="W106"/>
  <c r="V106"/>
  <c r="U106"/>
  <c r="T106"/>
  <c r="S106"/>
  <c r="R106"/>
  <c r="Q106"/>
  <c r="P106"/>
  <c r="O106"/>
  <c r="N106"/>
  <c r="M106"/>
  <c r="L106"/>
  <c r="K106"/>
  <c r="J106"/>
  <c r="I106"/>
  <c r="H106"/>
  <c r="G106"/>
  <c r="F106"/>
  <c r="E106"/>
  <c r="D106"/>
  <c r="W105"/>
  <c r="V105"/>
  <c r="U105"/>
  <c r="T105"/>
  <c r="S105"/>
  <c r="R105"/>
  <c r="Q105"/>
  <c r="P105"/>
  <c r="O105"/>
  <c r="N105"/>
  <c r="M105"/>
  <c r="L105"/>
  <c r="K105"/>
  <c r="J105"/>
  <c r="I105"/>
  <c r="H105"/>
  <c r="G105"/>
  <c r="F105"/>
  <c r="E105"/>
  <c r="D105"/>
  <c r="A103"/>
  <c r="A102"/>
  <c r="A101"/>
  <c r="A100"/>
  <c r="A99"/>
  <c r="A98"/>
  <c r="A97"/>
  <c r="A96"/>
  <c r="A95"/>
  <c r="A94"/>
  <c r="A93"/>
  <c r="A92"/>
  <c r="A91"/>
  <c r="A90"/>
  <c r="A89"/>
  <c r="A88"/>
  <c r="A87"/>
  <c r="A86"/>
  <c r="A85"/>
  <c r="A84"/>
  <c r="A83"/>
  <c r="A79"/>
  <c r="A78"/>
  <c r="O19" i="37"/>
  <c r="N19"/>
  <c r="L19"/>
  <c r="K19"/>
  <c r="J19"/>
  <c r="S19"/>
  <c r="R19"/>
  <c r="R24"/>
  <c r="Q19"/>
  <c r="Q24"/>
  <c r="V19"/>
  <c r="V24"/>
  <c r="I19"/>
  <c r="I24"/>
  <c r="H19"/>
  <c r="H24"/>
  <c r="K10"/>
  <c r="J10"/>
  <c r="L10"/>
  <c r="V10"/>
  <c r="N10"/>
  <c r="M10"/>
  <c r="I10"/>
  <c r="O10"/>
  <c r="G10"/>
  <c r="U10"/>
  <c r="S10"/>
  <c r="R10"/>
  <c r="Q10"/>
  <c r="X10"/>
  <c r="W10"/>
  <c r="T10"/>
  <c r="P10"/>
  <c r="U24"/>
  <c r="S24"/>
  <c r="B10" i="13"/>
  <c r="B14"/>
  <c r="B9"/>
  <c r="B11"/>
  <c r="B12"/>
  <c r="B15"/>
  <c r="B8"/>
  <c r="B13"/>
  <c r="B16"/>
  <c r="O24" i="37"/>
  <c r="N24"/>
  <c r="L24"/>
  <c r="K24"/>
  <c r="J24"/>
  <c r="E10" i="13"/>
  <c r="E15"/>
  <c r="E11"/>
  <c r="O15"/>
  <c r="G15"/>
  <c r="G11"/>
  <c r="C11"/>
  <c r="C10"/>
  <c r="C15"/>
  <c r="T9"/>
  <c r="T6"/>
  <c r="G12"/>
  <c r="E12"/>
  <c r="C12"/>
  <c r="G13"/>
  <c r="O11"/>
  <c r="E13"/>
  <c r="O10"/>
  <c r="O12"/>
  <c r="G10"/>
  <c r="G52"/>
  <c r="O13"/>
  <c r="C13"/>
  <c r="T12"/>
  <c r="T11"/>
  <c r="S11"/>
  <c r="S15"/>
  <c r="S13"/>
  <c r="S10"/>
  <c r="T15"/>
  <c r="T13"/>
  <c r="T10"/>
  <c r="S9"/>
  <c r="S6"/>
  <c r="S12"/>
  <c r="S14"/>
  <c r="S16"/>
  <c r="T8"/>
  <c r="T14"/>
  <c r="T16"/>
  <c r="T52"/>
  <c r="F12"/>
  <c r="F15"/>
  <c r="N10"/>
  <c r="N52"/>
  <c r="N13"/>
  <c r="F11"/>
  <c r="F10"/>
  <c r="F13"/>
  <c r="N12"/>
  <c r="N15"/>
  <c r="N11"/>
  <c r="O52"/>
  <c r="S52"/>
  <c r="R9"/>
  <c r="R11"/>
  <c r="R15"/>
  <c r="R13"/>
  <c r="R10"/>
  <c r="R12"/>
  <c r="S8"/>
  <c r="R52"/>
  <c r="M12"/>
  <c r="M11"/>
  <c r="M13"/>
  <c r="M10"/>
  <c r="M15"/>
  <c r="Q11"/>
  <c r="Q15"/>
  <c r="Q13"/>
  <c r="Q10"/>
  <c r="Q52"/>
  <c r="Q12"/>
  <c r="Q9"/>
  <c r="L11"/>
  <c r="L10"/>
  <c r="L13"/>
  <c r="M52"/>
  <c r="M53"/>
  <c r="L12"/>
  <c r="L15"/>
  <c r="Q6"/>
  <c r="P12"/>
  <c r="P9"/>
  <c r="P6"/>
  <c r="P11"/>
  <c r="Q8"/>
  <c r="P15"/>
  <c r="P13"/>
  <c r="P10"/>
  <c r="P52"/>
  <c r="R8"/>
  <c r="Q16"/>
  <c r="K11"/>
  <c r="K12"/>
  <c r="K13"/>
  <c r="K10"/>
  <c r="Q14"/>
  <c r="K15"/>
  <c r="L52"/>
  <c r="O9"/>
  <c r="O6"/>
  <c r="J11"/>
  <c r="J13"/>
  <c r="K52"/>
  <c r="J15"/>
  <c r="J10"/>
  <c r="J12"/>
  <c r="N9"/>
  <c r="P8"/>
  <c r="P16"/>
  <c r="P14"/>
  <c r="J52"/>
  <c r="J53"/>
  <c r="O14"/>
  <c r="O8"/>
  <c r="O16"/>
  <c r="I11"/>
  <c r="I10"/>
  <c r="I52"/>
  <c r="I13"/>
  <c r="I15"/>
  <c r="I12"/>
  <c r="M9"/>
  <c r="H11"/>
  <c r="H10"/>
  <c r="H12"/>
  <c r="H15"/>
  <c r="H13"/>
  <c r="L9"/>
  <c r="L6"/>
  <c r="M6"/>
  <c r="N8"/>
  <c r="H52"/>
  <c r="K9"/>
  <c r="M8"/>
  <c r="M16"/>
  <c r="M14"/>
  <c r="J9"/>
  <c r="L8"/>
  <c r="L16"/>
  <c r="J8"/>
  <c r="J6"/>
  <c r="L14"/>
  <c r="I9"/>
  <c r="K8"/>
  <c r="J16"/>
  <c r="J14"/>
  <c r="H9"/>
  <c r="G9"/>
  <c r="A77" i="55"/>
  <c r="A76"/>
  <c r="F9" i="13"/>
  <c r="A75" i="55"/>
  <c r="A74"/>
  <c r="A73"/>
  <c r="A72"/>
  <c r="A71"/>
  <c r="A70"/>
  <c r="A69"/>
  <c r="A68"/>
  <c r="A67"/>
  <c r="A66"/>
  <c r="A65"/>
  <c r="E9" i="13"/>
  <c r="F6"/>
  <c r="A64" i="55"/>
  <c r="A63"/>
  <c r="A62"/>
  <c r="A61"/>
  <c r="A60"/>
  <c r="A59"/>
  <c r="A58"/>
  <c r="A57"/>
  <c r="A56"/>
  <c r="A55"/>
  <c r="A54"/>
  <c r="A53"/>
  <c r="A52"/>
  <c r="A51"/>
  <c r="A50"/>
  <c r="A49"/>
  <c r="A48"/>
  <c r="A47"/>
  <c r="A46"/>
  <c r="A45"/>
  <c r="A44"/>
  <c r="A43"/>
  <c r="A42"/>
  <c r="A41"/>
  <c r="A40"/>
  <c r="A39"/>
  <c r="A38"/>
  <c r="A37"/>
  <c r="A36"/>
  <c r="A35"/>
  <c r="A34"/>
  <c r="A33"/>
  <c r="A32"/>
  <c r="A31"/>
  <c r="A30"/>
  <c r="A29"/>
  <c r="A28"/>
  <c r="A27"/>
  <c r="A26"/>
  <c r="A25"/>
  <c r="A24"/>
  <c r="A23"/>
  <c r="A22"/>
  <c r="A21"/>
  <c r="A20"/>
  <c r="A19"/>
  <c r="Y4"/>
  <c r="AA4" s="1"/>
  <c r="Y3"/>
  <c r="AA3" s="1"/>
  <c r="Y2"/>
  <c r="AA2" s="1"/>
  <c r="A2"/>
  <c r="D18" s="1"/>
  <c r="U69" i="4"/>
  <c r="I8" i="13"/>
  <c r="H8"/>
  <c r="G8"/>
  <c r="U68" i="4"/>
  <c r="F8" i="13"/>
  <c r="F14"/>
  <c r="F16"/>
  <c r="C9"/>
  <c r="A13" i="4"/>
  <c r="U2"/>
  <c r="T2"/>
  <c r="S2"/>
  <c r="R2"/>
  <c r="Q2"/>
  <c r="P2"/>
  <c r="O2"/>
  <c r="N2"/>
  <c r="M2"/>
  <c r="L2"/>
  <c r="K2"/>
  <c r="J2"/>
  <c r="I2"/>
  <c r="H2"/>
  <c r="G2"/>
  <c r="F2"/>
  <c r="E2"/>
  <c r="D2"/>
  <c r="C2"/>
  <c r="B2"/>
  <c r="A2"/>
  <c r="T96" i="3"/>
  <c r="S96"/>
  <c r="R96"/>
  <c r="Q96"/>
  <c r="P96"/>
  <c r="O96"/>
  <c r="N96"/>
  <c r="M96"/>
  <c r="L96"/>
  <c r="K96"/>
  <c r="J96"/>
  <c r="I96"/>
  <c r="H96"/>
  <c r="G96"/>
  <c r="F96"/>
  <c r="E96"/>
  <c r="D96"/>
  <c r="C96"/>
  <c r="T95"/>
  <c r="S95"/>
  <c r="R95"/>
  <c r="Q95"/>
  <c r="P95"/>
  <c r="O95"/>
  <c r="N95"/>
  <c r="M95"/>
  <c r="L95"/>
  <c r="K95"/>
  <c r="J95"/>
  <c r="I95"/>
  <c r="H95"/>
  <c r="G95"/>
  <c r="F95"/>
  <c r="E95"/>
  <c r="D95"/>
  <c r="C95"/>
  <c r="T94"/>
  <c r="S94"/>
  <c r="R94"/>
  <c r="Q94"/>
  <c r="P94"/>
  <c r="O94"/>
  <c r="N94"/>
  <c r="M94"/>
  <c r="L94"/>
  <c r="K94"/>
  <c r="J94"/>
  <c r="I94"/>
  <c r="H94"/>
  <c r="G94"/>
  <c r="F94"/>
  <c r="E94"/>
  <c r="D94"/>
  <c r="C94"/>
  <c r="T93"/>
  <c r="S93"/>
  <c r="R93"/>
  <c r="Q93"/>
  <c r="P93"/>
  <c r="O93"/>
  <c r="N93"/>
  <c r="M93"/>
  <c r="L93"/>
  <c r="K93"/>
  <c r="J93"/>
  <c r="I93"/>
  <c r="H93"/>
  <c r="G93"/>
  <c r="F93"/>
  <c r="E93"/>
  <c r="D93"/>
  <c r="C93"/>
  <c r="T92"/>
  <c r="S92"/>
  <c r="R92"/>
  <c r="Q92"/>
  <c r="P92"/>
  <c r="O92"/>
  <c r="N92"/>
  <c r="M92"/>
  <c r="L92"/>
  <c r="K92"/>
  <c r="J92"/>
  <c r="I92"/>
  <c r="H92"/>
  <c r="G92"/>
  <c r="F92"/>
  <c r="E92"/>
  <c r="D92"/>
  <c r="C92"/>
  <c r="T91"/>
  <c r="S91"/>
  <c r="R91"/>
  <c r="Q91"/>
  <c r="P91"/>
  <c r="O91"/>
  <c r="N91"/>
  <c r="M91"/>
  <c r="L91"/>
  <c r="K91"/>
  <c r="J91"/>
  <c r="I91"/>
  <c r="H91"/>
  <c r="G91"/>
  <c r="F91"/>
  <c r="E91"/>
  <c r="D91"/>
  <c r="C91"/>
  <c r="T90"/>
  <c r="S90"/>
  <c r="R90"/>
  <c r="Q90"/>
  <c r="P90"/>
  <c r="O90"/>
  <c r="N90"/>
  <c r="M90"/>
  <c r="L90"/>
  <c r="K90"/>
  <c r="J90"/>
  <c r="I90"/>
  <c r="H90"/>
  <c r="G90"/>
  <c r="F90"/>
  <c r="E90"/>
  <c r="D90"/>
  <c r="C90"/>
  <c r="T89"/>
  <c r="S89"/>
  <c r="R89"/>
  <c r="Q89"/>
  <c r="P89"/>
  <c r="O89"/>
  <c r="N89"/>
  <c r="M89"/>
  <c r="L89"/>
  <c r="K89"/>
  <c r="J89"/>
  <c r="I89"/>
  <c r="H89"/>
  <c r="G89"/>
  <c r="F89"/>
  <c r="E89"/>
  <c r="D89"/>
  <c r="C89"/>
  <c r="T88"/>
  <c r="S88"/>
  <c r="R88"/>
  <c r="Q88"/>
  <c r="P88"/>
  <c r="O88"/>
  <c r="N88"/>
  <c r="M88"/>
  <c r="L88"/>
  <c r="K88"/>
  <c r="J88"/>
  <c r="I88"/>
  <c r="H88"/>
  <c r="G88"/>
  <c r="F88"/>
  <c r="E88"/>
  <c r="D88"/>
  <c r="C88"/>
  <c r="T87"/>
  <c r="S87"/>
  <c r="R87"/>
  <c r="Q87"/>
  <c r="P87"/>
  <c r="O87"/>
  <c r="N87"/>
  <c r="M87"/>
  <c r="L87"/>
  <c r="K87"/>
  <c r="J87"/>
  <c r="I87"/>
  <c r="H87"/>
  <c r="G87"/>
  <c r="F87"/>
  <c r="E87"/>
  <c r="D87"/>
  <c r="C87"/>
  <c r="T86"/>
  <c r="S86"/>
  <c r="R86"/>
  <c r="Q86"/>
  <c r="P86"/>
  <c r="O86"/>
  <c r="N86"/>
  <c r="M86"/>
  <c r="L86"/>
  <c r="K86"/>
  <c r="J86"/>
  <c r="I86"/>
  <c r="H86"/>
  <c r="G86"/>
  <c r="F86"/>
  <c r="E86"/>
  <c r="D86"/>
  <c r="C86"/>
  <c r="T85"/>
  <c r="S85"/>
  <c r="R85"/>
  <c r="Q85"/>
  <c r="P85"/>
  <c r="O85"/>
  <c r="N85"/>
  <c r="M85"/>
  <c r="L85"/>
  <c r="K85"/>
  <c r="J85"/>
  <c r="I85"/>
  <c r="H85"/>
  <c r="G85"/>
  <c r="F85"/>
  <c r="E85"/>
  <c r="D85"/>
  <c r="C85"/>
  <c r="T84"/>
  <c r="S84"/>
  <c r="R84"/>
  <c r="Q84"/>
  <c r="P84"/>
  <c r="O84"/>
  <c r="N84"/>
  <c r="M84"/>
  <c r="L84"/>
  <c r="K84"/>
  <c r="J84"/>
  <c r="I84"/>
  <c r="H84"/>
  <c r="G84"/>
  <c r="F84"/>
  <c r="E84"/>
  <c r="D84"/>
  <c r="C84"/>
  <c r="T83"/>
  <c r="S83"/>
  <c r="R83"/>
  <c r="Q83"/>
  <c r="P83"/>
  <c r="O83"/>
  <c r="N83"/>
  <c r="M83"/>
  <c r="L83"/>
  <c r="K83"/>
  <c r="J83"/>
  <c r="I83"/>
  <c r="H83"/>
  <c r="G83"/>
  <c r="F83"/>
  <c r="E83"/>
  <c r="D83"/>
  <c r="C83"/>
  <c r="T82"/>
  <c r="S82"/>
  <c r="R82"/>
  <c r="Q82"/>
  <c r="P82"/>
  <c r="O82"/>
  <c r="N82"/>
  <c r="M82"/>
  <c r="L82"/>
  <c r="K82"/>
  <c r="J82"/>
  <c r="I82"/>
  <c r="H82"/>
  <c r="G82"/>
  <c r="F82"/>
  <c r="E82"/>
  <c r="D82"/>
  <c r="C82"/>
  <c r="T81"/>
  <c r="S81"/>
  <c r="R81"/>
  <c r="Q81"/>
  <c r="P81"/>
  <c r="O81"/>
  <c r="N81"/>
  <c r="M81"/>
  <c r="L81"/>
  <c r="K81"/>
  <c r="J81"/>
  <c r="I81"/>
  <c r="H81"/>
  <c r="G81"/>
  <c r="F81"/>
  <c r="E81"/>
  <c r="D81"/>
  <c r="C81"/>
  <c r="T80"/>
  <c r="S80"/>
  <c r="R80"/>
  <c r="Q80"/>
  <c r="P80"/>
  <c r="O80"/>
  <c r="N80"/>
  <c r="M80"/>
  <c r="L80"/>
  <c r="K80"/>
  <c r="J80"/>
  <c r="I80"/>
  <c r="H80"/>
  <c r="G80"/>
  <c r="F80"/>
  <c r="E80"/>
  <c r="D80"/>
  <c r="C80"/>
  <c r="T79"/>
  <c r="S79"/>
  <c r="R79"/>
  <c r="Q79"/>
  <c r="P79"/>
  <c r="O79"/>
  <c r="N79"/>
  <c r="M79"/>
  <c r="L79"/>
  <c r="K79"/>
  <c r="J79"/>
  <c r="I79"/>
  <c r="H79"/>
  <c r="G79"/>
  <c r="F79"/>
  <c r="E79"/>
  <c r="D79"/>
  <c r="C79"/>
  <c r="T78"/>
  <c r="S78"/>
  <c r="R78"/>
  <c r="Q78"/>
  <c r="P78"/>
  <c r="O78"/>
  <c r="N78"/>
  <c r="M78"/>
  <c r="L78"/>
  <c r="K78"/>
  <c r="J78"/>
  <c r="I78"/>
  <c r="H78"/>
  <c r="G78"/>
  <c r="F78"/>
  <c r="E78"/>
  <c r="D78"/>
  <c r="C78"/>
  <c r="T77"/>
  <c r="S77"/>
  <c r="R77"/>
  <c r="Q77"/>
  <c r="P77"/>
  <c r="O77"/>
  <c r="N77"/>
  <c r="M77"/>
  <c r="L77"/>
  <c r="K77"/>
  <c r="J77"/>
  <c r="I77"/>
  <c r="H77"/>
  <c r="G77"/>
  <c r="F77"/>
  <c r="E77"/>
  <c r="D77"/>
  <c r="C77"/>
  <c r="T76"/>
  <c r="S76"/>
  <c r="R76"/>
  <c r="Q76"/>
  <c r="P76"/>
  <c r="O76"/>
  <c r="N76"/>
  <c r="M76"/>
  <c r="L76"/>
  <c r="K76"/>
  <c r="J76"/>
  <c r="I76"/>
  <c r="H76"/>
  <c r="G76"/>
  <c r="F76"/>
  <c r="E76"/>
  <c r="D76"/>
  <c r="C76"/>
  <c r="T75"/>
  <c r="S75"/>
  <c r="R75"/>
  <c r="Q75"/>
  <c r="P75"/>
  <c r="O75"/>
  <c r="N75"/>
  <c r="M75"/>
  <c r="L75"/>
  <c r="K75"/>
  <c r="J75"/>
  <c r="I75"/>
  <c r="H75"/>
  <c r="G75"/>
  <c r="F75"/>
  <c r="E75"/>
  <c r="D75"/>
  <c r="C75"/>
  <c r="T71"/>
  <c r="S71"/>
  <c r="R71"/>
  <c r="Q71"/>
  <c r="P71"/>
  <c r="O71"/>
  <c r="N71"/>
  <c r="M71"/>
  <c r="L71"/>
  <c r="K71"/>
  <c r="J71"/>
  <c r="I71"/>
  <c r="H71"/>
  <c r="G71"/>
  <c r="F71"/>
  <c r="E71"/>
  <c r="D71"/>
  <c r="C71"/>
  <c r="T70"/>
  <c r="S70"/>
  <c r="R70"/>
  <c r="Q70"/>
  <c r="P70"/>
  <c r="O70"/>
  <c r="N70"/>
  <c r="M70"/>
  <c r="L70"/>
  <c r="K70"/>
  <c r="J70"/>
  <c r="I70"/>
  <c r="H70"/>
  <c r="G70"/>
  <c r="F70"/>
  <c r="E70"/>
  <c r="D70"/>
  <c r="C70"/>
  <c r="T69"/>
  <c r="S69"/>
  <c r="R69"/>
  <c r="Q69"/>
  <c r="P69"/>
  <c r="O69"/>
  <c r="N69"/>
  <c r="M69"/>
  <c r="L69"/>
  <c r="K69"/>
  <c r="J69"/>
  <c r="I69"/>
  <c r="H69"/>
  <c r="G69"/>
  <c r="F69"/>
  <c r="E69"/>
  <c r="D69"/>
  <c r="C69"/>
  <c r="T68"/>
  <c r="S68"/>
  <c r="R68"/>
  <c r="Q68"/>
  <c r="P68"/>
  <c r="O68"/>
  <c r="N68"/>
  <c r="M68"/>
  <c r="L68"/>
  <c r="K68"/>
  <c r="J68"/>
  <c r="I68"/>
  <c r="H68"/>
  <c r="G68"/>
  <c r="F68"/>
  <c r="E68"/>
  <c r="D68"/>
  <c r="C68"/>
  <c r="T67"/>
  <c r="S67"/>
  <c r="R67"/>
  <c r="Q67"/>
  <c r="P67"/>
  <c r="O67"/>
  <c r="N67"/>
  <c r="M67"/>
  <c r="L67"/>
  <c r="K67"/>
  <c r="J67"/>
  <c r="I67"/>
  <c r="H67"/>
  <c r="G67"/>
  <c r="F67"/>
  <c r="E67"/>
  <c r="D67"/>
  <c r="C67"/>
  <c r="T66"/>
  <c r="S66"/>
  <c r="R66"/>
  <c r="Q66"/>
  <c r="P66"/>
  <c r="O66"/>
  <c r="N66"/>
  <c r="M66"/>
  <c r="L66"/>
  <c r="K66"/>
  <c r="J66"/>
  <c r="I66"/>
  <c r="H66"/>
  <c r="G66"/>
  <c r="F66"/>
  <c r="E66"/>
  <c r="D66"/>
  <c r="C66"/>
  <c r="T64"/>
  <c r="S64"/>
  <c r="R64"/>
  <c r="Q64"/>
  <c r="P64"/>
  <c r="O64"/>
  <c r="N64"/>
  <c r="M64"/>
  <c r="L64"/>
  <c r="K64"/>
  <c r="J64"/>
  <c r="I64"/>
  <c r="H64"/>
  <c r="G64"/>
  <c r="F64"/>
  <c r="E64"/>
  <c r="D64"/>
  <c r="C64"/>
  <c r="T63"/>
  <c r="S63"/>
  <c r="R63"/>
  <c r="Q63"/>
  <c r="P63"/>
  <c r="O63"/>
  <c r="N63"/>
  <c r="M63"/>
  <c r="L63"/>
  <c r="K63"/>
  <c r="J63"/>
  <c r="I63"/>
  <c r="H63"/>
  <c r="G63"/>
  <c r="F63"/>
  <c r="E63"/>
  <c r="D63"/>
  <c r="C63"/>
  <c r="T62"/>
  <c r="S62"/>
  <c r="R62"/>
  <c r="Q62"/>
  <c r="P62"/>
  <c r="O62"/>
  <c r="N62"/>
  <c r="M62"/>
  <c r="L62"/>
  <c r="K62"/>
  <c r="J62"/>
  <c r="I62"/>
  <c r="H62"/>
  <c r="G62"/>
  <c r="F62"/>
  <c r="E62"/>
  <c r="D62"/>
  <c r="C62"/>
  <c r="T61"/>
  <c r="S61"/>
  <c r="R61"/>
  <c r="Q61"/>
  <c r="P61"/>
  <c r="O61"/>
  <c r="N61"/>
  <c r="M61"/>
  <c r="L61"/>
  <c r="K61"/>
  <c r="J61"/>
  <c r="I61"/>
  <c r="H61"/>
  <c r="G61"/>
  <c r="F61"/>
  <c r="E61"/>
  <c r="D61"/>
  <c r="C61"/>
  <c r="T60"/>
  <c r="S60"/>
  <c r="R60"/>
  <c r="Q60"/>
  <c r="P60"/>
  <c r="O60"/>
  <c r="N60"/>
  <c r="M60"/>
  <c r="L60"/>
  <c r="K60"/>
  <c r="J60"/>
  <c r="I60"/>
  <c r="H60"/>
  <c r="G60"/>
  <c r="F60"/>
  <c r="E60"/>
  <c r="D60"/>
  <c r="C60"/>
  <c r="T59"/>
  <c r="S59"/>
  <c r="R59"/>
  <c r="Q59"/>
  <c r="P59"/>
  <c r="O59"/>
  <c r="N59"/>
  <c r="M59"/>
  <c r="L59"/>
  <c r="K59"/>
  <c r="J59"/>
  <c r="I59"/>
  <c r="H59"/>
  <c r="G59"/>
  <c r="F59"/>
  <c r="E59"/>
  <c r="D59"/>
  <c r="T58"/>
  <c r="S58"/>
  <c r="R58"/>
  <c r="Q58"/>
  <c r="P58"/>
  <c r="O58"/>
  <c r="N58"/>
  <c r="M58"/>
  <c r="L58"/>
  <c r="K58"/>
  <c r="J58"/>
  <c r="I58"/>
  <c r="H58"/>
  <c r="G58"/>
  <c r="F58"/>
  <c r="E58"/>
  <c r="D58"/>
  <c r="C58"/>
  <c r="T57"/>
  <c r="S57"/>
  <c r="R57"/>
  <c r="Q57"/>
  <c r="P57"/>
  <c r="O57"/>
  <c r="N57"/>
  <c r="M57"/>
  <c r="L57"/>
  <c r="K57"/>
  <c r="J57"/>
  <c r="I57"/>
  <c r="H57"/>
  <c r="G57"/>
  <c r="F57"/>
  <c r="E57"/>
  <c r="D57"/>
  <c r="C57"/>
  <c r="T56"/>
  <c r="S56"/>
  <c r="R56"/>
  <c r="Q56"/>
  <c r="P56"/>
  <c r="O56"/>
  <c r="N56"/>
  <c r="M56"/>
  <c r="L56"/>
  <c r="K56"/>
  <c r="J56"/>
  <c r="I56"/>
  <c r="H56"/>
  <c r="G56"/>
  <c r="F56"/>
  <c r="E56"/>
  <c r="D56"/>
  <c r="C56"/>
  <c r="T55"/>
  <c r="S55"/>
  <c r="R55"/>
  <c r="Q55"/>
  <c r="P55"/>
  <c r="O55"/>
  <c r="N55"/>
  <c r="M55"/>
  <c r="L55"/>
  <c r="K55"/>
  <c r="J55"/>
  <c r="I55"/>
  <c r="H55"/>
  <c r="G55"/>
  <c r="F55"/>
  <c r="E55"/>
  <c r="D55"/>
  <c r="C55"/>
  <c r="T54"/>
  <c r="S54"/>
  <c r="R54"/>
  <c r="Q54"/>
  <c r="P54"/>
  <c r="O54"/>
  <c r="N54"/>
  <c r="M54"/>
  <c r="L54"/>
  <c r="K54"/>
  <c r="J54"/>
  <c r="I54"/>
  <c r="H54"/>
  <c r="G54"/>
  <c r="F54"/>
  <c r="E54"/>
  <c r="D54"/>
  <c r="C54"/>
  <c r="T53"/>
  <c r="S53"/>
  <c r="R53"/>
  <c r="Q53"/>
  <c r="P53"/>
  <c r="O53"/>
  <c r="N53"/>
  <c r="M53"/>
  <c r="L53"/>
  <c r="K53"/>
  <c r="J53"/>
  <c r="I53"/>
  <c r="H53"/>
  <c r="G53"/>
  <c r="F53"/>
  <c r="E53"/>
  <c r="D53"/>
  <c r="C53"/>
  <c r="T52"/>
  <c r="S52"/>
  <c r="R52"/>
  <c r="Q52"/>
  <c r="P52"/>
  <c r="O52"/>
  <c r="N52"/>
  <c r="M52"/>
  <c r="L52"/>
  <c r="K52"/>
  <c r="J52"/>
  <c r="I52"/>
  <c r="H52"/>
  <c r="G52"/>
  <c r="F52"/>
  <c r="E52"/>
  <c r="D52"/>
  <c r="C52"/>
  <c r="T51"/>
  <c r="S51"/>
  <c r="R51"/>
  <c r="Q51"/>
  <c r="P51"/>
  <c r="O51"/>
  <c r="N51"/>
  <c r="M51"/>
  <c r="L51"/>
  <c r="K51"/>
  <c r="J51"/>
  <c r="I51"/>
  <c r="H51"/>
  <c r="G51"/>
  <c r="F51"/>
  <c r="E51"/>
  <c r="D51"/>
  <c r="C51"/>
  <c r="T50"/>
  <c r="S50"/>
  <c r="R50"/>
  <c r="Q50"/>
  <c r="P50"/>
  <c r="O50"/>
  <c r="N50"/>
  <c r="M50"/>
  <c r="L50"/>
  <c r="K50"/>
  <c r="J50"/>
  <c r="I50"/>
  <c r="H50"/>
  <c r="G50"/>
  <c r="F50"/>
  <c r="E50"/>
  <c r="D50"/>
  <c r="C50"/>
  <c r="T49"/>
  <c r="S49"/>
  <c r="R49"/>
  <c r="Q49"/>
  <c r="P49"/>
  <c r="O49"/>
  <c r="N49"/>
  <c r="M49"/>
  <c r="L49"/>
  <c r="K49"/>
  <c r="J49"/>
  <c r="I49"/>
  <c r="H49"/>
  <c r="G49"/>
  <c r="F49"/>
  <c r="E49"/>
  <c r="D49"/>
  <c r="C49"/>
  <c r="T48"/>
  <c r="S48"/>
  <c r="R48"/>
  <c r="Q48"/>
  <c r="P48"/>
  <c r="O48"/>
  <c r="N48"/>
  <c r="M48"/>
  <c r="L48"/>
  <c r="K48"/>
  <c r="J48"/>
  <c r="I48"/>
  <c r="H48"/>
  <c r="G48"/>
  <c r="F48"/>
  <c r="E48"/>
  <c r="D48"/>
  <c r="C48"/>
  <c r="T47"/>
  <c r="S47"/>
  <c r="R47"/>
  <c r="Q47"/>
  <c r="P47"/>
  <c r="O47"/>
  <c r="N47"/>
  <c r="M47"/>
  <c r="L47"/>
  <c r="K47"/>
  <c r="J47"/>
  <c r="I47"/>
  <c r="H47"/>
  <c r="G47"/>
  <c r="F47"/>
  <c r="E47"/>
  <c r="D47"/>
  <c r="C47"/>
  <c r="T46"/>
  <c r="S46"/>
  <c r="R46"/>
  <c r="Q46"/>
  <c r="P46"/>
  <c r="O46"/>
  <c r="N46"/>
  <c r="M46"/>
  <c r="L46"/>
  <c r="K46"/>
  <c r="J46"/>
  <c r="I46"/>
  <c r="H46"/>
  <c r="G46"/>
  <c r="F46"/>
  <c r="E46"/>
  <c r="D46"/>
  <c r="C46"/>
  <c r="T45"/>
  <c r="S45"/>
  <c r="R45"/>
  <c r="Q45"/>
  <c r="P45"/>
  <c r="O45"/>
  <c r="N45"/>
  <c r="M45"/>
  <c r="L45"/>
  <c r="K45"/>
  <c r="J45"/>
  <c r="I45"/>
  <c r="H45"/>
  <c r="G45"/>
  <c r="F45"/>
  <c r="E45"/>
  <c r="D45"/>
  <c r="C45"/>
  <c r="T44"/>
  <c r="S44"/>
  <c r="R44"/>
  <c r="Q44"/>
  <c r="P44"/>
  <c r="O44"/>
  <c r="N44"/>
  <c r="M44"/>
  <c r="L44"/>
  <c r="K44"/>
  <c r="J44"/>
  <c r="I44"/>
  <c r="H44"/>
  <c r="G44"/>
  <c r="F44"/>
  <c r="E44"/>
  <c r="D44"/>
  <c r="C44"/>
  <c r="T43"/>
  <c r="S43"/>
  <c r="R43"/>
  <c r="Q43"/>
  <c r="P43"/>
  <c r="O43"/>
  <c r="N43"/>
  <c r="M43"/>
  <c r="L43"/>
  <c r="K43"/>
  <c r="J43"/>
  <c r="I43"/>
  <c r="H43"/>
  <c r="G43"/>
  <c r="F43"/>
  <c r="E43"/>
  <c r="D43"/>
  <c r="C43"/>
  <c r="T42"/>
  <c r="S42"/>
  <c r="R42"/>
  <c r="Q42"/>
  <c r="P42"/>
  <c r="O42"/>
  <c r="N42"/>
  <c r="M42"/>
  <c r="L42"/>
  <c r="K42"/>
  <c r="J42"/>
  <c r="I42"/>
  <c r="H42"/>
  <c r="G42"/>
  <c r="F42"/>
  <c r="E42"/>
  <c r="D42"/>
  <c r="C42"/>
  <c r="T41"/>
  <c r="S41"/>
  <c r="R41"/>
  <c r="Q41"/>
  <c r="P41"/>
  <c r="O41"/>
  <c r="N41"/>
  <c r="M41"/>
  <c r="L41"/>
  <c r="K41"/>
  <c r="J41"/>
  <c r="I41"/>
  <c r="H41"/>
  <c r="G41"/>
  <c r="F41"/>
  <c r="E41"/>
  <c r="D41"/>
  <c r="C41"/>
  <c r="T40"/>
  <c r="S40"/>
  <c r="R40"/>
  <c r="Q40"/>
  <c r="P40"/>
  <c r="O40"/>
  <c r="N40"/>
  <c r="M40"/>
  <c r="L40"/>
  <c r="K40"/>
  <c r="J40"/>
  <c r="I40"/>
  <c r="H40"/>
  <c r="G40"/>
  <c r="F40"/>
  <c r="E40"/>
  <c r="D40"/>
  <c r="C40"/>
  <c r="T39"/>
  <c r="S39"/>
  <c r="R39"/>
  <c r="Q39"/>
  <c r="P39"/>
  <c r="O39"/>
  <c r="N39"/>
  <c r="M39"/>
  <c r="L39"/>
  <c r="K39"/>
  <c r="J39"/>
  <c r="I39"/>
  <c r="H39"/>
  <c r="G39"/>
  <c r="F39"/>
  <c r="E39"/>
  <c r="D39"/>
  <c r="C39"/>
  <c r="T38"/>
  <c r="S38"/>
  <c r="R38"/>
  <c r="Q38"/>
  <c r="P38"/>
  <c r="O38"/>
  <c r="N38"/>
  <c r="M38"/>
  <c r="L38"/>
  <c r="K38"/>
  <c r="J38"/>
  <c r="I38"/>
  <c r="H38"/>
  <c r="G38"/>
  <c r="F38"/>
  <c r="E38"/>
  <c r="D38"/>
  <c r="C38"/>
  <c r="T37"/>
  <c r="S37"/>
  <c r="R37"/>
  <c r="Q37"/>
  <c r="P37"/>
  <c r="O37"/>
  <c r="N37"/>
  <c r="M37"/>
  <c r="L37"/>
  <c r="K37"/>
  <c r="J37"/>
  <c r="I37"/>
  <c r="H37"/>
  <c r="G37"/>
  <c r="F37"/>
  <c r="E37"/>
  <c r="D37"/>
  <c r="C37"/>
  <c r="T36"/>
  <c r="S36"/>
  <c r="R36"/>
  <c r="Q36"/>
  <c r="P36"/>
  <c r="O36"/>
  <c r="N36"/>
  <c r="M36"/>
  <c r="L36"/>
  <c r="K36"/>
  <c r="J36"/>
  <c r="I36"/>
  <c r="H36"/>
  <c r="G36"/>
  <c r="F36"/>
  <c r="E36"/>
  <c r="D36"/>
  <c r="C36"/>
  <c r="T35"/>
  <c r="S35"/>
  <c r="R35"/>
  <c r="Q35"/>
  <c r="P35"/>
  <c r="O35"/>
  <c r="N35"/>
  <c r="M35"/>
  <c r="L35"/>
  <c r="K35"/>
  <c r="J35"/>
  <c r="I35"/>
  <c r="H35"/>
  <c r="G35"/>
  <c r="F35"/>
  <c r="E35"/>
  <c r="D35"/>
  <c r="C35"/>
  <c r="T34"/>
  <c r="S34"/>
  <c r="R34"/>
  <c r="Q34"/>
  <c r="P34"/>
  <c r="O34"/>
  <c r="N34"/>
  <c r="M34"/>
  <c r="L34"/>
  <c r="K34"/>
  <c r="J34"/>
  <c r="I34"/>
  <c r="H34"/>
  <c r="G34"/>
  <c r="F34"/>
  <c r="E34"/>
  <c r="D34"/>
  <c r="C34"/>
  <c r="T33"/>
  <c r="S33"/>
  <c r="R33"/>
  <c r="Q33"/>
  <c r="P33"/>
  <c r="O33"/>
  <c r="N33"/>
  <c r="M33"/>
  <c r="L33"/>
  <c r="K33"/>
  <c r="J33"/>
  <c r="I33"/>
  <c r="H33"/>
  <c r="G33"/>
  <c r="F33"/>
  <c r="E33"/>
  <c r="D33"/>
  <c r="C33"/>
  <c r="T32"/>
  <c r="S32"/>
  <c r="R32"/>
  <c r="Q32"/>
  <c r="P32"/>
  <c r="O32"/>
  <c r="N32"/>
  <c r="M32"/>
  <c r="L32"/>
  <c r="K32"/>
  <c r="J32"/>
  <c r="I32"/>
  <c r="H32"/>
  <c r="G32"/>
  <c r="F32"/>
  <c r="E32"/>
  <c r="D32"/>
  <c r="C32"/>
  <c r="T31"/>
  <c r="S31"/>
  <c r="R31"/>
  <c r="Q31"/>
  <c r="P31"/>
  <c r="O31"/>
  <c r="N31"/>
  <c r="M31"/>
  <c r="L31"/>
  <c r="K31"/>
  <c r="J31"/>
  <c r="I31"/>
  <c r="H31"/>
  <c r="G31"/>
  <c r="F31"/>
  <c r="E31"/>
  <c r="D31"/>
  <c r="C31"/>
  <c r="T30"/>
  <c r="S30"/>
  <c r="R30"/>
  <c r="Q30"/>
  <c r="P30"/>
  <c r="O30"/>
  <c r="N30"/>
  <c r="M30"/>
  <c r="L30"/>
  <c r="K30"/>
  <c r="J30"/>
  <c r="I30"/>
  <c r="H30"/>
  <c r="G30"/>
  <c r="F30"/>
  <c r="E30"/>
  <c r="D30"/>
  <c r="C30"/>
  <c r="T29"/>
  <c r="S29"/>
  <c r="R29"/>
  <c r="Q29"/>
  <c r="P29"/>
  <c r="O29"/>
  <c r="N29"/>
  <c r="M29"/>
  <c r="L29"/>
  <c r="K29"/>
  <c r="J29"/>
  <c r="I29"/>
  <c r="H29"/>
  <c r="G29"/>
  <c r="F29"/>
  <c r="E29"/>
  <c r="D29"/>
  <c r="C29"/>
  <c r="T28"/>
  <c r="S28"/>
  <c r="R28"/>
  <c r="Q28"/>
  <c r="P28"/>
  <c r="O28"/>
  <c r="N28"/>
  <c r="M28"/>
  <c r="L28"/>
  <c r="K28"/>
  <c r="J28"/>
  <c r="I28"/>
  <c r="H28"/>
  <c r="G28"/>
  <c r="F28"/>
  <c r="E28"/>
  <c r="D28"/>
  <c r="C28"/>
  <c r="T27"/>
  <c r="S27"/>
  <c r="R27"/>
  <c r="Q27"/>
  <c r="P27"/>
  <c r="O27"/>
  <c r="N27"/>
  <c r="M27"/>
  <c r="L27"/>
  <c r="K27"/>
  <c r="J27"/>
  <c r="I27"/>
  <c r="H27"/>
  <c r="G27"/>
  <c r="F27"/>
  <c r="E27"/>
  <c r="D27"/>
  <c r="C27"/>
  <c r="T26"/>
  <c r="S26"/>
  <c r="R26"/>
  <c r="Q26"/>
  <c r="P26"/>
  <c r="O26"/>
  <c r="N26"/>
  <c r="M26"/>
  <c r="L26"/>
  <c r="K26"/>
  <c r="J26"/>
  <c r="I26"/>
  <c r="H26"/>
  <c r="G26"/>
  <c r="F26"/>
  <c r="E26"/>
  <c r="D26"/>
  <c r="C26"/>
  <c r="T25"/>
  <c r="S25"/>
  <c r="R25"/>
  <c r="Q25"/>
  <c r="P25"/>
  <c r="O25"/>
  <c r="N25"/>
  <c r="M25"/>
  <c r="L25"/>
  <c r="K25"/>
  <c r="J25"/>
  <c r="I25"/>
  <c r="H25"/>
  <c r="G25"/>
  <c r="F25"/>
  <c r="E25"/>
  <c r="D25"/>
  <c r="C25"/>
  <c r="T24"/>
  <c r="S24"/>
  <c r="R24"/>
  <c r="Q24"/>
  <c r="P24"/>
  <c r="O24"/>
  <c r="N24"/>
  <c r="M24"/>
  <c r="L24"/>
  <c r="K24"/>
  <c r="J24"/>
  <c r="I24"/>
  <c r="H24"/>
  <c r="G24"/>
  <c r="F24"/>
  <c r="E24"/>
  <c r="D24"/>
  <c r="C24"/>
  <c r="T23"/>
  <c r="S23"/>
  <c r="R23"/>
  <c r="Q23"/>
  <c r="P23"/>
  <c r="O23"/>
  <c r="N23"/>
  <c r="M23"/>
  <c r="L23"/>
  <c r="K23"/>
  <c r="J23"/>
  <c r="I23"/>
  <c r="H23"/>
  <c r="G23"/>
  <c r="F23"/>
  <c r="E23"/>
  <c r="D23"/>
  <c r="C23"/>
  <c r="T22"/>
  <c r="S22"/>
  <c r="R22"/>
  <c r="Q22"/>
  <c r="P22"/>
  <c r="O22"/>
  <c r="N22"/>
  <c r="M22"/>
  <c r="L22"/>
  <c r="K22"/>
  <c r="J22"/>
  <c r="I22"/>
  <c r="H22"/>
  <c r="G22"/>
  <c r="F22"/>
  <c r="E22"/>
  <c r="D22"/>
  <c r="C22"/>
  <c r="T21"/>
  <c r="S21"/>
  <c r="R21"/>
  <c r="Q21"/>
  <c r="P21"/>
  <c r="O21"/>
  <c r="N21"/>
  <c r="M21"/>
  <c r="L21"/>
  <c r="K21"/>
  <c r="J21"/>
  <c r="I21"/>
  <c r="H21"/>
  <c r="G21"/>
  <c r="F21"/>
  <c r="E21"/>
  <c r="D21"/>
  <c r="C21"/>
  <c r="T20"/>
  <c r="S20"/>
  <c r="R20"/>
  <c r="Q20"/>
  <c r="P20"/>
  <c r="O20"/>
  <c r="N20"/>
  <c r="M20"/>
  <c r="L20"/>
  <c r="K20"/>
  <c r="J20"/>
  <c r="I20"/>
  <c r="H20"/>
  <c r="G20"/>
  <c r="F20"/>
  <c r="E20"/>
  <c r="D20"/>
  <c r="C20"/>
  <c r="T19"/>
  <c r="S19"/>
  <c r="R19"/>
  <c r="Q19"/>
  <c r="P19"/>
  <c r="O19"/>
  <c r="N19"/>
  <c r="M19"/>
  <c r="L19"/>
  <c r="K19"/>
  <c r="J19"/>
  <c r="I19"/>
  <c r="H19"/>
  <c r="G19"/>
  <c r="F19"/>
  <c r="E19"/>
  <c r="D19"/>
  <c r="C19"/>
  <c r="T18"/>
  <c r="S18"/>
  <c r="R18"/>
  <c r="Q18"/>
  <c r="P18"/>
  <c r="O18"/>
  <c r="N18"/>
  <c r="M18"/>
  <c r="L18"/>
  <c r="K18"/>
  <c r="J18"/>
  <c r="I18"/>
  <c r="H18"/>
  <c r="G18"/>
  <c r="F18"/>
  <c r="E18"/>
  <c r="D18"/>
  <c r="C18"/>
  <c r="T17"/>
  <c r="S17"/>
  <c r="R17"/>
  <c r="Q17"/>
  <c r="P17"/>
  <c r="O17"/>
  <c r="N17"/>
  <c r="M17"/>
  <c r="L17"/>
  <c r="K17"/>
  <c r="J17"/>
  <c r="I17"/>
  <c r="H17"/>
  <c r="G17"/>
  <c r="F17"/>
  <c r="E17"/>
  <c r="D17"/>
  <c r="C17"/>
  <c r="T16"/>
  <c r="S16"/>
  <c r="R16"/>
  <c r="Q16"/>
  <c r="P16"/>
  <c r="O16"/>
  <c r="N16"/>
  <c r="M16"/>
  <c r="L16"/>
  <c r="K16"/>
  <c r="J16"/>
  <c r="I16"/>
  <c r="H16"/>
  <c r="G16"/>
  <c r="F16"/>
  <c r="E16"/>
  <c r="D16"/>
  <c r="C16"/>
  <c r="T15"/>
  <c r="S15"/>
  <c r="R15"/>
  <c r="Q15"/>
  <c r="P15"/>
  <c r="O15"/>
  <c r="N15"/>
  <c r="M15"/>
  <c r="L15"/>
  <c r="K15"/>
  <c r="J15"/>
  <c r="I15"/>
  <c r="H15"/>
  <c r="G15"/>
  <c r="F15"/>
  <c r="E15"/>
  <c r="D15"/>
  <c r="C15"/>
  <c r="T14"/>
  <c r="S14"/>
  <c r="R14"/>
  <c r="Q14"/>
  <c r="P14"/>
  <c r="O14"/>
  <c r="N14"/>
  <c r="M14"/>
  <c r="L14"/>
  <c r="K14"/>
  <c r="J14"/>
  <c r="I14"/>
  <c r="H14"/>
  <c r="G14"/>
  <c r="F14"/>
  <c r="E14"/>
  <c r="D14"/>
  <c r="C14"/>
  <c r="T13"/>
  <c r="S13"/>
  <c r="R13"/>
  <c r="Q13"/>
  <c r="P13"/>
  <c r="O13"/>
  <c r="N13"/>
  <c r="M13"/>
  <c r="L13"/>
  <c r="K13"/>
  <c r="J13"/>
  <c r="I13"/>
  <c r="H13"/>
  <c r="G13"/>
  <c r="F13"/>
  <c r="E13"/>
  <c r="D13"/>
  <c r="C13"/>
  <c r="T12"/>
  <c r="S12"/>
  <c r="R12"/>
  <c r="Q12"/>
  <c r="P12"/>
  <c r="O12"/>
  <c r="N12"/>
  <c r="M12"/>
  <c r="L12"/>
  <c r="K12"/>
  <c r="J12"/>
  <c r="I12"/>
  <c r="H12"/>
  <c r="G12"/>
  <c r="F12"/>
  <c r="E12"/>
  <c r="D12"/>
  <c r="C12"/>
  <c r="D7" i="19"/>
  <c r="E7" s="1"/>
  <c r="F7" s="1"/>
  <c r="G7" s="1"/>
  <c r="H7" s="1"/>
  <c r="I7" s="1"/>
  <c r="J7" s="1"/>
  <c r="K7" s="1"/>
  <c r="L7" s="1"/>
  <c r="M7" s="1"/>
  <c r="N7" s="1"/>
  <c r="O7" s="1"/>
  <c r="P7" s="1"/>
  <c r="Q7" s="1"/>
  <c r="R7" s="1"/>
  <c r="S7" s="1"/>
  <c r="T7" s="1"/>
  <c r="U7" s="1"/>
  <c r="A96" i="1"/>
  <c r="U95"/>
  <c r="T95"/>
  <c r="S95"/>
  <c r="R95"/>
  <c r="Q95"/>
  <c r="P95"/>
  <c r="O95"/>
  <c r="N95"/>
  <c r="M95"/>
  <c r="L95"/>
  <c r="K95"/>
  <c r="J95"/>
  <c r="I95"/>
  <c r="H95"/>
  <c r="G95"/>
  <c r="F95"/>
  <c r="E95"/>
  <c r="D95"/>
  <c r="C95"/>
  <c r="A95"/>
  <c r="U94"/>
  <c r="T94"/>
  <c r="S94"/>
  <c r="R94"/>
  <c r="Q94"/>
  <c r="P94"/>
  <c r="O94"/>
  <c r="N94"/>
  <c r="M94"/>
  <c r="L94"/>
  <c r="K94"/>
  <c r="J94"/>
  <c r="I94"/>
  <c r="H94"/>
  <c r="G94"/>
  <c r="F94"/>
  <c r="E94"/>
  <c r="D94"/>
  <c r="C94"/>
  <c r="A94"/>
  <c r="U93"/>
  <c r="T93"/>
  <c r="S93"/>
  <c r="R93"/>
  <c r="Q93"/>
  <c r="P93"/>
  <c r="O93"/>
  <c r="N93"/>
  <c r="M93"/>
  <c r="L93"/>
  <c r="K93"/>
  <c r="J93"/>
  <c r="I93"/>
  <c r="H93"/>
  <c r="G93"/>
  <c r="F93"/>
  <c r="E93"/>
  <c r="D93"/>
  <c r="C93"/>
  <c r="A93"/>
  <c r="U92"/>
  <c r="T92"/>
  <c r="S92"/>
  <c r="R92"/>
  <c r="Q92"/>
  <c r="P92"/>
  <c r="O92"/>
  <c r="N92"/>
  <c r="M92"/>
  <c r="L92"/>
  <c r="K92"/>
  <c r="J92"/>
  <c r="I92"/>
  <c r="H92"/>
  <c r="G92"/>
  <c r="F92"/>
  <c r="E92"/>
  <c r="D92"/>
  <c r="C92"/>
  <c r="A92"/>
  <c r="U91"/>
  <c r="T91"/>
  <c r="S91"/>
  <c r="R91"/>
  <c r="Q91"/>
  <c r="P91"/>
  <c r="O91"/>
  <c r="N91"/>
  <c r="M91"/>
  <c r="L91"/>
  <c r="K91"/>
  <c r="J91"/>
  <c r="I91"/>
  <c r="H91"/>
  <c r="G91"/>
  <c r="F91"/>
  <c r="E91"/>
  <c r="D91"/>
  <c r="C91"/>
  <c r="A91"/>
  <c r="U90"/>
  <c r="T90"/>
  <c r="S90"/>
  <c r="R90"/>
  <c r="Q90"/>
  <c r="P90"/>
  <c r="O90"/>
  <c r="N90"/>
  <c r="M90"/>
  <c r="L90"/>
  <c r="K90"/>
  <c r="J90"/>
  <c r="I90"/>
  <c r="H90"/>
  <c r="G90"/>
  <c r="F90"/>
  <c r="E90"/>
  <c r="D90"/>
  <c r="C90"/>
  <c r="A90"/>
  <c r="U89"/>
  <c r="T89"/>
  <c r="S89"/>
  <c r="R89"/>
  <c r="Q89"/>
  <c r="P89"/>
  <c r="O89"/>
  <c r="N89"/>
  <c r="M89"/>
  <c r="L89"/>
  <c r="K89"/>
  <c r="J89"/>
  <c r="I89"/>
  <c r="H89"/>
  <c r="G89"/>
  <c r="F89"/>
  <c r="E89"/>
  <c r="D89"/>
  <c r="C89"/>
  <c r="A89"/>
  <c r="A88"/>
  <c r="U87"/>
  <c r="T87"/>
  <c r="S87"/>
  <c r="R87"/>
  <c r="Q87"/>
  <c r="P87"/>
  <c r="O87"/>
  <c r="N87"/>
  <c r="M87"/>
  <c r="L87"/>
  <c r="K87"/>
  <c r="J87"/>
  <c r="I87"/>
  <c r="H87"/>
  <c r="G87"/>
  <c r="F87"/>
  <c r="E87"/>
  <c r="D87"/>
  <c r="C87"/>
  <c r="A87"/>
  <c r="U86"/>
  <c r="T86"/>
  <c r="S86"/>
  <c r="R86"/>
  <c r="Q86"/>
  <c r="P86"/>
  <c r="O86"/>
  <c r="N86"/>
  <c r="M86"/>
  <c r="L86"/>
  <c r="K86"/>
  <c r="J86"/>
  <c r="I86"/>
  <c r="H86"/>
  <c r="G86"/>
  <c r="F86"/>
  <c r="E86"/>
  <c r="D86"/>
  <c r="C86"/>
  <c r="A86"/>
  <c r="U85"/>
  <c r="T85"/>
  <c r="S85"/>
  <c r="R85"/>
  <c r="Q85"/>
  <c r="P85"/>
  <c r="O85"/>
  <c r="N85"/>
  <c r="M85"/>
  <c r="L85"/>
  <c r="K85"/>
  <c r="J85"/>
  <c r="I85"/>
  <c r="H85"/>
  <c r="G85"/>
  <c r="F85"/>
  <c r="E85"/>
  <c r="D85"/>
  <c r="C85"/>
  <c r="A85"/>
  <c r="U84"/>
  <c r="T84"/>
  <c r="S84"/>
  <c r="R84"/>
  <c r="Q84"/>
  <c r="P84"/>
  <c r="O84"/>
  <c r="N84"/>
  <c r="M84"/>
  <c r="L84"/>
  <c r="K84"/>
  <c r="J84"/>
  <c r="I84"/>
  <c r="H84"/>
  <c r="G84"/>
  <c r="F84"/>
  <c r="E84"/>
  <c r="D84"/>
  <c r="C84"/>
  <c r="A84"/>
  <c r="T83"/>
  <c r="S83"/>
  <c r="R83"/>
  <c r="Q83"/>
  <c r="P83"/>
  <c r="O83"/>
  <c r="N83"/>
  <c r="M83"/>
  <c r="L83"/>
  <c r="K83"/>
  <c r="J83"/>
  <c r="I83"/>
  <c r="H83"/>
  <c r="G83"/>
  <c r="F83"/>
  <c r="E83"/>
  <c r="D83"/>
  <c r="C83"/>
  <c r="A83"/>
  <c r="U82"/>
  <c r="T82"/>
  <c r="S82"/>
  <c r="R82"/>
  <c r="Q82"/>
  <c r="P82"/>
  <c r="O82"/>
  <c r="N82"/>
  <c r="M82"/>
  <c r="L82"/>
  <c r="K82"/>
  <c r="J82"/>
  <c r="I82"/>
  <c r="H82"/>
  <c r="G82"/>
  <c r="F82"/>
  <c r="E82"/>
  <c r="D82"/>
  <c r="C82"/>
  <c r="A82"/>
  <c r="U81"/>
  <c r="T81"/>
  <c r="S81"/>
  <c r="R81"/>
  <c r="Q81"/>
  <c r="P81"/>
  <c r="O81"/>
  <c r="N81"/>
  <c r="M81"/>
  <c r="L81"/>
  <c r="K81"/>
  <c r="J81"/>
  <c r="I81"/>
  <c r="H81"/>
  <c r="G81"/>
  <c r="F81"/>
  <c r="E81"/>
  <c r="D81"/>
  <c r="C81"/>
  <c r="A81"/>
  <c r="T80"/>
  <c r="S80"/>
  <c r="R80"/>
  <c r="Q80"/>
  <c r="P80"/>
  <c r="O80"/>
  <c r="N80"/>
  <c r="M80"/>
  <c r="L80"/>
  <c r="K80"/>
  <c r="J80"/>
  <c r="I80"/>
  <c r="H80"/>
  <c r="G80"/>
  <c r="F80"/>
  <c r="E80"/>
  <c r="D80"/>
  <c r="C80"/>
  <c r="A80"/>
  <c r="T79"/>
  <c r="S79"/>
  <c r="R79"/>
  <c r="Q79"/>
  <c r="P79"/>
  <c r="O79"/>
  <c r="N79"/>
  <c r="M79"/>
  <c r="L79"/>
  <c r="K79"/>
  <c r="J79"/>
  <c r="I79"/>
  <c r="H79"/>
  <c r="G79"/>
  <c r="F79"/>
  <c r="E79"/>
  <c r="D79"/>
  <c r="C79"/>
  <c r="A79"/>
  <c r="T78"/>
  <c r="S78"/>
  <c r="R78"/>
  <c r="Q78"/>
  <c r="P78"/>
  <c r="O78"/>
  <c r="N78"/>
  <c r="M78"/>
  <c r="L78"/>
  <c r="K78"/>
  <c r="J78"/>
  <c r="I78"/>
  <c r="H78"/>
  <c r="G78"/>
  <c r="F78"/>
  <c r="E78"/>
  <c r="D78"/>
  <c r="C78"/>
  <c r="A78"/>
  <c r="T77"/>
  <c r="S77"/>
  <c r="R77"/>
  <c r="Q77"/>
  <c r="P77"/>
  <c r="O77"/>
  <c r="N77"/>
  <c r="M77"/>
  <c r="L77"/>
  <c r="K77"/>
  <c r="J77"/>
  <c r="I77"/>
  <c r="H77"/>
  <c r="G77"/>
  <c r="F77"/>
  <c r="E77"/>
  <c r="D77"/>
  <c r="C77"/>
  <c r="A77"/>
  <c r="T76"/>
  <c r="S76"/>
  <c r="R76"/>
  <c r="Q76"/>
  <c r="P76"/>
  <c r="O76"/>
  <c r="N76"/>
  <c r="M76"/>
  <c r="L76"/>
  <c r="K76"/>
  <c r="J76"/>
  <c r="I76"/>
  <c r="H76"/>
  <c r="G76"/>
  <c r="F76"/>
  <c r="E76"/>
  <c r="D76"/>
  <c r="C76"/>
  <c r="A76"/>
  <c r="T72"/>
  <c r="S72"/>
  <c r="R72"/>
  <c r="Q72"/>
  <c r="P72"/>
  <c r="O72"/>
  <c r="N72"/>
  <c r="M72"/>
  <c r="L72"/>
  <c r="K72"/>
  <c r="J72"/>
  <c r="I72"/>
  <c r="H72"/>
  <c r="G72"/>
  <c r="F72"/>
  <c r="E72"/>
  <c r="D72"/>
  <c r="C72"/>
  <c r="A72"/>
  <c r="T71"/>
  <c r="S71"/>
  <c r="R71"/>
  <c r="Q71"/>
  <c r="P71"/>
  <c r="O71"/>
  <c r="N71"/>
  <c r="M71"/>
  <c r="L71"/>
  <c r="K71"/>
  <c r="J71"/>
  <c r="I71"/>
  <c r="H71"/>
  <c r="G71"/>
  <c r="F71"/>
  <c r="E71"/>
  <c r="D71"/>
  <c r="C71"/>
  <c r="A71"/>
  <c r="T70"/>
  <c r="S70"/>
  <c r="R70"/>
  <c r="Q70"/>
  <c r="P70"/>
  <c r="O70"/>
  <c r="N70"/>
  <c r="M70"/>
  <c r="L70"/>
  <c r="K70"/>
  <c r="J70"/>
  <c r="I70"/>
  <c r="H70"/>
  <c r="G70"/>
  <c r="F70"/>
  <c r="E70"/>
  <c r="D70"/>
  <c r="C70"/>
  <c r="A70"/>
  <c r="T69"/>
  <c r="S69"/>
  <c r="R69"/>
  <c r="Q69"/>
  <c r="P69"/>
  <c r="O69"/>
  <c r="N69"/>
  <c r="M69"/>
  <c r="L69"/>
  <c r="K69"/>
  <c r="J69"/>
  <c r="I69"/>
  <c r="H69"/>
  <c r="G69"/>
  <c r="F69"/>
  <c r="E69"/>
  <c r="D69"/>
  <c r="C69"/>
  <c r="A69"/>
  <c r="U68"/>
  <c r="T68"/>
  <c r="S68"/>
  <c r="R68"/>
  <c r="Q68"/>
  <c r="P68"/>
  <c r="O68"/>
  <c r="N68"/>
  <c r="M68"/>
  <c r="L68"/>
  <c r="K68"/>
  <c r="J68"/>
  <c r="I68"/>
  <c r="H68"/>
  <c r="G68"/>
  <c r="F68"/>
  <c r="E68"/>
  <c r="D68"/>
  <c r="C68"/>
  <c r="A68"/>
  <c r="T67"/>
  <c r="S67"/>
  <c r="R67"/>
  <c r="Q67"/>
  <c r="P67"/>
  <c r="O67"/>
  <c r="N67"/>
  <c r="M67"/>
  <c r="L67"/>
  <c r="K67"/>
  <c r="J67"/>
  <c r="I67"/>
  <c r="H67"/>
  <c r="G67"/>
  <c r="F67"/>
  <c r="E67"/>
  <c r="D67"/>
  <c r="C67"/>
  <c r="A67"/>
  <c r="T66"/>
  <c r="S66"/>
  <c r="R66"/>
  <c r="Q66"/>
  <c r="P66"/>
  <c r="O66"/>
  <c r="N66"/>
  <c r="M66"/>
  <c r="L66"/>
  <c r="K66"/>
  <c r="J66"/>
  <c r="I66"/>
  <c r="H66"/>
  <c r="G66"/>
  <c r="F66"/>
  <c r="E66"/>
  <c r="D66"/>
  <c r="C66"/>
  <c r="A66"/>
  <c r="T65"/>
  <c r="S65"/>
  <c r="R65"/>
  <c r="Q65"/>
  <c r="P65"/>
  <c r="O65"/>
  <c r="N65"/>
  <c r="M65"/>
  <c r="L65"/>
  <c r="K65"/>
  <c r="J65"/>
  <c r="I65"/>
  <c r="H65"/>
  <c r="G65"/>
  <c r="F65"/>
  <c r="E65"/>
  <c r="D65"/>
  <c r="C65"/>
  <c r="A65"/>
  <c r="T64"/>
  <c r="S64"/>
  <c r="R64"/>
  <c r="Q64"/>
  <c r="P64"/>
  <c r="O64"/>
  <c r="N64"/>
  <c r="M64"/>
  <c r="L64"/>
  <c r="K64"/>
  <c r="J64"/>
  <c r="I64"/>
  <c r="H64"/>
  <c r="G64"/>
  <c r="F64"/>
  <c r="E64"/>
  <c r="D64"/>
  <c r="C64"/>
  <c r="A64"/>
  <c r="T63"/>
  <c r="S63"/>
  <c r="R63"/>
  <c r="Q63"/>
  <c r="P63"/>
  <c r="O63"/>
  <c r="N63"/>
  <c r="M63"/>
  <c r="L63"/>
  <c r="K63"/>
  <c r="J63"/>
  <c r="I63"/>
  <c r="H63"/>
  <c r="G63"/>
  <c r="F63"/>
  <c r="E63"/>
  <c r="D63"/>
  <c r="C63"/>
  <c r="A63"/>
  <c r="T62"/>
  <c r="S62"/>
  <c r="R62"/>
  <c r="Q62"/>
  <c r="P62"/>
  <c r="O62"/>
  <c r="N62"/>
  <c r="M62"/>
  <c r="L62"/>
  <c r="K62"/>
  <c r="J62"/>
  <c r="I62"/>
  <c r="H62"/>
  <c r="G62"/>
  <c r="F62"/>
  <c r="E62"/>
  <c r="D62"/>
  <c r="C62"/>
  <c r="A62"/>
  <c r="T61"/>
  <c r="S61"/>
  <c r="R61"/>
  <c r="Q61"/>
  <c r="P61"/>
  <c r="O61"/>
  <c r="N61"/>
  <c r="M61"/>
  <c r="L61"/>
  <c r="K61"/>
  <c r="J61"/>
  <c r="I61"/>
  <c r="H61"/>
  <c r="G61"/>
  <c r="F61"/>
  <c r="E61"/>
  <c r="D61"/>
  <c r="C61"/>
  <c r="A61"/>
  <c r="T60"/>
  <c r="S60"/>
  <c r="R60"/>
  <c r="Q60"/>
  <c r="P60"/>
  <c r="O60"/>
  <c r="N60"/>
  <c r="M60"/>
  <c r="L60"/>
  <c r="K60"/>
  <c r="J60"/>
  <c r="I60"/>
  <c r="H60"/>
  <c r="G60"/>
  <c r="F60"/>
  <c r="E60"/>
  <c r="D60"/>
  <c r="C60"/>
  <c r="A60"/>
  <c r="T59"/>
  <c r="S59"/>
  <c r="R59"/>
  <c r="Q59"/>
  <c r="P59"/>
  <c r="O59"/>
  <c r="N59"/>
  <c r="M59"/>
  <c r="L59"/>
  <c r="K59"/>
  <c r="J59"/>
  <c r="I59"/>
  <c r="H59"/>
  <c r="G59"/>
  <c r="F59"/>
  <c r="E59"/>
  <c r="D59"/>
  <c r="C59"/>
  <c r="A59"/>
  <c r="T58"/>
  <c r="S58"/>
  <c r="R58"/>
  <c r="Q58"/>
  <c r="P58"/>
  <c r="O58"/>
  <c r="N58"/>
  <c r="M58"/>
  <c r="L58"/>
  <c r="K58"/>
  <c r="J58"/>
  <c r="I58"/>
  <c r="H58"/>
  <c r="G58"/>
  <c r="F58"/>
  <c r="E58"/>
  <c r="D58"/>
  <c r="C58"/>
  <c r="A58"/>
  <c r="T57"/>
  <c r="S57"/>
  <c r="R57"/>
  <c r="Q57"/>
  <c r="P57"/>
  <c r="O57"/>
  <c r="N57"/>
  <c r="M57"/>
  <c r="L57"/>
  <c r="K57"/>
  <c r="J57"/>
  <c r="I57"/>
  <c r="H57"/>
  <c r="G57"/>
  <c r="F57"/>
  <c r="E57"/>
  <c r="D57"/>
  <c r="C57"/>
  <c r="A57"/>
  <c r="T56"/>
  <c r="S56"/>
  <c r="R56"/>
  <c r="Q56"/>
  <c r="P56"/>
  <c r="O56"/>
  <c r="N56"/>
  <c r="M56"/>
  <c r="L56"/>
  <c r="K56"/>
  <c r="J56"/>
  <c r="I56"/>
  <c r="H56"/>
  <c r="G56"/>
  <c r="F56"/>
  <c r="E56"/>
  <c r="D56"/>
  <c r="C56"/>
  <c r="A56"/>
  <c r="E55"/>
  <c r="D55"/>
  <c r="C55"/>
  <c r="A55"/>
  <c r="A54"/>
  <c r="T53"/>
  <c r="S53"/>
  <c r="R53"/>
  <c r="Q53"/>
  <c r="P53"/>
  <c r="O53"/>
  <c r="N53"/>
  <c r="M53"/>
  <c r="L53"/>
  <c r="K53"/>
  <c r="J53"/>
  <c r="I53"/>
  <c r="H53"/>
  <c r="G53"/>
  <c r="F53"/>
  <c r="E53"/>
  <c r="D53"/>
  <c r="C53"/>
  <c r="A53"/>
  <c r="T52"/>
  <c r="S52"/>
  <c r="R52"/>
  <c r="Q52"/>
  <c r="P52"/>
  <c r="O52"/>
  <c r="N52"/>
  <c r="M52"/>
  <c r="L52"/>
  <c r="K52"/>
  <c r="J52"/>
  <c r="I52"/>
  <c r="H52"/>
  <c r="G52"/>
  <c r="F52"/>
  <c r="E52"/>
  <c r="D52"/>
  <c r="C52"/>
  <c r="A52"/>
  <c r="T51"/>
  <c r="S51"/>
  <c r="R51"/>
  <c r="Q51"/>
  <c r="P51"/>
  <c r="O51"/>
  <c r="N51"/>
  <c r="M51"/>
  <c r="L51"/>
  <c r="K51"/>
  <c r="J51"/>
  <c r="I51"/>
  <c r="H51"/>
  <c r="G51"/>
  <c r="F51"/>
  <c r="E51"/>
  <c r="D51"/>
  <c r="C51"/>
  <c r="A51"/>
  <c r="T50"/>
  <c r="S50"/>
  <c r="R50"/>
  <c r="Q50"/>
  <c r="P50"/>
  <c r="O50"/>
  <c r="N50"/>
  <c r="M50"/>
  <c r="L50"/>
  <c r="K50"/>
  <c r="J50"/>
  <c r="I50"/>
  <c r="H50"/>
  <c r="G50"/>
  <c r="F50"/>
  <c r="E50"/>
  <c r="D50"/>
  <c r="C50"/>
  <c r="A50"/>
  <c r="T49"/>
  <c r="S49"/>
  <c r="R49"/>
  <c r="Q49"/>
  <c r="P49"/>
  <c r="O49"/>
  <c r="N49"/>
  <c r="M49"/>
  <c r="L49"/>
  <c r="K49"/>
  <c r="J49"/>
  <c r="I49"/>
  <c r="H49"/>
  <c r="G49"/>
  <c r="F49"/>
  <c r="E49"/>
  <c r="D49"/>
  <c r="C49"/>
  <c r="A49"/>
  <c r="T48"/>
  <c r="S48"/>
  <c r="R48"/>
  <c r="Q48"/>
  <c r="P48"/>
  <c r="O48"/>
  <c r="N48"/>
  <c r="M48"/>
  <c r="L48"/>
  <c r="K48"/>
  <c r="J48"/>
  <c r="I48"/>
  <c r="H48"/>
  <c r="G48"/>
  <c r="F48"/>
  <c r="E48"/>
  <c r="D48"/>
  <c r="C48"/>
  <c r="A48"/>
  <c r="T47"/>
  <c r="S47"/>
  <c r="R47"/>
  <c r="Q47"/>
  <c r="P47"/>
  <c r="O47"/>
  <c r="N47"/>
  <c r="M47"/>
  <c r="L47"/>
  <c r="K47"/>
  <c r="J47"/>
  <c r="I47"/>
  <c r="H47"/>
  <c r="G47"/>
  <c r="F47"/>
  <c r="E47"/>
  <c r="D47"/>
  <c r="C47"/>
  <c r="A47"/>
  <c r="T46"/>
  <c r="S46"/>
  <c r="R46"/>
  <c r="Q46"/>
  <c r="P46"/>
  <c r="O46"/>
  <c r="N46"/>
  <c r="M46"/>
  <c r="L46"/>
  <c r="K46"/>
  <c r="J46"/>
  <c r="I46"/>
  <c r="H46"/>
  <c r="G46"/>
  <c r="F46"/>
  <c r="E46"/>
  <c r="D46"/>
  <c r="C46"/>
  <c r="A46"/>
  <c r="T45"/>
  <c r="S45"/>
  <c r="R45"/>
  <c r="Q45"/>
  <c r="P45"/>
  <c r="O45"/>
  <c r="N45"/>
  <c r="M45"/>
  <c r="L45"/>
  <c r="K45"/>
  <c r="J45"/>
  <c r="I45"/>
  <c r="H45"/>
  <c r="G45"/>
  <c r="F45"/>
  <c r="E45"/>
  <c r="D45"/>
  <c r="C45"/>
  <c r="A45"/>
  <c r="T44"/>
  <c r="S44"/>
  <c r="R44"/>
  <c r="Q44"/>
  <c r="P44"/>
  <c r="O44"/>
  <c r="N44"/>
  <c r="M44"/>
  <c r="L44"/>
  <c r="K44"/>
  <c r="J44"/>
  <c r="I44"/>
  <c r="H44"/>
  <c r="G44"/>
  <c r="F44"/>
  <c r="E44"/>
  <c r="D44"/>
  <c r="C44"/>
  <c r="A44"/>
  <c r="T43"/>
  <c r="S43"/>
  <c r="R43"/>
  <c r="Q43"/>
  <c r="P43"/>
  <c r="O43"/>
  <c r="N43"/>
  <c r="M43"/>
  <c r="L43"/>
  <c r="K43"/>
  <c r="J43"/>
  <c r="I43"/>
  <c r="H43"/>
  <c r="G43"/>
  <c r="F43"/>
  <c r="E43"/>
  <c r="D43"/>
  <c r="C43"/>
  <c r="A43"/>
  <c r="T42"/>
  <c r="S42"/>
  <c r="R42"/>
  <c r="Q42"/>
  <c r="P42"/>
  <c r="O42"/>
  <c r="N42"/>
  <c r="M42"/>
  <c r="L42"/>
  <c r="K42"/>
  <c r="J42"/>
  <c r="I42"/>
  <c r="H42"/>
  <c r="G42"/>
  <c r="F42"/>
  <c r="E42"/>
  <c r="D42"/>
  <c r="C42"/>
  <c r="A42"/>
  <c r="T41"/>
  <c r="S41"/>
  <c r="R41"/>
  <c r="Q41"/>
  <c r="P41"/>
  <c r="O41"/>
  <c r="N41"/>
  <c r="M41"/>
  <c r="L41"/>
  <c r="K41"/>
  <c r="J41"/>
  <c r="I41"/>
  <c r="H41"/>
  <c r="G41"/>
  <c r="F41"/>
  <c r="E41"/>
  <c r="D41"/>
  <c r="C41"/>
  <c r="A41"/>
  <c r="T40"/>
  <c r="S40"/>
  <c r="R40"/>
  <c r="Q40"/>
  <c r="P40"/>
  <c r="O40"/>
  <c r="N40"/>
  <c r="M40"/>
  <c r="L40"/>
  <c r="K40"/>
  <c r="J40"/>
  <c r="I40"/>
  <c r="H40"/>
  <c r="G40"/>
  <c r="F40"/>
  <c r="E40"/>
  <c r="D40"/>
  <c r="C40"/>
  <c r="A40"/>
  <c r="T39"/>
  <c r="S39"/>
  <c r="R39"/>
  <c r="Q39"/>
  <c r="P39"/>
  <c r="O39"/>
  <c r="N39"/>
  <c r="M39"/>
  <c r="L39"/>
  <c r="K39"/>
  <c r="J39"/>
  <c r="I39"/>
  <c r="H39"/>
  <c r="G39"/>
  <c r="F39"/>
  <c r="E39"/>
  <c r="D39"/>
  <c r="C39"/>
  <c r="A39"/>
  <c r="T38"/>
  <c r="S38"/>
  <c r="R38"/>
  <c r="Q38"/>
  <c r="P38"/>
  <c r="O38"/>
  <c r="N38"/>
  <c r="M38"/>
  <c r="L38"/>
  <c r="K38"/>
  <c r="J38"/>
  <c r="I38"/>
  <c r="H38"/>
  <c r="G38"/>
  <c r="F38"/>
  <c r="E38"/>
  <c r="D38"/>
  <c r="C38"/>
  <c r="A38"/>
  <c r="T37"/>
  <c r="S37"/>
  <c r="R37"/>
  <c r="Q37"/>
  <c r="P37"/>
  <c r="O37"/>
  <c r="N37"/>
  <c r="M37"/>
  <c r="L37"/>
  <c r="K37"/>
  <c r="J37"/>
  <c r="I37"/>
  <c r="H37"/>
  <c r="G37"/>
  <c r="F37"/>
  <c r="E37"/>
  <c r="D37"/>
  <c r="C37"/>
  <c r="A37"/>
  <c r="T36"/>
  <c r="S36"/>
  <c r="R36"/>
  <c r="Q36"/>
  <c r="P36"/>
  <c r="O36"/>
  <c r="N36"/>
  <c r="M36"/>
  <c r="L36"/>
  <c r="K36"/>
  <c r="J36"/>
  <c r="I36"/>
  <c r="H36"/>
  <c r="G36"/>
  <c r="F36"/>
  <c r="E36"/>
  <c r="D36"/>
  <c r="C36"/>
  <c r="A36"/>
  <c r="T35"/>
  <c r="S35"/>
  <c r="R35"/>
  <c r="Q35"/>
  <c r="P35"/>
  <c r="O35"/>
  <c r="N35"/>
  <c r="M35"/>
  <c r="L35"/>
  <c r="K35"/>
  <c r="J35"/>
  <c r="I35"/>
  <c r="H35"/>
  <c r="G35"/>
  <c r="F35"/>
  <c r="E35"/>
  <c r="D35"/>
  <c r="C35"/>
  <c r="A35"/>
  <c r="T34"/>
  <c r="S34"/>
  <c r="R34"/>
  <c r="Q34"/>
  <c r="P34"/>
  <c r="O34"/>
  <c r="N34"/>
  <c r="M34"/>
  <c r="L34"/>
  <c r="K34"/>
  <c r="J34"/>
  <c r="I34"/>
  <c r="H34"/>
  <c r="G34"/>
  <c r="F34"/>
  <c r="E34"/>
  <c r="D34"/>
  <c r="C34"/>
  <c r="A34"/>
  <c r="T33"/>
  <c r="S33"/>
  <c r="R33"/>
  <c r="Q33"/>
  <c r="P33"/>
  <c r="O33"/>
  <c r="N33"/>
  <c r="M33"/>
  <c r="L33"/>
  <c r="K33"/>
  <c r="J33"/>
  <c r="I33"/>
  <c r="H33"/>
  <c r="G33"/>
  <c r="F33"/>
  <c r="E33"/>
  <c r="D33"/>
  <c r="C33"/>
  <c r="A33"/>
  <c r="T32"/>
  <c r="S32"/>
  <c r="R32"/>
  <c r="Q32"/>
  <c r="P32"/>
  <c r="O32"/>
  <c r="N32"/>
  <c r="M32"/>
  <c r="L32"/>
  <c r="K32"/>
  <c r="J32"/>
  <c r="I32"/>
  <c r="H32"/>
  <c r="G32"/>
  <c r="F32"/>
  <c r="E32"/>
  <c r="D32"/>
  <c r="C32"/>
  <c r="A32"/>
  <c r="T31"/>
  <c r="S31"/>
  <c r="R31"/>
  <c r="Q31"/>
  <c r="P31"/>
  <c r="O31"/>
  <c r="N31"/>
  <c r="M31"/>
  <c r="L31"/>
  <c r="K31"/>
  <c r="J31"/>
  <c r="I31"/>
  <c r="H31"/>
  <c r="G31"/>
  <c r="F31"/>
  <c r="E31"/>
  <c r="D31"/>
  <c r="C31"/>
  <c r="A31"/>
  <c r="T30"/>
  <c r="S30"/>
  <c r="R30"/>
  <c r="Q30"/>
  <c r="P30"/>
  <c r="O30"/>
  <c r="N30"/>
  <c r="M30"/>
  <c r="L30"/>
  <c r="K30"/>
  <c r="J30"/>
  <c r="I30"/>
  <c r="H30"/>
  <c r="G30"/>
  <c r="F30"/>
  <c r="E30"/>
  <c r="D30"/>
  <c r="C30"/>
  <c r="A30"/>
  <c r="T29"/>
  <c r="S29"/>
  <c r="R29"/>
  <c r="Q29"/>
  <c r="P29"/>
  <c r="O29"/>
  <c r="N29"/>
  <c r="M29"/>
  <c r="L29"/>
  <c r="K29"/>
  <c r="J29"/>
  <c r="I29"/>
  <c r="H29"/>
  <c r="G29"/>
  <c r="F29"/>
  <c r="E29"/>
  <c r="D29"/>
  <c r="C29"/>
  <c r="A29"/>
  <c r="T28"/>
  <c r="S28"/>
  <c r="R28"/>
  <c r="Q28"/>
  <c r="P28"/>
  <c r="O28"/>
  <c r="N28"/>
  <c r="M28"/>
  <c r="L28"/>
  <c r="K28"/>
  <c r="J28"/>
  <c r="I28"/>
  <c r="H28"/>
  <c r="G28"/>
  <c r="F28"/>
  <c r="E28"/>
  <c r="D28"/>
  <c r="C28"/>
  <c r="A28"/>
  <c r="T27"/>
  <c r="S27"/>
  <c r="R27"/>
  <c r="Q27"/>
  <c r="P27"/>
  <c r="O27"/>
  <c r="N27"/>
  <c r="M27"/>
  <c r="L27"/>
  <c r="K27"/>
  <c r="J27"/>
  <c r="I27"/>
  <c r="H27"/>
  <c r="G27"/>
  <c r="F27"/>
  <c r="E27"/>
  <c r="D27"/>
  <c r="C27"/>
  <c r="A27"/>
  <c r="T26"/>
  <c r="S26"/>
  <c r="R26"/>
  <c r="Q26"/>
  <c r="P26"/>
  <c r="O26"/>
  <c r="N26"/>
  <c r="M26"/>
  <c r="L26"/>
  <c r="K26"/>
  <c r="J26"/>
  <c r="I26"/>
  <c r="H26"/>
  <c r="G26"/>
  <c r="F26"/>
  <c r="E26"/>
  <c r="D26"/>
  <c r="C26"/>
  <c r="A26"/>
  <c r="T25"/>
  <c r="S25"/>
  <c r="R25"/>
  <c r="Q25"/>
  <c r="P25"/>
  <c r="O25"/>
  <c r="N25"/>
  <c r="M25"/>
  <c r="L25"/>
  <c r="K25"/>
  <c r="J25"/>
  <c r="I25"/>
  <c r="H25"/>
  <c r="G25"/>
  <c r="F25"/>
  <c r="E25"/>
  <c r="D25"/>
  <c r="C25"/>
  <c r="A25"/>
  <c r="T24"/>
  <c r="S24"/>
  <c r="R24"/>
  <c r="Q24"/>
  <c r="P24"/>
  <c r="O24"/>
  <c r="N24"/>
  <c r="M24"/>
  <c r="L24"/>
  <c r="K24"/>
  <c r="J24"/>
  <c r="I24"/>
  <c r="H24"/>
  <c r="G24"/>
  <c r="F24"/>
  <c r="E24"/>
  <c r="D24"/>
  <c r="C24"/>
  <c r="A24"/>
  <c r="T23"/>
  <c r="T22" s="1"/>
  <c r="S23"/>
  <c r="S22" s="1"/>
  <c r="R23"/>
  <c r="R22" s="1"/>
  <c r="Q23"/>
  <c r="Q22" s="1"/>
  <c r="P23"/>
  <c r="P22" s="1"/>
  <c r="O23"/>
  <c r="O22" s="1"/>
  <c r="N23"/>
  <c r="N22" s="1"/>
  <c r="M23"/>
  <c r="M22" s="1"/>
  <c r="L23"/>
  <c r="L22" s="1"/>
  <c r="K23"/>
  <c r="K22" s="1"/>
  <c r="J23"/>
  <c r="J22" s="1"/>
  <c r="I23"/>
  <c r="I22" s="1"/>
  <c r="H23"/>
  <c r="H22" s="1"/>
  <c r="G23"/>
  <c r="G22" s="1"/>
  <c r="F23"/>
  <c r="F22" s="1"/>
  <c r="E23"/>
  <c r="E22" s="1"/>
  <c r="D23"/>
  <c r="D22" s="1"/>
  <c r="C23"/>
  <c r="C22" s="1"/>
  <c r="A23"/>
  <c r="A22"/>
  <c r="U21"/>
  <c r="T21"/>
  <c r="S21"/>
  <c r="R21"/>
  <c r="Q21"/>
  <c r="P21"/>
  <c r="O21"/>
  <c r="N21"/>
  <c r="M21"/>
  <c r="L21"/>
  <c r="K21"/>
  <c r="J21"/>
  <c r="I21"/>
  <c r="H21"/>
  <c r="G21"/>
  <c r="F21"/>
  <c r="E21"/>
  <c r="D21"/>
  <c r="C21"/>
  <c r="A21"/>
  <c r="U20"/>
  <c r="T20"/>
  <c r="S20"/>
  <c r="R20"/>
  <c r="Q20"/>
  <c r="P20"/>
  <c r="O20"/>
  <c r="N20"/>
  <c r="M20"/>
  <c r="L20"/>
  <c r="K20"/>
  <c r="J20"/>
  <c r="I20"/>
  <c r="H20"/>
  <c r="G20"/>
  <c r="F20"/>
  <c r="E20"/>
  <c r="D20"/>
  <c r="C20"/>
  <c r="A20"/>
  <c r="T19"/>
  <c r="S19"/>
  <c r="R19"/>
  <c r="Q19"/>
  <c r="P19"/>
  <c r="O19"/>
  <c r="N19"/>
  <c r="M19"/>
  <c r="L19"/>
  <c r="K19"/>
  <c r="J19"/>
  <c r="I19"/>
  <c r="H19"/>
  <c r="G19"/>
  <c r="F19"/>
  <c r="E19"/>
  <c r="D19"/>
  <c r="C19"/>
  <c r="A19"/>
  <c r="T18"/>
  <c r="S18"/>
  <c r="R18"/>
  <c r="Q18"/>
  <c r="P18"/>
  <c r="O18"/>
  <c r="N18"/>
  <c r="M18"/>
  <c r="L18"/>
  <c r="K18"/>
  <c r="J18"/>
  <c r="I18"/>
  <c r="H18"/>
  <c r="G18"/>
  <c r="F18"/>
  <c r="E18"/>
  <c r="D18"/>
  <c r="C18"/>
  <c r="A18"/>
  <c r="T17"/>
  <c r="S17"/>
  <c r="R17"/>
  <c r="Q17"/>
  <c r="P17"/>
  <c r="O17"/>
  <c r="N17"/>
  <c r="M17"/>
  <c r="L17"/>
  <c r="K17"/>
  <c r="J17"/>
  <c r="I17"/>
  <c r="H17"/>
  <c r="G17"/>
  <c r="F17"/>
  <c r="E17"/>
  <c r="D17"/>
  <c r="C17"/>
  <c r="A17"/>
  <c r="U16"/>
  <c r="T16"/>
  <c r="S16"/>
  <c r="R16"/>
  <c r="Q16"/>
  <c r="P16"/>
  <c r="O16"/>
  <c r="N16"/>
  <c r="M16"/>
  <c r="L16"/>
  <c r="K16"/>
  <c r="J16"/>
  <c r="I16"/>
  <c r="H16"/>
  <c r="G16"/>
  <c r="F16"/>
  <c r="E16"/>
  <c r="D16"/>
  <c r="C16"/>
  <c r="A16"/>
  <c r="T15"/>
  <c r="S15"/>
  <c r="R15"/>
  <c r="Q15"/>
  <c r="P15"/>
  <c r="O15"/>
  <c r="N15"/>
  <c r="M15"/>
  <c r="L15"/>
  <c r="K15"/>
  <c r="J15"/>
  <c r="I15"/>
  <c r="H15"/>
  <c r="G15"/>
  <c r="F15"/>
  <c r="E15"/>
  <c r="D15"/>
  <c r="C15"/>
  <c r="A15"/>
  <c r="T14"/>
  <c r="S14"/>
  <c r="R14"/>
  <c r="Q14"/>
  <c r="P14"/>
  <c r="O14"/>
  <c r="N14"/>
  <c r="M14"/>
  <c r="L14"/>
  <c r="K14"/>
  <c r="J14"/>
  <c r="I14"/>
  <c r="H14"/>
  <c r="G14"/>
  <c r="F14"/>
  <c r="E14"/>
  <c r="D14"/>
  <c r="C14"/>
  <c r="A14"/>
  <c r="A13"/>
  <c r="T12"/>
  <c r="T13" s="1"/>
  <c r="S12"/>
  <c r="S13" s="1"/>
  <c r="R12"/>
  <c r="R13" s="1"/>
  <c r="Q12"/>
  <c r="Q13" s="1"/>
  <c r="P12"/>
  <c r="P13" s="1"/>
  <c r="O12"/>
  <c r="O13" s="1"/>
  <c r="N12"/>
  <c r="N13" s="1"/>
  <c r="M12"/>
  <c r="M13" s="1"/>
  <c r="L12"/>
  <c r="L13" s="1"/>
  <c r="K12"/>
  <c r="K13" s="1"/>
  <c r="J12"/>
  <c r="J13" s="1"/>
  <c r="I12"/>
  <c r="I13" s="1"/>
  <c r="H12"/>
  <c r="H13" s="1"/>
  <c r="G12"/>
  <c r="G13" s="1"/>
  <c r="F12"/>
  <c r="F13" s="1"/>
  <c r="E12"/>
  <c r="E13" s="1"/>
  <c r="D12"/>
  <c r="D13" s="1"/>
  <c r="C12"/>
  <c r="C13" s="1"/>
  <c r="A12"/>
  <c r="AP11"/>
  <c r="AP10"/>
  <c r="AO10"/>
  <c r="AN10"/>
  <c r="AM10"/>
  <c r="AL10"/>
  <c r="AK10"/>
  <c r="AJ10"/>
  <c r="AI10"/>
  <c r="AH10"/>
  <c r="AG10"/>
  <c r="AF10"/>
  <c r="AE10"/>
  <c r="AD10"/>
  <c r="AC10"/>
  <c r="AB10"/>
  <c r="AA10"/>
  <c r="Z10"/>
  <c r="Y10"/>
  <c r="X10"/>
  <c r="U7"/>
  <c r="T7"/>
  <c r="S7"/>
  <c r="R7"/>
  <c r="T11" s="1"/>
  <c r="AO11" s="1"/>
  <c r="Q7"/>
  <c r="P7"/>
  <c r="R11" s="1"/>
  <c r="AM11" s="1"/>
  <c r="O7"/>
  <c r="Q11" s="1"/>
  <c r="AL11" s="1"/>
  <c r="N7"/>
  <c r="M7"/>
  <c r="O11" s="1"/>
  <c r="O11" i="19" s="1"/>
  <c r="O11" i="3" s="1"/>
  <c r="L7" i="1"/>
  <c r="N11" s="1"/>
  <c r="N11" i="19" s="1"/>
  <c r="N11" i="3" s="1"/>
  <c r="K7" i="1"/>
  <c r="M11" s="1"/>
  <c r="AH11" s="1"/>
  <c r="J7"/>
  <c r="I7"/>
  <c r="K11" s="1"/>
  <c r="AF11" s="1"/>
  <c r="H7"/>
  <c r="J11" s="1"/>
  <c r="J11" i="19" s="1"/>
  <c r="J11" i="3" s="1"/>
  <c r="G7" i="1"/>
  <c r="I11" s="1"/>
  <c r="AD11" s="1"/>
  <c r="F7"/>
  <c r="E7"/>
  <c r="G11" s="1"/>
  <c r="AB11" s="1"/>
  <c r="D7"/>
  <c r="F11" s="1"/>
  <c r="C7"/>
  <c r="E11" s="1"/>
  <c r="Z11" s="1"/>
  <c r="B7"/>
  <c r="AP6"/>
  <c r="AO6"/>
  <c r="AN6"/>
  <c r="AM6"/>
  <c r="AL6"/>
  <c r="AK6"/>
  <c r="AJ6"/>
  <c r="AI6"/>
  <c r="AH6"/>
  <c r="AG6"/>
  <c r="AF6"/>
  <c r="AE6"/>
  <c r="AD6"/>
  <c r="AC6"/>
  <c r="AB6"/>
  <c r="AA6"/>
  <c r="Z6"/>
  <c r="Y6"/>
  <c r="X6"/>
  <c r="W6"/>
  <c r="V6"/>
  <c r="U6"/>
  <c r="AA5"/>
  <c r="AB5" s="1"/>
  <c r="AC5" s="1"/>
  <c r="AD5" s="1"/>
  <c r="AE5" s="1"/>
  <c r="AF5" s="1"/>
  <c r="AG5" s="1"/>
  <c r="AH5" s="1"/>
  <c r="AI5" s="1"/>
  <c r="AJ5" s="1"/>
  <c r="AK5" s="1"/>
  <c r="AL5" s="1"/>
  <c r="AM5" s="1"/>
  <c r="AN5" s="1"/>
  <c r="AO5" s="1"/>
  <c r="AP5" s="1"/>
  <c r="Z5"/>
  <c r="Y5"/>
  <c r="D1"/>
  <c r="F95" i="20"/>
  <c r="F94"/>
  <c r="F93"/>
  <c r="F92"/>
  <c r="F91"/>
  <c r="F90"/>
  <c r="F88"/>
  <c r="F87"/>
  <c r="F86"/>
  <c r="F85"/>
  <c r="F84"/>
  <c r="F83"/>
  <c r="F82"/>
  <c r="F81"/>
  <c r="F78"/>
  <c r="F77"/>
  <c r="F76"/>
  <c r="F72"/>
  <c r="F71"/>
  <c r="F70"/>
  <c r="F69"/>
  <c r="F68"/>
  <c r="F67"/>
  <c r="F66"/>
  <c r="F65"/>
  <c r="F64"/>
  <c r="F63"/>
  <c r="F62"/>
  <c r="F61"/>
  <c r="F60"/>
  <c r="F59"/>
  <c r="F58"/>
  <c r="F57"/>
  <c r="F56"/>
  <c r="F54"/>
  <c r="F53"/>
  <c r="F52"/>
  <c r="F51"/>
  <c r="F50"/>
  <c r="F49"/>
  <c r="F48"/>
  <c r="F47"/>
  <c r="F46"/>
  <c r="F45"/>
  <c r="F44"/>
  <c r="F43"/>
  <c r="F42"/>
  <c r="F41"/>
  <c r="F40"/>
  <c r="F39"/>
  <c r="F38"/>
  <c r="F37"/>
  <c r="F36"/>
  <c r="F35"/>
  <c r="F34"/>
  <c r="F33"/>
  <c r="F31"/>
  <c r="F30"/>
  <c r="F26"/>
  <c r="F25"/>
  <c r="F24"/>
  <c r="F23"/>
  <c r="F22"/>
  <c r="F21"/>
  <c r="F20"/>
  <c r="F19"/>
  <c r="F18"/>
  <c r="F17"/>
  <c r="F16"/>
  <c r="F15"/>
  <c r="F14"/>
  <c r="F13"/>
  <c r="F12"/>
  <c r="A7"/>
  <c r="D96" i="56"/>
  <c r="B96" i="63" s="1"/>
  <c r="D95" i="56"/>
  <c r="B95" i="3" s="1"/>
  <c r="D94" i="56"/>
  <c r="B94" i="63" s="1"/>
  <c r="D93" i="56"/>
  <c r="B93" i="20" s="1"/>
  <c r="D92" i="56"/>
  <c r="B92" i="63" s="1"/>
  <c r="D91" i="56"/>
  <c r="B98" i="55" s="1"/>
  <c r="D90" i="56"/>
  <c r="D89"/>
  <c r="B89" i="20"/>
  <c r="D88" i="56"/>
  <c r="D87"/>
  <c r="D86"/>
  <c r="D85"/>
  <c r="B92" i="55" s="1"/>
  <c r="D84" i="56"/>
  <c r="D83"/>
  <c r="D82"/>
  <c r="B82" i="4" s="1"/>
  <c r="D81" i="56"/>
  <c r="B81" i="20" s="1"/>
  <c r="D80" i="56"/>
  <c r="D79"/>
  <c r="B79" i="3" s="1"/>
  <c r="D78" i="56"/>
  <c r="B78" i="63" s="1"/>
  <c r="D77" i="56"/>
  <c r="B77" i="20" s="1"/>
  <c r="D76" i="56"/>
  <c r="B76" i="3" s="1"/>
  <c r="D72" i="56"/>
  <c r="D71"/>
  <c r="D70"/>
  <c r="B70" i="20"/>
  <c r="D69" i="56"/>
  <c r="B69" i="63" s="1"/>
  <c r="D68" i="56"/>
  <c r="D67"/>
  <c r="D66"/>
  <c r="B66" i="20" s="1"/>
  <c r="D65" i="56"/>
  <c r="B72" i="55" s="1"/>
  <c r="D64" i="56"/>
  <c r="B64" i="20" s="1"/>
  <c r="D63" i="56"/>
  <c r="B63" i="4" s="1"/>
  <c r="D62" i="56"/>
  <c r="B62" i="20" s="1"/>
  <c r="D61" i="56"/>
  <c r="B61" i="20"/>
  <c r="D60" i="56"/>
  <c r="B60" i="20" s="1"/>
  <c r="D59" i="56"/>
  <c r="D58"/>
  <c r="B65" i="55" s="1"/>
  <c r="D57" i="56"/>
  <c r="D56"/>
  <c r="B56" i="20"/>
  <c r="D55" i="56"/>
  <c r="B55" i="63" s="1"/>
  <c r="D54" i="56"/>
  <c r="B54" i="63"/>
  <c r="D53" i="56"/>
  <c r="B94" i="37" s="1"/>
  <c r="D52" i="56"/>
  <c r="D51"/>
  <c r="D50"/>
  <c r="B50" i="63" s="1"/>
  <c r="D49" i="56"/>
  <c r="D48"/>
  <c r="D47"/>
  <c r="B54" i="55" s="1"/>
  <c r="D46" i="56"/>
  <c r="B46" i="20" s="1"/>
  <c r="D44" i="56"/>
  <c r="D43"/>
  <c r="B72" i="37" s="1"/>
  <c r="D42" i="56"/>
  <c r="B42" i="20" s="1"/>
  <c r="D41" i="56"/>
  <c r="D40"/>
  <c r="B47" i="55" s="1"/>
  <c r="D39" i="56"/>
  <c r="D38"/>
  <c r="B38" i="20"/>
  <c r="D37" i="56"/>
  <c r="B42" i="37" s="1"/>
  <c r="D36" i="56"/>
  <c r="B36" i="20" s="1"/>
  <c r="D35" i="56"/>
  <c r="B42" i="55" s="1"/>
  <c r="D34" i="56"/>
  <c r="D33"/>
  <c r="B33" i="63"/>
  <c r="D32" i="56"/>
  <c r="B32" i="4" s="1"/>
  <c r="D31" i="56"/>
  <c r="B31" i="20" s="1"/>
  <c r="D30" i="56"/>
  <c r="B37" i="55" s="1"/>
  <c r="D29" i="56"/>
  <c r="B29" i="63" s="1"/>
  <c r="D28" i="56"/>
  <c r="B28" i="3" s="1"/>
  <c r="D27" i="56"/>
  <c r="B27" i="63" s="1"/>
  <c r="D26" i="56"/>
  <c r="B26" i="20" s="1"/>
  <c r="D25" i="56"/>
  <c r="B25" i="63" s="1"/>
  <c r="D24" i="56"/>
  <c r="B24" i="20" s="1"/>
  <c r="D23" i="56"/>
  <c r="B30" i="55" s="1"/>
  <c r="D22" i="56"/>
  <c r="B22" i="20" s="1"/>
  <c r="D21" i="56"/>
  <c r="B21" i="20" s="1"/>
  <c r="D20" i="56"/>
  <c r="B21" i="37" s="1"/>
  <c r="D19" i="56"/>
  <c r="D18"/>
  <c r="D17"/>
  <c r="B24" i="55" s="1"/>
  <c r="D16" i="56"/>
  <c r="B16" i="1" s="1"/>
  <c r="D15" i="56"/>
  <c r="B22" i="55" s="1"/>
  <c r="D14" i="56"/>
  <c r="B14" i="20" s="1"/>
  <c r="D13" i="56"/>
  <c r="D12"/>
  <c r="B12" i="19" s="1"/>
  <c r="A1" i="24"/>
  <c r="T42" i="13"/>
  <c r="T43"/>
  <c r="F42"/>
  <c r="F47"/>
  <c r="F28"/>
  <c r="E42"/>
  <c r="E47"/>
  <c r="E28"/>
  <c r="C42"/>
  <c r="C47"/>
  <c r="B75" i="55"/>
  <c r="C43" i="13"/>
  <c r="E43"/>
  <c r="F43"/>
  <c r="G42"/>
  <c r="G47"/>
  <c r="G43"/>
  <c r="H42"/>
  <c r="H47"/>
  <c r="H43"/>
  <c r="I42"/>
  <c r="I43"/>
  <c r="J42"/>
  <c r="J47"/>
  <c r="J43"/>
  <c r="K42"/>
  <c r="K47"/>
  <c r="K43"/>
  <c r="L42"/>
  <c r="L47"/>
  <c r="L43"/>
  <c r="M42"/>
  <c r="M43"/>
  <c r="N42"/>
  <c r="N47"/>
  <c r="N43"/>
  <c r="O42"/>
  <c r="O43"/>
  <c r="P42"/>
  <c r="P47"/>
  <c r="P43"/>
  <c r="Q42"/>
  <c r="Q43"/>
  <c r="R42"/>
  <c r="R47"/>
  <c r="R43"/>
  <c r="S42"/>
  <c r="S47"/>
  <c r="S43"/>
  <c r="B19" i="63"/>
  <c r="B77" i="55"/>
  <c r="B14" i="37"/>
  <c r="B23" i="55"/>
  <c r="B16" i="4"/>
  <c r="B16" i="19"/>
  <c r="B20" i="4"/>
  <c r="B24" i="63"/>
  <c r="B27" i="37"/>
  <c r="B31" i="55"/>
  <c r="B24" i="3"/>
  <c r="B24" i="19"/>
  <c r="B24" i="1"/>
  <c r="B32" i="63"/>
  <c r="B36"/>
  <c r="B41" i="37"/>
  <c r="B43" i="55"/>
  <c r="B36" i="4"/>
  <c r="B36" i="19"/>
  <c r="B36" i="3"/>
  <c r="B36" i="1"/>
  <c r="B40" i="63"/>
  <c r="B40" i="19"/>
  <c r="B44" i="63"/>
  <c r="B73" i="37"/>
  <c r="B51" i="55"/>
  <c r="B44" i="4"/>
  <c r="B44" i="3"/>
  <c r="B44" i="19"/>
  <c r="B44" i="1"/>
  <c r="B48" i="63"/>
  <c r="B78" i="37"/>
  <c r="B55" i="55"/>
  <c r="B48" i="4"/>
  <c r="B48" i="3"/>
  <c r="B48" i="19"/>
  <c r="B48" i="1"/>
  <c r="B52" i="63"/>
  <c r="B88" i="37"/>
  <c r="B59" i="55"/>
  <c r="B52" i="4"/>
  <c r="B52" i="3"/>
  <c r="B52" i="19"/>
  <c r="B52" i="1"/>
  <c r="B56" i="63"/>
  <c r="B63" i="55"/>
  <c r="B56" i="4"/>
  <c r="B56" i="19"/>
  <c r="B56" i="3"/>
  <c r="B56" i="1"/>
  <c r="B60" i="4"/>
  <c r="B60" i="19"/>
  <c r="B64" i="63"/>
  <c r="B71" i="55"/>
  <c r="B64" i="4"/>
  <c r="B64" i="19"/>
  <c r="B64" i="1"/>
  <c r="B64" i="3"/>
  <c r="B68" i="63"/>
  <c r="B68" i="4"/>
  <c r="B68" i="3"/>
  <c r="B68" i="19"/>
  <c r="B68" i="1"/>
  <c r="B86" i="55"/>
  <c r="B79" i="19"/>
  <c r="B83" i="63"/>
  <c r="B90" i="55"/>
  <c r="B83" i="4"/>
  <c r="B83" i="3"/>
  <c r="B83" i="1"/>
  <c r="B83" i="19"/>
  <c r="B87" i="63"/>
  <c r="B94" i="55"/>
  <c r="B87" i="4"/>
  <c r="B87" i="3"/>
  <c r="B87" i="19"/>
  <c r="B87" i="1"/>
  <c r="B91" i="63"/>
  <c r="B91" i="3"/>
  <c r="B91" i="1"/>
  <c r="B102" i="55"/>
  <c r="B95" i="19"/>
  <c r="B14" i="1"/>
  <c r="B33" i="20"/>
  <c r="B44"/>
  <c r="B48"/>
  <c r="B52"/>
  <c r="B68"/>
  <c r="B83"/>
  <c r="B87"/>
  <c r="B17" i="63"/>
  <c r="B17" i="19"/>
  <c r="B32" i="55"/>
  <c r="B25" i="4"/>
  <c r="B25" i="1"/>
  <c r="B49" i="63"/>
  <c r="B56" i="55"/>
  <c r="B49" i="4"/>
  <c r="B49" i="3"/>
  <c r="B49" i="19"/>
  <c r="B49" i="1"/>
  <c r="B57" i="63"/>
  <c r="B64" i="55"/>
  <c r="B57" i="4"/>
  <c r="B57" i="19"/>
  <c r="B57" i="1"/>
  <c r="B57" i="3"/>
  <c r="B65" i="63"/>
  <c r="B65" i="1"/>
  <c r="B65" i="3"/>
  <c r="B83" i="55"/>
  <c r="B76" i="1"/>
  <c r="B84" i="63"/>
  <c r="B91" i="55"/>
  <c r="B84" i="4"/>
  <c r="B84" i="3"/>
  <c r="B84" i="19"/>
  <c r="B84" i="1"/>
  <c r="B31" i="63"/>
  <c r="B35" i="37"/>
  <c r="B38" i="55"/>
  <c r="B31" i="4"/>
  <c r="B31" i="19"/>
  <c r="B31" i="3"/>
  <c r="B31" i="1"/>
  <c r="B39" i="63"/>
  <c r="B47" i="37"/>
  <c r="B46" i="55"/>
  <c r="B39" i="4"/>
  <c r="B39" i="3"/>
  <c r="B39" i="19"/>
  <c r="B39" i="1"/>
  <c r="B43" i="4"/>
  <c r="B47" i="63"/>
  <c r="B47" i="19"/>
  <c r="B51" i="63"/>
  <c r="B85" i="37"/>
  <c r="B58" i="55"/>
  <c r="B51" i="4"/>
  <c r="B51" i="19"/>
  <c r="B51" i="3"/>
  <c r="B51" i="1"/>
  <c r="B59" i="63"/>
  <c r="B66" i="55"/>
  <c r="B59" i="4"/>
  <c r="B59" i="3"/>
  <c r="B59" i="19"/>
  <c r="B59" i="1"/>
  <c r="B63" i="63"/>
  <c r="B63" i="3"/>
  <c r="B67" i="63"/>
  <c r="B74" i="55"/>
  <c r="B67" i="4"/>
  <c r="B67" i="19"/>
  <c r="B67" i="3"/>
  <c r="B67" i="1"/>
  <c r="B71" i="63"/>
  <c r="B78" i="55"/>
  <c r="B71" i="4"/>
  <c r="B71" i="3"/>
  <c r="B71" i="1"/>
  <c r="B71" i="19"/>
  <c r="B78" i="4"/>
  <c r="B78" i="3"/>
  <c r="B82" i="63"/>
  <c r="B82" i="1"/>
  <c r="B86" i="63"/>
  <c r="B93" i="55"/>
  <c r="B86" i="4"/>
  <c r="B86" i="3"/>
  <c r="B86" i="1"/>
  <c r="B86" i="19"/>
  <c r="B90" i="63"/>
  <c r="B97" i="55"/>
  <c r="B90" i="4"/>
  <c r="B90" i="3"/>
  <c r="B90" i="1"/>
  <c r="B90" i="19"/>
  <c r="B94" i="4"/>
  <c r="B94" i="3"/>
  <c r="B16" i="20"/>
  <c r="B25"/>
  <c r="B27"/>
  <c r="B39"/>
  <c r="B57"/>
  <c r="B59"/>
  <c r="B13"/>
  <c r="B13" i="63"/>
  <c r="B21"/>
  <c r="B23" i="37"/>
  <c r="B28" i="55"/>
  <c r="B21" i="4"/>
  <c r="B21" i="19"/>
  <c r="B21" i="3"/>
  <c r="B21" i="1"/>
  <c r="B44" i="55"/>
  <c r="B45" i="63"/>
  <c r="B75" i="37"/>
  <c r="B52" i="55"/>
  <c r="B45" i="4"/>
  <c r="B45" i="3"/>
  <c r="B45" i="19"/>
  <c r="B45" i="1"/>
  <c r="B53" i="63"/>
  <c r="B53" i="4"/>
  <c r="B53" i="3"/>
  <c r="B61" i="63"/>
  <c r="B68" i="55"/>
  <c r="B61" i="4"/>
  <c r="B61" i="3"/>
  <c r="B61" i="19"/>
  <c r="B61" i="1"/>
  <c r="B69" i="4"/>
  <c r="B69" i="3"/>
  <c r="B80" i="63"/>
  <c r="B87" i="55"/>
  <c r="B80" i="4"/>
  <c r="B80" i="3"/>
  <c r="B80" i="19"/>
  <c r="B80" i="1"/>
  <c r="B88" i="4"/>
  <c r="B92"/>
  <c r="B35" i="63"/>
  <c r="B35" i="3"/>
  <c r="B12" i="37"/>
  <c r="B21" i="55"/>
  <c r="B14" i="19"/>
  <c r="B22" i="63"/>
  <c r="B22" i="4"/>
  <c r="B22" i="19"/>
  <c r="B30" i="63"/>
  <c r="B30" i="19"/>
  <c r="B34" i="20"/>
  <c r="B34" i="63"/>
  <c r="B38"/>
  <c r="B44" i="37"/>
  <c r="B45" i="55"/>
  <c r="B38" i="4"/>
  <c r="B38" i="3"/>
  <c r="B38" i="19"/>
  <c r="B38" i="1"/>
  <c r="B42" i="63"/>
  <c r="B61" i="37"/>
  <c r="B42" i="19"/>
  <c r="B42" i="3"/>
  <c r="B76" i="37"/>
  <c r="B53" i="55"/>
  <c r="B46" i="3"/>
  <c r="B46" i="1"/>
  <c r="B57" i="55"/>
  <c r="B50" i="1"/>
  <c r="B58" i="3"/>
  <c r="B69" i="55"/>
  <c r="B62" i="4"/>
  <c r="B62" i="1"/>
  <c r="B66" i="3"/>
  <c r="B70" i="63"/>
  <c r="B70" i="4"/>
  <c r="B70" i="3"/>
  <c r="B70" i="1"/>
  <c r="B70" i="19"/>
  <c r="B69"/>
  <c r="B77" i="63"/>
  <c r="B84" i="55"/>
  <c r="B77" i="4"/>
  <c r="B77" i="3"/>
  <c r="B77" i="1"/>
  <c r="B77" i="19"/>
  <c r="B88" i="55"/>
  <c r="B81" i="4"/>
  <c r="B81" i="19"/>
  <c r="B85" i="3"/>
  <c r="B89" i="63"/>
  <c r="B96" i="55"/>
  <c r="B89" i="4"/>
  <c r="B89" i="3"/>
  <c r="B89" i="19"/>
  <c r="B89" i="1"/>
  <c r="B93" i="63"/>
  <c r="B100" i="55"/>
  <c r="B93" i="4"/>
  <c r="B93" i="3"/>
  <c r="B93" i="19"/>
  <c r="B93" i="1"/>
  <c r="B47" i="20"/>
  <c r="B49"/>
  <c r="B51"/>
  <c r="B67"/>
  <c r="B69"/>
  <c r="B71"/>
  <c r="B78"/>
  <c r="B80"/>
  <c r="B84"/>
  <c r="B86"/>
  <c r="B90"/>
  <c r="B41" i="63"/>
  <c r="B49" i="37"/>
  <c r="B48" i="55"/>
  <c r="B41" i="4"/>
  <c r="B41" i="3"/>
  <c r="B41" i="19"/>
  <c r="B41" i="1"/>
  <c r="B41" i="20"/>
  <c r="B62" i="55"/>
  <c r="B55" i="4"/>
  <c r="B55" i="1"/>
  <c r="B55" i="20"/>
  <c r="B11" i="37"/>
  <c r="B20" i="55"/>
  <c r="B13" i="4"/>
  <c r="B13" i="19"/>
  <c r="B13" i="3"/>
  <c r="B13" i="1"/>
  <c r="B10" i="37"/>
  <c r="B12" i="1"/>
  <c r="B103" i="55"/>
  <c r="B96" i="4"/>
  <c r="B96" i="3"/>
  <c r="B96" i="1"/>
  <c r="B96" i="19"/>
  <c r="B96" i="20"/>
  <c r="B95" i="37"/>
  <c r="B61" i="55"/>
  <c r="B54" i="4"/>
  <c r="B54" i="19"/>
  <c r="B54" i="3"/>
  <c r="B54" i="1"/>
  <c r="B54" i="20"/>
  <c r="B19" i="1"/>
  <c r="B26" i="55"/>
  <c r="B19" i="19"/>
  <c r="B19" i="20"/>
  <c r="B18" i="37"/>
  <c r="B25" i="55"/>
  <c r="B18" i="19"/>
  <c r="B18" i="3"/>
  <c r="B18" i="20"/>
  <c r="B39" i="37"/>
  <c r="B41" i="55"/>
  <c r="B34" i="4"/>
  <c r="B34" i="3"/>
  <c r="B34" i="19"/>
  <c r="B34" i="1"/>
  <c r="B38" i="37"/>
  <c r="B40" i="55"/>
  <c r="B33" i="4"/>
  <c r="B33" i="19"/>
  <c r="B33" i="3"/>
  <c r="B33" i="1"/>
  <c r="B36" i="37"/>
  <c r="B39" i="55"/>
  <c r="B32" i="19"/>
  <c r="B32" i="1"/>
  <c r="F44" i="13"/>
  <c r="F32"/>
  <c r="O44"/>
  <c r="O32"/>
  <c r="O36"/>
  <c r="I44"/>
  <c r="I32"/>
  <c r="I37"/>
  <c r="T44"/>
  <c r="T32"/>
  <c r="P44"/>
  <c r="P32"/>
  <c r="P35"/>
  <c r="J44"/>
  <c r="J32"/>
  <c r="J37"/>
  <c r="R44"/>
  <c r="R32"/>
  <c r="R36"/>
  <c r="R39"/>
  <c r="R37"/>
  <c r="Q44"/>
  <c r="Q32"/>
  <c r="N44"/>
  <c r="N32"/>
  <c r="N37"/>
  <c r="H44"/>
  <c r="H32"/>
  <c r="H37"/>
  <c r="H39"/>
  <c r="H36"/>
  <c r="E44"/>
  <c r="E32"/>
  <c r="E36"/>
  <c r="L44"/>
  <c r="L32"/>
  <c r="G44"/>
  <c r="G32"/>
  <c r="G35"/>
  <c r="G39"/>
  <c r="E50"/>
  <c r="M44"/>
  <c r="M32"/>
  <c r="M36"/>
  <c r="C44"/>
  <c r="C32"/>
  <c r="O47"/>
  <c r="S44"/>
  <c r="S32"/>
  <c r="S36"/>
  <c r="K44"/>
  <c r="K32"/>
  <c r="T47"/>
  <c r="E51"/>
  <c r="E49"/>
  <c r="Q47"/>
  <c r="M47"/>
  <c r="I47"/>
  <c r="B33" i="37"/>
  <c r="B36" i="55"/>
  <c r="B29" i="4"/>
  <c r="B29" i="3"/>
  <c r="B29" i="19"/>
  <c r="B29" i="1"/>
  <c r="B29" i="20"/>
  <c r="B35" i="55"/>
  <c r="B28" i="1"/>
  <c r="B31" i="37"/>
  <c r="B34" i="55"/>
  <c r="B27" i="4"/>
  <c r="B27" i="3"/>
  <c r="B27" i="19"/>
  <c r="B27" i="1"/>
  <c r="I35" i="13"/>
  <c r="O37"/>
  <c r="D7"/>
  <c r="D43"/>
  <c r="D44"/>
  <c r="D32"/>
  <c r="A43"/>
  <c r="D42"/>
  <c r="I36"/>
  <c r="O35"/>
  <c r="O39"/>
  <c r="P36"/>
  <c r="J36"/>
  <c r="G37"/>
  <c r="H35"/>
  <c r="J35"/>
  <c r="N36"/>
  <c r="E37"/>
  <c r="E35"/>
  <c r="R35"/>
  <c r="E52"/>
  <c r="S35"/>
  <c r="S39"/>
  <c r="G36"/>
  <c r="S37"/>
  <c r="D8"/>
  <c r="I39"/>
  <c r="I19"/>
  <c r="I18"/>
  <c r="D9"/>
  <c r="A42"/>
  <c r="D47"/>
  <c r="D28"/>
  <c r="E39"/>
  <c r="E19"/>
  <c r="E18"/>
  <c r="J39"/>
  <c r="J19"/>
  <c r="A46"/>
  <c r="A30"/>
  <c r="A29"/>
  <c r="A41"/>
  <c r="A27"/>
  <c r="A33"/>
  <c r="A31"/>
  <c r="E8"/>
  <c r="C6"/>
  <c r="A32"/>
  <c r="A44"/>
  <c r="H10" i="37"/>
  <c r="D12" i="13"/>
  <c r="D10"/>
  <c r="D11"/>
  <c r="J38"/>
  <c r="D15"/>
  <c r="C8"/>
  <c r="C16"/>
  <c r="C14"/>
  <c r="D13"/>
  <c r="I66" i="20"/>
  <c r="C28" i="13"/>
  <c r="A47"/>
  <c r="F37"/>
  <c r="F36"/>
  <c r="F35"/>
  <c r="F51"/>
  <c r="F49"/>
  <c r="F52"/>
  <c r="F53"/>
  <c r="F50"/>
  <c r="Q37"/>
  <c r="Q36"/>
  <c r="Q35"/>
  <c r="Q39"/>
  <c r="S38"/>
  <c r="S19"/>
  <c r="R38"/>
  <c r="R19"/>
  <c r="R18"/>
  <c r="H19"/>
  <c r="H18"/>
  <c r="H38"/>
  <c r="D51"/>
  <c r="D49"/>
  <c r="D52"/>
  <c r="D37"/>
  <c r="D50"/>
  <c r="D35"/>
  <c r="D36"/>
  <c r="K35"/>
  <c r="K36"/>
  <c r="K37"/>
  <c r="L36"/>
  <c r="L37"/>
  <c r="L35"/>
  <c r="J18"/>
  <c r="O19"/>
  <c r="O38"/>
  <c r="G38"/>
  <c r="G19"/>
  <c r="G18"/>
  <c r="T37"/>
  <c r="T35"/>
  <c r="T36"/>
  <c r="E38"/>
  <c r="M37"/>
  <c r="M35"/>
  <c r="M39"/>
  <c r="P37"/>
  <c r="P39"/>
  <c r="N35"/>
  <c r="N39"/>
  <c r="G66" i="7"/>
  <c r="Z144" s="1"/>
  <c r="AA144" s="1"/>
  <c r="S66"/>
  <c r="J66"/>
  <c r="Z147" s="1"/>
  <c r="AA147" s="1"/>
  <c r="R66"/>
  <c r="Z155" s="1"/>
  <c r="AA155" s="1"/>
  <c r="Q66"/>
  <c r="Z154" s="1"/>
  <c r="AA154" s="1"/>
  <c r="AC154" s="1"/>
  <c r="T66"/>
  <c r="C66"/>
  <c r="Z140" s="1"/>
  <c r="AA140" s="1"/>
  <c r="T32"/>
  <c r="L32"/>
  <c r="H32"/>
  <c r="M30"/>
  <c r="E30"/>
  <c r="K66"/>
  <c r="O66"/>
  <c r="Z152" s="1"/>
  <c r="AA152" s="1"/>
  <c r="AC152" s="1"/>
  <c r="P66"/>
  <c r="L66"/>
  <c r="Z149" s="1"/>
  <c r="AA149" s="1"/>
  <c r="AC149" s="1"/>
  <c r="E66"/>
  <c r="D66"/>
  <c r="C32"/>
  <c r="M32"/>
  <c r="N30"/>
  <c r="F30"/>
  <c r="I38" i="13"/>
  <c r="R32" i="7"/>
  <c r="N32"/>
  <c r="F32"/>
  <c r="O30"/>
  <c r="G30"/>
  <c r="M66"/>
  <c r="M63" s="1"/>
  <c r="M65" s="1"/>
  <c r="F66"/>
  <c r="Z143" s="1"/>
  <c r="AA143" s="1"/>
  <c r="AC143" s="1"/>
  <c r="O32"/>
  <c r="G32"/>
  <c r="T30"/>
  <c r="L30"/>
  <c r="D30"/>
  <c r="P38" i="13"/>
  <c r="P19"/>
  <c r="Q19"/>
  <c r="Q38"/>
  <c r="F63" i="7"/>
  <c r="I65" s="1"/>
  <c r="Z153"/>
  <c r="AA153" s="1"/>
  <c r="AC153" s="1"/>
  <c r="P65"/>
  <c r="P63"/>
  <c r="Z157"/>
  <c r="AA157" s="1"/>
  <c r="AC157" s="1"/>
  <c r="T63"/>
  <c r="Z156"/>
  <c r="AA156" s="1"/>
  <c r="AC156" s="1"/>
  <c r="S63"/>
  <c r="S65" s="1"/>
  <c r="N38" i="13"/>
  <c r="N19"/>
  <c r="N18"/>
  <c r="O20"/>
  <c r="O18"/>
  <c r="K39"/>
  <c r="Z148" i="7"/>
  <c r="AA148" s="1"/>
  <c r="AC148" s="1"/>
  <c r="S20" i="13"/>
  <c r="S18"/>
  <c r="C51"/>
  <c r="A51"/>
  <c r="C50"/>
  <c r="A50"/>
  <c r="C35"/>
  <c r="C36"/>
  <c r="A36"/>
  <c r="C37"/>
  <c r="A37"/>
  <c r="C49"/>
  <c r="A28"/>
  <c r="T39"/>
  <c r="L39"/>
  <c r="F39"/>
  <c r="Z141" i="7"/>
  <c r="AA141" s="1"/>
  <c r="AC141" s="1"/>
  <c r="M19" i="13"/>
  <c r="M38"/>
  <c r="D39"/>
  <c r="D38"/>
  <c r="D19"/>
  <c r="D18"/>
  <c r="C39"/>
  <c r="A35"/>
  <c r="T38"/>
  <c r="T19"/>
  <c r="P20"/>
  <c r="P18"/>
  <c r="M18"/>
  <c r="M20"/>
  <c r="L38"/>
  <c r="L19"/>
  <c r="H65" i="7"/>
  <c r="Q20" i="13"/>
  <c r="Q18"/>
  <c r="F38"/>
  <c r="F19"/>
  <c r="A49"/>
  <c r="C52"/>
  <c r="C53"/>
  <c r="K19"/>
  <c r="K38"/>
  <c r="F20"/>
  <c r="F18"/>
  <c r="T18"/>
  <c r="T20"/>
  <c r="K18"/>
  <c r="J20"/>
  <c r="L20"/>
  <c r="L18"/>
  <c r="C38"/>
  <c r="A38"/>
  <c r="C19"/>
  <c r="C20"/>
  <c r="C18"/>
  <c r="A18"/>
  <c r="I73" i="1"/>
  <c r="Q73"/>
  <c r="S73"/>
  <c r="L73"/>
  <c r="G73"/>
  <c r="J73"/>
  <c r="O73"/>
  <c r="C73"/>
  <c r="K73"/>
  <c r="E73"/>
  <c r="M73"/>
  <c r="D73"/>
  <c r="H73"/>
  <c r="T73"/>
  <c r="P73"/>
  <c r="F73"/>
  <c r="R73"/>
  <c r="N73"/>
  <c r="U17" i="4"/>
  <c r="B28" i="20" l="1"/>
  <c r="B28" i="4"/>
  <c r="B85" i="1"/>
  <c r="B58" i="63"/>
  <c r="B50" i="4"/>
  <c r="B30" i="3"/>
  <c r="B34" i="37"/>
  <c r="B35" i="19"/>
  <c r="B92" i="3"/>
  <c r="B82" i="19"/>
  <c r="B63"/>
  <c r="B77" i="37"/>
  <c r="B43" i="63"/>
  <c r="B76" i="4"/>
  <c r="B17" i="37"/>
  <c r="B40" i="3"/>
  <c r="B48" i="37"/>
  <c r="B20" i="63"/>
  <c r="B12"/>
  <c r="B28"/>
  <c r="B40" i="20"/>
  <c r="B85"/>
  <c r="B28" i="19"/>
  <c r="B32" i="37"/>
  <c r="B32" i="3"/>
  <c r="B12"/>
  <c r="B55" i="19"/>
  <c r="B94" i="20"/>
  <c r="B76"/>
  <c r="B53"/>
  <c r="B43"/>
  <c r="B85" i="4"/>
  <c r="B81" i="1"/>
  <c r="B81" i="63"/>
  <c r="B66" i="4"/>
  <c r="B62" i="19"/>
  <c r="B62" i="63"/>
  <c r="B58" i="4"/>
  <c r="B50" i="3"/>
  <c r="B82" i="37"/>
  <c r="B46" i="19"/>
  <c r="B46" i="63"/>
  <c r="B42" i="4"/>
  <c r="B30"/>
  <c r="B22" i="1"/>
  <c r="B29" i="55"/>
  <c r="B14" i="3"/>
  <c r="B14" i="63"/>
  <c r="B35" i="4"/>
  <c r="B92" i="1"/>
  <c r="B99" i="55"/>
  <c r="B76"/>
  <c r="B53" i="1"/>
  <c r="B60" i="55"/>
  <c r="B65" i="20"/>
  <c r="B94" i="19"/>
  <c r="B101" i="55"/>
  <c r="B82" i="3"/>
  <c r="B78" i="19"/>
  <c r="B85" i="55"/>
  <c r="B63" i="1"/>
  <c r="B47" i="4"/>
  <c r="B43" i="1"/>
  <c r="B50" i="55"/>
  <c r="B76" i="19"/>
  <c r="B76" i="63"/>
  <c r="B65" i="4"/>
  <c r="B25" i="19"/>
  <c r="B29" i="37"/>
  <c r="E10" s="1"/>
  <c r="B17" i="4"/>
  <c r="B95" i="20"/>
  <c r="B79"/>
  <c r="B95" i="1"/>
  <c r="B95" i="63"/>
  <c r="B91" i="4"/>
  <c r="B79" i="1"/>
  <c r="B79" i="63"/>
  <c r="B60" i="1"/>
  <c r="B67" i="55"/>
  <c r="B40" i="4"/>
  <c r="B32" i="20"/>
  <c r="B24" i="4"/>
  <c r="B20" i="1"/>
  <c r="B27" i="55"/>
  <c r="B16" i="3"/>
  <c r="B16" i="63"/>
  <c r="F96" i="20"/>
  <c r="B12"/>
  <c r="B19" i="55"/>
  <c r="B85" i="63"/>
  <c r="B66" i="1"/>
  <c r="B66" i="63"/>
  <c r="B58" i="19"/>
  <c r="B40" i="37"/>
  <c r="B89" i="55"/>
  <c r="B70"/>
  <c r="B47" i="3"/>
  <c r="B43" i="19"/>
  <c r="B17" i="3"/>
  <c r="B95" i="4"/>
  <c r="B79"/>
  <c r="B20" i="3"/>
  <c r="B17" i="20"/>
  <c r="B20"/>
  <c r="B30"/>
  <c r="B35"/>
  <c r="B50"/>
  <c r="B58"/>
  <c r="B17" i="1"/>
  <c r="B12" i="4"/>
  <c r="B55" i="3"/>
  <c r="B92" i="20"/>
  <c r="B82"/>
  <c r="B85" i="19"/>
  <c r="B81" i="3"/>
  <c r="B66" i="19"/>
  <c r="B73" i="55"/>
  <c r="B62" i="3"/>
  <c r="B58" i="1"/>
  <c r="B50" i="19"/>
  <c r="B46" i="4"/>
  <c r="B42" i="1"/>
  <c r="B49" i="55"/>
  <c r="B30" i="1"/>
  <c r="B22" i="3"/>
  <c r="B24" i="37"/>
  <c r="B14" i="4"/>
  <c r="B35" i="1"/>
  <c r="B92" i="19"/>
  <c r="B69" i="1"/>
  <c r="B53" i="19"/>
  <c r="B63" i="20"/>
  <c r="B94" i="1"/>
  <c r="B78"/>
  <c r="B47"/>
  <c r="B43" i="3"/>
  <c r="B65" i="19"/>
  <c r="B25" i="3"/>
  <c r="B91" i="20"/>
  <c r="B91" i="19"/>
  <c r="B60" i="3"/>
  <c r="B60" i="63"/>
  <c r="B40" i="1"/>
  <c r="B20" i="19"/>
  <c r="B26" i="4"/>
  <c r="B26" i="3"/>
  <c r="B26" i="63"/>
  <c r="B26" i="19"/>
  <c r="B30" i="37"/>
  <c r="B26" i="1"/>
  <c r="B33" i="55"/>
  <c r="B23" i="3"/>
  <c r="B26" i="37"/>
  <c r="B23" i="4"/>
  <c r="B23" i="19"/>
  <c r="B23" i="63"/>
  <c r="B23" i="20"/>
  <c r="B23" i="1"/>
  <c r="AC140" i="7"/>
  <c r="AC147"/>
  <c r="AC146"/>
  <c r="B37" i="4"/>
  <c r="B37" i="1"/>
  <c r="B37" i="19"/>
  <c r="B37" i="63"/>
  <c r="B37" i="20"/>
  <c r="B37" i="3"/>
  <c r="B73" i="20"/>
  <c r="B80" i="55"/>
  <c r="B72" i="3"/>
  <c r="B73" i="4"/>
  <c r="B73" i="1"/>
  <c r="B73" i="19"/>
  <c r="B75" i="3"/>
  <c r="B75" i="63"/>
  <c r="B72" i="1"/>
  <c r="B19" i="4"/>
  <c r="B19" i="3"/>
  <c r="B20" i="37"/>
  <c r="B18" i="1"/>
  <c r="B18" i="4"/>
  <c r="B18" i="63"/>
  <c r="J63" i="7"/>
  <c r="AC155"/>
  <c r="O63"/>
  <c r="O65" s="1"/>
  <c r="AC144"/>
  <c r="AC151"/>
  <c r="Z150"/>
  <c r="AA150" s="1"/>
  <c r="AC150" s="1"/>
  <c r="C63"/>
  <c r="C65" s="1"/>
  <c r="T65"/>
  <c r="D65"/>
  <c r="M71"/>
  <c r="F65"/>
  <c r="L65"/>
  <c r="Q63"/>
  <c r="N65"/>
  <c r="G65"/>
  <c r="Z142"/>
  <c r="AA142" s="1"/>
  <c r="AC142" s="1"/>
  <c r="L63"/>
  <c r="D57" i="55"/>
  <c r="D24"/>
  <c r="D64"/>
  <c r="D31"/>
  <c r="D54"/>
  <c r="D74"/>
  <c r="D101"/>
  <c r="D41"/>
  <c r="D73"/>
  <c r="D19"/>
  <c r="D68"/>
  <c r="D27"/>
  <c r="D22"/>
  <c r="D98"/>
  <c r="D47"/>
  <c r="E18"/>
  <c r="D34"/>
  <c r="D52"/>
  <c r="D29"/>
  <c r="D46"/>
  <c r="D88"/>
  <c r="D44"/>
  <c r="D42"/>
  <c r="D25"/>
  <c r="D100"/>
  <c r="D95"/>
  <c r="D67"/>
  <c r="D35"/>
  <c r="D72"/>
  <c r="D80"/>
  <c r="D65"/>
  <c r="D32"/>
  <c r="D83"/>
  <c r="D38"/>
  <c r="D58"/>
  <c r="D21"/>
  <c r="D49"/>
  <c r="D92"/>
  <c r="D40"/>
  <c r="D76"/>
  <c r="D51"/>
  <c r="D59"/>
  <c r="D26"/>
  <c r="D28"/>
  <c r="D23"/>
  <c r="D37"/>
  <c r="D96"/>
  <c r="D56"/>
  <c r="D99"/>
  <c r="D50"/>
  <c r="D70"/>
  <c r="D93"/>
  <c r="D33"/>
  <c r="D69"/>
  <c r="D20"/>
  <c r="D60"/>
  <c r="D103"/>
  <c r="D71"/>
  <c r="D63"/>
  <c r="D102"/>
  <c r="D75"/>
  <c r="D94"/>
  <c r="D87"/>
  <c r="D53"/>
  <c r="D62"/>
  <c r="D36"/>
  <c r="D77"/>
  <c r="D91"/>
  <c r="D66"/>
  <c r="D89"/>
  <c r="D61"/>
  <c r="D48"/>
  <c r="D55"/>
  <c r="D86"/>
  <c r="D43"/>
  <c r="D79"/>
  <c r="D84"/>
  <c r="D78"/>
  <c r="D85"/>
  <c r="D39"/>
  <c r="D30"/>
  <c r="D90"/>
  <c r="D97"/>
  <c r="D45"/>
  <c r="B15" i="19"/>
  <c r="B15" i="3"/>
  <c r="B15" i="1"/>
  <c r="B15" i="4"/>
  <c r="B15" i="20"/>
  <c r="B15" i="63"/>
  <c r="B13" i="37"/>
  <c r="B72" i="19"/>
  <c r="B72" i="4"/>
  <c r="B72" i="20"/>
  <c r="B79" i="55"/>
  <c r="B88" i="3"/>
  <c r="B88" i="20"/>
  <c r="B88" i="19"/>
  <c r="B88" i="63"/>
  <c r="B88" i="1"/>
  <c r="B95" i="55"/>
  <c r="C11" i="4"/>
  <c r="Q54" i="63"/>
  <c r="AL54" i="1" s="1"/>
  <c r="Q54" s="1"/>
  <c r="F11" i="4"/>
  <c r="AA11" i="1"/>
  <c r="Z3" i="55"/>
  <c r="Z2"/>
  <c r="D96" i="63"/>
  <c r="N11" i="4"/>
  <c r="J11"/>
  <c r="AE11" i="1"/>
  <c r="R11" i="19"/>
  <c r="R11" i="3" s="1"/>
  <c r="AI11" i="1"/>
  <c r="T11" i="3"/>
  <c r="T10" s="1"/>
  <c r="R11" i="4"/>
  <c r="N54" i="63"/>
  <c r="AI54" i="1" s="1"/>
  <c r="N54" s="1"/>
  <c r="F11" i="19"/>
  <c r="F11" i="3" s="1"/>
  <c r="K96" i="63"/>
  <c r="N96"/>
  <c r="K54"/>
  <c r="AF54" i="1" s="1"/>
  <c r="K54" s="1"/>
  <c r="M11" i="4"/>
  <c r="G96" i="63"/>
  <c r="Q96"/>
  <c r="Z4" i="55"/>
  <c r="Z1"/>
  <c r="E11" i="4"/>
  <c r="AA1" i="55"/>
  <c r="P96" i="63"/>
  <c r="Y11" i="1"/>
  <c r="H96" i="63"/>
  <c r="AG11" i="1"/>
  <c r="M54" i="63"/>
  <c r="AH54" i="1" s="1"/>
  <c r="M54" s="1"/>
  <c r="Q11" i="4"/>
  <c r="M96" i="63"/>
  <c r="Q11" i="19"/>
  <c r="Q11" i="3" s="1"/>
  <c r="H54" i="63"/>
  <c r="AC54" i="1" s="1"/>
  <c r="H54" s="1"/>
  <c r="I96" i="63"/>
  <c r="L11" i="4"/>
  <c r="F96" i="63"/>
  <c r="I54"/>
  <c r="AD54" i="1" s="1"/>
  <c r="I54" s="1"/>
  <c r="T96" i="63"/>
  <c r="H11" i="19"/>
  <c r="H11" i="3" s="1"/>
  <c r="E96" i="63"/>
  <c r="I11" i="4"/>
  <c r="E11" i="19"/>
  <c r="E11" i="3" s="1"/>
  <c r="R55" i="63"/>
  <c r="P11" i="19"/>
  <c r="P11" i="3" s="1"/>
  <c r="T55" i="63"/>
  <c r="D11" i="19"/>
  <c r="D11" i="3" s="1"/>
  <c r="H11" i="4"/>
  <c r="I11" i="19"/>
  <c r="I11" i="3" s="1"/>
  <c r="M11" i="19"/>
  <c r="M11" i="3" s="1"/>
  <c r="AK11" i="1"/>
  <c r="R96" i="63"/>
  <c r="E54"/>
  <c r="Z54" i="1" s="1"/>
  <c r="E54" s="1"/>
  <c r="K11" i="19"/>
  <c r="K11" i="3" s="1"/>
  <c r="L96" i="63"/>
  <c r="C96"/>
  <c r="K11" i="4"/>
  <c r="J96" i="63"/>
  <c r="AJ11" i="1"/>
  <c r="J54" i="63"/>
  <c r="AE54" i="1" s="1"/>
  <c r="J54" s="1"/>
  <c r="P54" i="63"/>
  <c r="AK54" i="1" s="1"/>
  <c r="P54" s="1"/>
  <c r="O11" i="4"/>
  <c r="O96" i="63"/>
  <c r="C54"/>
  <c r="X54" i="1" s="1"/>
  <c r="C54" s="1"/>
  <c r="L54" i="63"/>
  <c r="AG54" i="1" s="1"/>
  <c r="L54" s="1"/>
  <c r="S55" i="63"/>
  <c r="F55"/>
  <c r="AD55" i="1" s="1"/>
  <c r="I55" s="1"/>
  <c r="S11" i="19"/>
  <c r="S10" s="1"/>
  <c r="S11" i="3"/>
  <c r="S10" s="1"/>
  <c r="T11" i="19"/>
  <c r="T10" s="1"/>
  <c r="S11" i="4"/>
  <c r="S10" s="1"/>
  <c r="G11"/>
  <c r="C11" i="19"/>
  <c r="C11" i="3" s="1"/>
  <c r="S96" i="63"/>
  <c r="T11" i="4"/>
  <c r="T10" s="1"/>
  <c r="X11" i="1"/>
  <c r="G11" i="19"/>
  <c r="G11" i="3" s="1"/>
  <c r="D54" i="63"/>
  <c r="Y54" i="1" s="1"/>
  <c r="D54" s="1"/>
  <c r="G54" i="63"/>
  <c r="AB54" i="1" s="1"/>
  <c r="G54" s="1"/>
  <c r="O54" i="63"/>
  <c r="AJ54" i="1" s="1"/>
  <c r="O54" s="1"/>
  <c r="Z158" i="7" l="1"/>
  <c r="AA158" s="1"/>
  <c r="AB158" s="1"/>
  <c r="AC158" s="1"/>
  <c r="H71" i="20"/>
  <c r="J65" i="7"/>
  <c r="K65"/>
  <c r="E65"/>
  <c r="C71" s="1"/>
  <c r="F75"/>
  <c r="F71"/>
  <c r="E80" i="55"/>
  <c r="E40"/>
  <c r="E72"/>
  <c r="E47"/>
  <c r="E29"/>
  <c r="E87"/>
  <c r="E88"/>
  <c r="E54"/>
  <c r="E98"/>
  <c r="E92"/>
  <c r="E65"/>
  <c r="E60"/>
  <c r="E67"/>
  <c r="E66"/>
  <c r="E86"/>
  <c r="E89"/>
  <c r="E64"/>
  <c r="E71"/>
  <c r="E73"/>
  <c r="E90"/>
  <c r="E97"/>
  <c r="E31"/>
  <c r="E42"/>
  <c r="E79"/>
  <c r="E57"/>
  <c r="E35"/>
  <c r="E30"/>
  <c r="E32"/>
  <c r="E76"/>
  <c r="E58"/>
  <c r="E20"/>
  <c r="E52"/>
  <c r="E59"/>
  <c r="E26"/>
  <c r="E75"/>
  <c r="E49"/>
  <c r="E19"/>
  <c r="E96"/>
  <c r="E74"/>
  <c r="E45"/>
  <c r="E95"/>
  <c r="E36"/>
  <c r="E68"/>
  <c r="E43"/>
  <c r="E21"/>
  <c r="E83"/>
  <c r="E77"/>
  <c r="E46"/>
  <c r="E94"/>
  <c r="E84"/>
  <c r="E101"/>
  <c r="E44"/>
  <c r="E51"/>
  <c r="E91"/>
  <c r="E62"/>
  <c r="E100"/>
  <c r="E48"/>
  <c r="E55"/>
  <c r="E99"/>
  <c r="E70"/>
  <c r="E33"/>
  <c r="E24"/>
  <c r="E56"/>
  <c r="E63"/>
  <c r="E61"/>
  <c r="E22"/>
  <c r="E34"/>
  <c r="E85"/>
  <c r="E28"/>
  <c r="E69"/>
  <c r="E50"/>
  <c r="E39"/>
  <c r="E38"/>
  <c r="F18"/>
  <c r="E27"/>
  <c r="E53"/>
  <c r="E41"/>
  <c r="E103"/>
  <c r="E78"/>
  <c r="E37"/>
  <c r="E102"/>
  <c r="E23"/>
  <c r="E25"/>
  <c r="E93"/>
  <c r="J71" i="7" l="1"/>
  <c r="J75"/>
  <c r="C75"/>
  <c r="F21" i="55"/>
  <c r="F48"/>
  <c r="F84"/>
  <c r="F100"/>
  <c r="F23"/>
  <c r="F83"/>
  <c r="F98"/>
  <c r="F52"/>
  <c r="F27"/>
  <c r="F78"/>
  <c r="F40"/>
  <c r="F43"/>
  <c r="F68"/>
  <c r="F94"/>
  <c r="F62"/>
  <c r="F34"/>
  <c r="F25"/>
  <c r="F47"/>
  <c r="F61"/>
  <c r="F103"/>
  <c r="F80"/>
  <c r="F76"/>
  <c r="F30"/>
  <c r="F35"/>
  <c r="F96"/>
  <c r="F38"/>
  <c r="F72"/>
  <c r="F57"/>
  <c r="F59"/>
  <c r="F63"/>
  <c r="F56"/>
  <c r="F37"/>
  <c r="F28"/>
  <c r="F51"/>
  <c r="F49"/>
  <c r="F97"/>
  <c r="F73"/>
  <c r="F75"/>
  <c r="F64"/>
  <c r="F70"/>
  <c r="F31"/>
  <c r="F54"/>
  <c r="F86"/>
  <c r="F65"/>
  <c r="F32"/>
  <c r="F33"/>
  <c r="F101"/>
  <c r="F36"/>
  <c r="F90"/>
  <c r="F85"/>
  <c r="F67"/>
  <c r="F53"/>
  <c r="F22"/>
  <c r="F99"/>
  <c r="F29"/>
  <c r="F50"/>
  <c r="F24"/>
  <c r="F93"/>
  <c r="F87"/>
  <c r="F89"/>
  <c r="F41"/>
  <c r="F71"/>
  <c r="F45"/>
  <c r="G18"/>
  <c r="F69"/>
  <c r="F102"/>
  <c r="F19"/>
  <c r="F91"/>
  <c r="F79"/>
  <c r="F39"/>
  <c r="F42"/>
  <c r="F44"/>
  <c r="F58"/>
  <c r="F55"/>
  <c r="F92"/>
  <c r="F95"/>
  <c r="F26"/>
  <c r="F46"/>
  <c r="F20"/>
  <c r="F77"/>
  <c r="F60"/>
  <c r="F88"/>
  <c r="F66"/>
  <c r="F74"/>
  <c r="G28" l="1"/>
  <c r="G90"/>
  <c r="G73"/>
  <c r="G68"/>
  <c r="H18"/>
  <c r="G31"/>
  <c r="G54"/>
  <c r="G51"/>
  <c r="G47"/>
  <c r="G62"/>
  <c r="G61"/>
  <c r="G102"/>
  <c r="G52"/>
  <c r="G22"/>
  <c r="G21"/>
  <c r="G34"/>
  <c r="G32"/>
  <c r="G88"/>
  <c r="G37"/>
  <c r="G63"/>
  <c r="G99"/>
  <c r="G23"/>
  <c r="G96"/>
  <c r="G60"/>
  <c r="G69"/>
  <c r="G38"/>
  <c r="G45"/>
  <c r="G74"/>
  <c r="G20"/>
  <c r="G43"/>
  <c r="G29"/>
  <c r="G103"/>
  <c r="G100"/>
  <c r="G42"/>
  <c r="G26"/>
  <c r="G95"/>
  <c r="G79"/>
  <c r="G65"/>
  <c r="G25"/>
  <c r="G97"/>
  <c r="G67"/>
  <c r="G77"/>
  <c r="G101"/>
  <c r="G48"/>
  <c r="G71"/>
  <c r="G76"/>
  <c r="G85"/>
  <c r="G91"/>
  <c r="G75"/>
  <c r="G27"/>
  <c r="G24"/>
  <c r="G39"/>
  <c r="G57"/>
  <c r="G19"/>
  <c r="G30"/>
  <c r="G66"/>
  <c r="G83"/>
  <c r="G84"/>
  <c r="G87"/>
  <c r="G78"/>
  <c r="G40"/>
  <c r="G89"/>
  <c r="G58"/>
  <c r="G56"/>
  <c r="G55"/>
  <c r="G41"/>
  <c r="G33"/>
  <c r="G98"/>
  <c r="G49"/>
  <c r="G70"/>
  <c r="G93"/>
  <c r="G80"/>
  <c r="G35"/>
  <c r="G86"/>
  <c r="G53"/>
  <c r="G36"/>
  <c r="G94"/>
  <c r="G72"/>
  <c r="G92"/>
  <c r="G46"/>
  <c r="G64"/>
  <c r="G44"/>
  <c r="G59"/>
  <c r="G50"/>
  <c r="H95" l="1"/>
  <c r="H66"/>
  <c r="H63"/>
  <c r="H89"/>
  <c r="H26"/>
  <c r="H25"/>
  <c r="H50"/>
  <c r="H31"/>
  <c r="H37"/>
  <c r="H47"/>
  <c r="H86"/>
  <c r="H100"/>
  <c r="H92"/>
  <c r="H41"/>
  <c r="H45"/>
  <c r="H40"/>
  <c r="H64"/>
  <c r="H27"/>
  <c r="H68"/>
  <c r="H74"/>
  <c r="H53"/>
  <c r="H67"/>
  <c r="H84"/>
  <c r="H85"/>
  <c r="H77"/>
  <c r="H44"/>
  <c r="H51"/>
  <c r="H56"/>
  <c r="H61"/>
  <c r="H83"/>
  <c r="H22"/>
  <c r="H34"/>
  <c r="H19"/>
  <c r="H103"/>
  <c r="H30"/>
  <c r="H32"/>
  <c r="H49"/>
  <c r="H97"/>
  <c r="H65"/>
  <c r="H87"/>
  <c r="H69"/>
  <c r="H102"/>
  <c r="H78"/>
  <c r="H90"/>
  <c r="H79"/>
  <c r="I18"/>
  <c r="H48"/>
  <c r="H91"/>
  <c r="H93"/>
  <c r="H33"/>
  <c r="H71"/>
  <c r="H75"/>
  <c r="H80"/>
  <c r="H36"/>
  <c r="H57"/>
  <c r="H88"/>
  <c r="H46"/>
  <c r="H20"/>
  <c r="H28"/>
  <c r="H55"/>
  <c r="H72"/>
  <c r="H70"/>
  <c r="H58"/>
  <c r="H62"/>
  <c r="H39"/>
  <c r="H99"/>
  <c r="H38"/>
  <c r="H96"/>
  <c r="H35"/>
  <c r="H29"/>
  <c r="H54"/>
  <c r="H60"/>
  <c r="H73"/>
  <c r="H24"/>
  <c r="H21"/>
  <c r="H42"/>
  <c r="H98"/>
  <c r="H59"/>
  <c r="H52"/>
  <c r="H94"/>
  <c r="H76"/>
  <c r="H43"/>
  <c r="H101"/>
  <c r="H23"/>
  <c r="I76" l="1"/>
  <c r="I39"/>
  <c r="J18"/>
  <c r="I59"/>
  <c r="I102"/>
  <c r="I41"/>
  <c r="I23"/>
  <c r="I78"/>
  <c r="I27"/>
  <c r="I33"/>
  <c r="I44"/>
  <c r="I75"/>
  <c r="I68"/>
  <c r="I64"/>
  <c r="I52"/>
  <c r="I60"/>
  <c r="I94"/>
  <c r="I91"/>
  <c r="I20"/>
  <c r="I103"/>
  <c r="I21"/>
  <c r="I47"/>
  <c r="I65"/>
  <c r="I71"/>
  <c r="I30"/>
  <c r="I43"/>
  <c r="I26"/>
  <c r="I77"/>
  <c r="I45"/>
  <c r="I97"/>
  <c r="I96"/>
  <c r="I67"/>
  <c r="I93"/>
  <c r="I74"/>
  <c r="I100"/>
  <c r="I63"/>
  <c r="I80"/>
  <c r="I34"/>
  <c r="I31"/>
  <c r="I98"/>
  <c r="I49"/>
  <c r="I53"/>
  <c r="I95"/>
  <c r="I86"/>
  <c r="I84"/>
  <c r="I54"/>
  <c r="I25"/>
  <c r="I46"/>
  <c r="I35"/>
  <c r="I32"/>
  <c r="I73"/>
  <c r="I101"/>
  <c r="I88"/>
  <c r="I19"/>
  <c r="I89"/>
  <c r="I22"/>
  <c r="I61"/>
  <c r="I58"/>
  <c r="I69"/>
  <c r="I55"/>
  <c r="I90"/>
  <c r="I36"/>
  <c r="I48"/>
  <c r="I51"/>
  <c r="I28"/>
  <c r="I70"/>
  <c r="I42"/>
  <c r="I40"/>
  <c r="I99"/>
  <c r="I38"/>
  <c r="I87"/>
  <c r="I57"/>
  <c r="I50"/>
  <c r="I62"/>
  <c r="I85"/>
  <c r="I83"/>
  <c r="I79"/>
  <c r="I29"/>
  <c r="I56"/>
  <c r="I92"/>
  <c r="I72"/>
  <c r="I37"/>
  <c r="I24"/>
  <c r="I66"/>
  <c r="H82" i="20" l="1"/>
  <c r="H81"/>
  <c r="J50" i="55"/>
  <c r="J77"/>
  <c r="J84"/>
  <c r="J75"/>
  <c r="J52"/>
  <c r="J78"/>
  <c r="J54"/>
  <c r="J30"/>
  <c r="J58"/>
  <c r="J41"/>
  <c r="J56"/>
  <c r="J26"/>
  <c r="J38"/>
  <c r="J79"/>
  <c r="J25"/>
  <c r="J64"/>
  <c r="J59"/>
  <c r="J74"/>
  <c r="J62"/>
  <c r="J69"/>
  <c r="J91"/>
  <c r="J44"/>
  <c r="J34"/>
  <c r="J46"/>
  <c r="J102"/>
  <c r="J94"/>
  <c r="J100"/>
  <c r="J51"/>
  <c r="J42"/>
  <c r="J70"/>
  <c r="J92"/>
  <c r="J40"/>
  <c r="J33"/>
  <c r="J43"/>
  <c r="J66"/>
  <c r="J86"/>
  <c r="J57"/>
  <c r="J63"/>
  <c r="J68"/>
  <c r="J83"/>
  <c r="J76"/>
  <c r="J45"/>
  <c r="J60"/>
  <c r="J29"/>
  <c r="J27"/>
  <c r="J23"/>
  <c r="J85"/>
  <c r="J32"/>
  <c r="J20"/>
  <c r="J95"/>
  <c r="J89"/>
  <c r="J87"/>
  <c r="J21"/>
  <c r="J93"/>
  <c r="J47"/>
  <c r="J67"/>
  <c r="J88"/>
  <c r="J22"/>
  <c r="J96"/>
  <c r="J72"/>
  <c r="J98"/>
  <c r="J39"/>
  <c r="J71"/>
  <c r="J19"/>
  <c r="J73"/>
  <c r="J37"/>
  <c r="J53"/>
  <c r="J28"/>
  <c r="J35"/>
  <c r="J80"/>
  <c r="K18"/>
  <c r="J48"/>
  <c r="J65"/>
  <c r="J55"/>
  <c r="J101"/>
  <c r="J36"/>
  <c r="J24"/>
  <c r="J99"/>
  <c r="J103"/>
  <c r="J49"/>
  <c r="J61"/>
  <c r="J97"/>
  <c r="J31"/>
  <c r="J90"/>
  <c r="H68" i="20" l="1"/>
  <c r="H65"/>
  <c r="K55" i="55"/>
  <c r="K43"/>
  <c r="K41"/>
  <c r="K31"/>
  <c r="K60"/>
  <c r="K69"/>
  <c r="K62"/>
  <c r="K97"/>
  <c r="K27"/>
  <c r="K34"/>
  <c r="K75"/>
  <c r="K71"/>
  <c r="K86"/>
  <c r="K58"/>
  <c r="K59"/>
  <c r="K89"/>
  <c r="K46"/>
  <c r="K61"/>
  <c r="K53"/>
  <c r="K44"/>
  <c r="K49"/>
  <c r="K33"/>
  <c r="K76"/>
  <c r="K96"/>
  <c r="K51"/>
  <c r="K95"/>
  <c r="K87"/>
  <c r="K20"/>
  <c r="K73"/>
  <c r="L18"/>
  <c r="K56"/>
  <c r="K40"/>
  <c r="K22"/>
  <c r="K32"/>
  <c r="K102"/>
  <c r="K28"/>
  <c r="K85"/>
  <c r="K100"/>
  <c r="K92"/>
  <c r="K64"/>
  <c r="K72"/>
  <c r="K45"/>
  <c r="K103"/>
  <c r="K37"/>
  <c r="K39"/>
  <c r="K65"/>
  <c r="K90"/>
  <c r="K91"/>
  <c r="K48"/>
  <c r="K30"/>
  <c r="K57"/>
  <c r="K98"/>
  <c r="K26"/>
  <c r="K94"/>
  <c r="K101"/>
  <c r="K79"/>
  <c r="K84"/>
  <c r="K93"/>
  <c r="K54"/>
  <c r="K52"/>
  <c r="K19"/>
  <c r="K74"/>
  <c r="K67"/>
  <c r="K21"/>
  <c r="K99"/>
  <c r="K24"/>
  <c r="K35"/>
  <c r="K63"/>
  <c r="K66"/>
  <c r="K83"/>
  <c r="K42"/>
  <c r="K80"/>
  <c r="K68"/>
  <c r="K23"/>
  <c r="K50"/>
  <c r="K70"/>
  <c r="K77"/>
  <c r="K25"/>
  <c r="K38"/>
  <c r="K36"/>
  <c r="K78"/>
  <c r="K47"/>
  <c r="K88"/>
  <c r="K29"/>
  <c r="L52" l="1"/>
  <c r="L48"/>
  <c r="L26"/>
  <c r="L93"/>
  <c r="L64"/>
  <c r="L40"/>
  <c r="L59"/>
  <c r="L73"/>
  <c r="L46"/>
  <c r="L31"/>
  <c r="L50"/>
  <c r="L61"/>
  <c r="L29"/>
  <c r="L60"/>
  <c r="L91"/>
  <c r="L66"/>
  <c r="L36"/>
  <c r="L83"/>
  <c r="L72"/>
  <c r="L22"/>
  <c r="L77"/>
  <c r="L32"/>
  <c r="L79"/>
  <c r="L68"/>
  <c r="L103"/>
  <c r="L33"/>
  <c r="L37"/>
  <c r="L42"/>
  <c r="L94"/>
  <c r="L86"/>
  <c r="M18"/>
  <c r="L34"/>
  <c r="L88"/>
  <c r="L96"/>
  <c r="L97"/>
  <c r="L102"/>
  <c r="L84"/>
  <c r="L35"/>
  <c r="L57"/>
  <c r="L43"/>
  <c r="L38"/>
  <c r="L74"/>
  <c r="L23"/>
  <c r="L45"/>
  <c r="L20"/>
  <c r="L28"/>
  <c r="L24"/>
  <c r="L62"/>
  <c r="L99"/>
  <c r="L70"/>
  <c r="L47"/>
  <c r="L41"/>
  <c r="L30"/>
  <c r="L49"/>
  <c r="L58"/>
  <c r="L44"/>
  <c r="L54"/>
  <c r="L89"/>
  <c r="L78"/>
  <c r="L56"/>
  <c r="L21"/>
  <c r="L90"/>
  <c r="L87"/>
  <c r="L95"/>
  <c r="L65"/>
  <c r="L69"/>
  <c r="L71"/>
  <c r="L85"/>
  <c r="L92"/>
  <c r="L75"/>
  <c r="L76"/>
  <c r="L98"/>
  <c r="L100"/>
  <c r="L25"/>
  <c r="L101"/>
  <c r="L51"/>
  <c r="L80"/>
  <c r="L53"/>
  <c r="L63"/>
  <c r="L27"/>
  <c r="L55"/>
  <c r="L19"/>
  <c r="L67"/>
  <c r="L39"/>
  <c r="M30" l="1"/>
  <c r="M71"/>
  <c r="M43"/>
  <c r="M26"/>
  <c r="M98"/>
  <c r="M96"/>
  <c r="M55"/>
  <c r="M68"/>
  <c r="M79"/>
  <c r="M88"/>
  <c r="M91"/>
  <c r="M101"/>
  <c r="M72"/>
  <c r="M86"/>
  <c r="M83"/>
  <c r="M40"/>
  <c r="M39"/>
  <c r="M22"/>
  <c r="M51"/>
  <c r="M62"/>
  <c r="M56"/>
  <c r="M35"/>
  <c r="N18"/>
  <c r="M90"/>
  <c r="M47"/>
  <c r="M85"/>
  <c r="M97"/>
  <c r="M103"/>
  <c r="M50"/>
  <c r="M76"/>
  <c r="M58"/>
  <c r="M29"/>
  <c r="M74"/>
  <c r="M92"/>
  <c r="M99"/>
  <c r="M52"/>
  <c r="M100"/>
  <c r="M32"/>
  <c r="M60"/>
  <c r="M75"/>
  <c r="M21"/>
  <c r="M69"/>
  <c r="M64"/>
  <c r="M78"/>
  <c r="M61"/>
  <c r="M89"/>
  <c r="M37"/>
  <c r="M48"/>
  <c r="M25"/>
  <c r="M63"/>
  <c r="M49"/>
  <c r="M44"/>
  <c r="M33"/>
  <c r="M34"/>
  <c r="M67"/>
  <c r="M66"/>
  <c r="M27"/>
  <c r="M65"/>
  <c r="M84"/>
  <c r="M53"/>
  <c r="M45"/>
  <c r="M57"/>
  <c r="M24"/>
  <c r="M19"/>
  <c r="M70"/>
  <c r="M41"/>
  <c r="M23"/>
  <c r="M80"/>
  <c r="M93"/>
  <c r="M36"/>
  <c r="M54"/>
  <c r="M28"/>
  <c r="M42"/>
  <c r="M73"/>
  <c r="M46"/>
  <c r="M59"/>
  <c r="M102"/>
  <c r="M77"/>
  <c r="M87"/>
  <c r="M94"/>
  <c r="M20"/>
  <c r="M31"/>
  <c r="M38"/>
  <c r="M95"/>
  <c r="N68" l="1"/>
  <c r="N34"/>
  <c r="N37"/>
  <c r="N83"/>
  <c r="N63"/>
  <c r="N59"/>
  <c r="N84"/>
  <c r="N94"/>
  <c r="N96"/>
  <c r="N58"/>
  <c r="N50"/>
  <c r="N76"/>
  <c r="N91"/>
  <c r="N67"/>
  <c r="N46"/>
  <c r="N49"/>
  <c r="N39"/>
  <c r="N40"/>
  <c r="N90"/>
  <c r="N98"/>
  <c r="N60"/>
  <c r="N35"/>
  <c r="N62"/>
  <c r="N47"/>
  <c r="N55"/>
  <c r="N22"/>
  <c r="N33"/>
  <c r="N78"/>
  <c r="N19"/>
  <c r="N87"/>
  <c r="N92"/>
  <c r="N74"/>
  <c r="N31"/>
  <c r="N93"/>
  <c r="N27"/>
  <c r="N52"/>
  <c r="N75"/>
  <c r="N88"/>
  <c r="N79"/>
  <c r="N85"/>
  <c r="N57"/>
  <c r="N61"/>
  <c r="N53"/>
  <c r="N56"/>
  <c r="N38"/>
  <c r="N103"/>
  <c r="N48"/>
  <c r="N43"/>
  <c r="N66"/>
  <c r="N30"/>
  <c r="N71"/>
  <c r="N54"/>
  <c r="N36"/>
  <c r="N100"/>
  <c r="N77"/>
  <c r="N24"/>
  <c r="N65"/>
  <c r="N97"/>
  <c r="N95"/>
  <c r="N70"/>
  <c r="N23"/>
  <c r="N51"/>
  <c r="N32"/>
  <c r="N42"/>
  <c r="N69"/>
  <c r="N102"/>
  <c r="N72"/>
  <c r="N73"/>
  <c r="N64"/>
  <c r="N26"/>
  <c r="O18"/>
  <c r="N20"/>
  <c r="N25"/>
  <c r="N44"/>
  <c r="N21"/>
  <c r="N45"/>
  <c r="N28"/>
  <c r="N99"/>
  <c r="N29"/>
  <c r="N89"/>
  <c r="N86"/>
  <c r="N101"/>
  <c r="N41"/>
  <c r="N80"/>
  <c r="H69" i="20" l="1"/>
  <c r="O43" i="55"/>
  <c r="O47"/>
  <c r="O57"/>
  <c r="O60"/>
  <c r="O90"/>
  <c r="O25"/>
  <c r="O89"/>
  <c r="O42"/>
  <c r="O48"/>
  <c r="O83"/>
  <c r="O21"/>
  <c r="O28"/>
  <c r="O58"/>
  <c r="O31"/>
  <c r="O38"/>
  <c r="O24"/>
  <c r="O101"/>
  <c r="O53"/>
  <c r="O74"/>
  <c r="O40"/>
  <c r="O34"/>
  <c r="O70"/>
  <c r="O73"/>
  <c r="P18"/>
  <c r="O37"/>
  <c r="O65"/>
  <c r="O100"/>
  <c r="O94"/>
  <c r="O55"/>
  <c r="O22"/>
  <c r="O97"/>
  <c r="O98"/>
  <c r="O56"/>
  <c r="O78"/>
  <c r="O80"/>
  <c r="O88"/>
  <c r="O52"/>
  <c r="O19"/>
  <c r="O41"/>
  <c r="O29"/>
  <c r="O68"/>
  <c r="O96"/>
  <c r="O95"/>
  <c r="O93"/>
  <c r="O30"/>
  <c r="O36"/>
  <c r="O46"/>
  <c r="O50"/>
  <c r="O66"/>
  <c r="O63"/>
  <c r="O27"/>
  <c r="O69"/>
  <c r="O84"/>
  <c r="O61"/>
  <c r="O103"/>
  <c r="O91"/>
  <c r="O45"/>
  <c r="O54"/>
  <c r="O44"/>
  <c r="O20"/>
  <c r="O64"/>
  <c r="O71"/>
  <c r="O87"/>
  <c r="O85"/>
  <c r="O39"/>
  <c r="O59"/>
  <c r="O62"/>
  <c r="O51"/>
  <c r="O72"/>
  <c r="O102"/>
  <c r="O32"/>
  <c r="O49"/>
  <c r="O33"/>
  <c r="O99"/>
  <c r="O92"/>
  <c r="O75"/>
  <c r="O67"/>
  <c r="O76"/>
  <c r="O77"/>
  <c r="O79"/>
  <c r="O86"/>
  <c r="O35"/>
  <c r="O23"/>
  <c r="O26"/>
  <c r="P24" l="1"/>
  <c r="P65"/>
  <c r="P85"/>
  <c r="P30"/>
  <c r="P72"/>
  <c r="P31"/>
  <c r="P29"/>
  <c r="P36"/>
  <c r="P20"/>
  <c r="P102"/>
  <c r="P53"/>
  <c r="P64"/>
  <c r="P71"/>
  <c r="P23"/>
  <c r="P69"/>
  <c r="P98"/>
  <c r="P21"/>
  <c r="P54"/>
  <c r="P79"/>
  <c r="P92"/>
  <c r="P88"/>
  <c r="P60"/>
  <c r="P34"/>
  <c r="P28"/>
  <c r="P39"/>
  <c r="P80"/>
  <c r="P33"/>
  <c r="P58"/>
  <c r="P38"/>
  <c r="P44"/>
  <c r="P56"/>
  <c r="P86"/>
  <c r="P42"/>
  <c r="P59"/>
  <c r="P22"/>
  <c r="P68"/>
  <c r="P87"/>
  <c r="P70"/>
  <c r="P27"/>
  <c r="P32"/>
  <c r="P50"/>
  <c r="P48"/>
  <c r="P75"/>
  <c r="P73"/>
  <c r="P76"/>
  <c r="P94"/>
  <c r="P62"/>
  <c r="P47"/>
  <c r="P49"/>
  <c r="P91"/>
  <c r="P46"/>
  <c r="P19"/>
  <c r="P66"/>
  <c r="P93"/>
  <c r="P67"/>
  <c r="P25"/>
  <c r="P26"/>
  <c r="P77"/>
  <c r="P101"/>
  <c r="P45"/>
  <c r="P78"/>
  <c r="P74"/>
  <c r="P51"/>
  <c r="P40"/>
  <c r="P61"/>
  <c r="Q18"/>
  <c r="P90"/>
  <c r="P83"/>
  <c r="P96"/>
  <c r="P99"/>
  <c r="P95"/>
  <c r="P41"/>
  <c r="P52"/>
  <c r="P97"/>
  <c r="P89"/>
  <c r="P35"/>
  <c r="P37"/>
  <c r="P57"/>
  <c r="P43"/>
  <c r="P103"/>
  <c r="P84"/>
  <c r="P100"/>
  <c r="P55"/>
  <c r="P63"/>
  <c r="Q26" l="1"/>
  <c r="Q25"/>
  <c r="Q55"/>
  <c r="Q94"/>
  <c r="Q100"/>
  <c r="Q92"/>
  <c r="Q59"/>
  <c r="Q23"/>
  <c r="Q70"/>
  <c r="Q41"/>
  <c r="Q40"/>
  <c r="Q53"/>
  <c r="Q67"/>
  <c r="Q87"/>
  <c r="Q28"/>
  <c r="Q46"/>
  <c r="Q48"/>
  <c r="Q19"/>
  <c r="Q51"/>
  <c r="Q90"/>
  <c r="Q38"/>
  <c r="Q31"/>
  <c r="Q78"/>
  <c r="Q44"/>
  <c r="Q72"/>
  <c r="Q79"/>
  <c r="Q62"/>
  <c r="Q96"/>
  <c r="Q63"/>
  <c r="Q89"/>
  <c r="Q71"/>
  <c r="Q99"/>
  <c r="Q39"/>
  <c r="Q22"/>
  <c r="Q60"/>
  <c r="Q91"/>
  <c r="Q83"/>
  <c r="Q73"/>
  <c r="Q37"/>
  <c r="Q58"/>
  <c r="Q65"/>
  <c r="Q68"/>
  <c r="Q93"/>
  <c r="Q29"/>
  <c r="R18"/>
  <c r="Q33"/>
  <c r="Q52"/>
  <c r="Q45"/>
  <c r="Q66"/>
  <c r="Q85"/>
  <c r="Q80"/>
  <c r="Q27"/>
  <c r="Q64"/>
  <c r="Q86"/>
  <c r="Q95"/>
  <c r="Q56"/>
  <c r="Q50"/>
  <c r="Q76"/>
  <c r="Q20"/>
  <c r="Q47"/>
  <c r="Q49"/>
  <c r="Q98"/>
  <c r="Q34"/>
  <c r="Q97"/>
  <c r="Q69"/>
  <c r="Q77"/>
  <c r="Q30"/>
  <c r="Q103"/>
  <c r="Q43"/>
  <c r="Q36"/>
  <c r="Q101"/>
  <c r="Q24"/>
  <c r="Q54"/>
  <c r="Q84"/>
  <c r="Q75"/>
  <c r="Q35"/>
  <c r="Q102"/>
  <c r="Q21"/>
  <c r="Q32"/>
  <c r="Q74"/>
  <c r="Q88"/>
  <c r="Q61"/>
  <c r="Q42"/>
  <c r="Q57"/>
  <c r="R24" l="1"/>
  <c r="R56"/>
  <c r="R57"/>
  <c r="R50"/>
  <c r="R31"/>
  <c r="R98"/>
  <c r="R51"/>
  <c r="R88"/>
  <c r="R26"/>
  <c r="R55"/>
  <c r="R89"/>
  <c r="R39"/>
  <c r="R103"/>
  <c r="R32"/>
  <c r="R77"/>
  <c r="R79"/>
  <c r="R44"/>
  <c r="R70"/>
  <c r="R86"/>
  <c r="R91"/>
  <c r="R34"/>
  <c r="R35"/>
  <c r="R63"/>
  <c r="R37"/>
  <c r="R20"/>
  <c r="R59"/>
  <c r="R85"/>
  <c r="R25"/>
  <c r="R92"/>
  <c r="R83"/>
  <c r="R69"/>
  <c r="R99"/>
  <c r="R87"/>
  <c r="R95"/>
  <c r="R22"/>
  <c r="R28"/>
  <c r="R74"/>
  <c r="R49"/>
  <c r="R73"/>
  <c r="R80"/>
  <c r="S18"/>
  <c r="R76"/>
  <c r="R102"/>
  <c r="R65"/>
  <c r="R61"/>
  <c r="R41"/>
  <c r="R67"/>
  <c r="R72"/>
  <c r="R38"/>
  <c r="R48"/>
  <c r="R54"/>
  <c r="R27"/>
  <c r="R84"/>
  <c r="R71"/>
  <c r="R19"/>
  <c r="R101"/>
  <c r="R36"/>
  <c r="R90"/>
  <c r="R30"/>
  <c r="R40"/>
  <c r="R97"/>
  <c r="R43"/>
  <c r="R78"/>
  <c r="R96"/>
  <c r="R75"/>
  <c r="R62"/>
  <c r="R66"/>
  <c r="R21"/>
  <c r="R94"/>
  <c r="R58"/>
  <c r="R64"/>
  <c r="R29"/>
  <c r="R46"/>
  <c r="R23"/>
  <c r="R68"/>
  <c r="R60"/>
  <c r="R53"/>
  <c r="R47"/>
  <c r="R93"/>
  <c r="R33"/>
  <c r="R52"/>
  <c r="R45"/>
  <c r="R100"/>
  <c r="R42"/>
  <c r="S78" l="1"/>
  <c r="S25"/>
  <c r="S97"/>
  <c r="S43"/>
  <c r="S38"/>
  <c r="S27"/>
  <c r="S40"/>
  <c r="T18"/>
  <c r="S60"/>
  <c r="S39"/>
  <c r="S57"/>
  <c r="S49"/>
  <c r="S99"/>
  <c r="S101"/>
  <c r="S88"/>
  <c r="S33"/>
  <c r="S67"/>
  <c r="S45"/>
  <c r="S30"/>
  <c r="S24"/>
  <c r="S103"/>
  <c r="S83"/>
  <c r="S46"/>
  <c r="S100"/>
  <c r="S31"/>
  <c r="S73"/>
  <c r="S84"/>
  <c r="S76"/>
  <c r="S19"/>
  <c r="S34"/>
  <c r="S64"/>
  <c r="S63"/>
  <c r="S55"/>
  <c r="S86"/>
  <c r="S71"/>
  <c r="S102"/>
  <c r="S50"/>
  <c r="S98"/>
  <c r="S44"/>
  <c r="S22"/>
  <c r="S54"/>
  <c r="S59"/>
  <c r="S92"/>
  <c r="S95"/>
  <c r="S72"/>
  <c r="S74"/>
  <c r="S26"/>
  <c r="S62"/>
  <c r="S65"/>
  <c r="S42"/>
  <c r="S20"/>
  <c r="S37"/>
  <c r="S70"/>
  <c r="S79"/>
  <c r="S80"/>
  <c r="S52"/>
  <c r="S68"/>
  <c r="S28"/>
  <c r="S51"/>
  <c r="S66"/>
  <c r="S77"/>
  <c r="S75"/>
  <c r="S35"/>
  <c r="S87"/>
  <c r="S85"/>
  <c r="S41"/>
  <c r="S47"/>
  <c r="S96"/>
  <c r="S32"/>
  <c r="S69"/>
  <c r="S53"/>
  <c r="S48"/>
  <c r="S21"/>
  <c r="S94"/>
  <c r="S56"/>
  <c r="S91"/>
  <c r="S29"/>
  <c r="S61"/>
  <c r="S90"/>
  <c r="S23"/>
  <c r="S58"/>
  <c r="S93"/>
  <c r="S89"/>
  <c r="S36"/>
  <c r="T36" l="1"/>
  <c r="T56"/>
  <c r="T48"/>
  <c r="T72"/>
  <c r="T27"/>
  <c r="T46"/>
  <c r="T31"/>
  <c r="T76"/>
  <c r="T40"/>
  <c r="T49"/>
  <c r="T32"/>
  <c r="T57"/>
  <c r="T99"/>
  <c r="T24"/>
  <c r="T21"/>
  <c r="T22"/>
  <c r="U18"/>
  <c r="T95"/>
  <c r="T28"/>
  <c r="T100"/>
  <c r="T68"/>
  <c r="T30"/>
  <c r="T92"/>
  <c r="T98"/>
  <c r="T50"/>
  <c r="T91"/>
  <c r="T41"/>
  <c r="T94"/>
  <c r="T75"/>
  <c r="T74"/>
  <c r="T66"/>
  <c r="T34"/>
  <c r="T62"/>
  <c r="T71"/>
  <c r="T29"/>
  <c r="T101"/>
  <c r="T85"/>
  <c r="T42"/>
  <c r="T55"/>
  <c r="T93"/>
  <c r="T60"/>
  <c r="T44"/>
  <c r="T61"/>
  <c r="T90"/>
  <c r="T64"/>
  <c r="T26"/>
  <c r="T73"/>
  <c r="T23"/>
  <c r="T38"/>
  <c r="T35"/>
  <c r="T87"/>
  <c r="T33"/>
  <c r="T103"/>
  <c r="T52"/>
  <c r="T59"/>
  <c r="T84"/>
  <c r="T102"/>
  <c r="T83"/>
  <c r="T51"/>
  <c r="T65"/>
  <c r="T96"/>
  <c r="T77"/>
  <c r="T47"/>
  <c r="T67"/>
  <c r="T39"/>
  <c r="T80"/>
  <c r="T79"/>
  <c r="T45"/>
  <c r="T69"/>
  <c r="T53"/>
  <c r="T58"/>
  <c r="T63"/>
  <c r="T97"/>
  <c r="T19"/>
  <c r="T20"/>
  <c r="T37"/>
  <c r="T86"/>
  <c r="T43"/>
  <c r="T25"/>
  <c r="T78"/>
  <c r="T54"/>
  <c r="T88"/>
  <c r="T70"/>
  <c r="T89"/>
  <c r="U57" l="1"/>
  <c r="U21"/>
  <c r="U39"/>
  <c r="U91"/>
  <c r="U23"/>
  <c r="U87"/>
  <c r="U27"/>
  <c r="U97"/>
  <c r="U19"/>
  <c r="U25"/>
  <c r="U64"/>
  <c r="U43"/>
  <c r="U80"/>
  <c r="U89"/>
  <c r="U36"/>
  <c r="U79"/>
  <c r="U88"/>
  <c r="U60"/>
  <c r="U38"/>
  <c r="U94"/>
  <c r="U48"/>
  <c r="U31"/>
  <c r="U101"/>
  <c r="U90"/>
  <c r="U67"/>
  <c r="U84"/>
  <c r="U86"/>
  <c r="U72"/>
  <c r="U62"/>
  <c r="U52"/>
  <c r="U58"/>
  <c r="U70"/>
  <c r="U28"/>
  <c r="U92"/>
  <c r="U46"/>
  <c r="U71"/>
  <c r="U100"/>
  <c r="U32"/>
  <c r="U34"/>
  <c r="U54"/>
  <c r="U102"/>
  <c r="U26"/>
  <c r="U61"/>
  <c r="U68"/>
  <c r="U65"/>
  <c r="U44"/>
  <c r="V18"/>
  <c r="U47"/>
  <c r="U20"/>
  <c r="U95"/>
  <c r="U66"/>
  <c r="U69"/>
  <c r="U85"/>
  <c r="U42"/>
  <c r="U45"/>
  <c r="U33"/>
  <c r="U75"/>
  <c r="U76"/>
  <c r="U93"/>
  <c r="U78"/>
  <c r="U49"/>
  <c r="U55"/>
  <c r="U98"/>
  <c r="U35"/>
  <c r="U40"/>
  <c r="U41"/>
  <c r="U74"/>
  <c r="U51"/>
  <c r="U63"/>
  <c r="U22"/>
  <c r="U56"/>
  <c r="U73"/>
  <c r="U24"/>
  <c r="U103"/>
  <c r="U77"/>
  <c r="U30"/>
  <c r="U99"/>
  <c r="U53"/>
  <c r="U96"/>
  <c r="U37"/>
  <c r="U29"/>
  <c r="U83"/>
  <c r="U59"/>
  <c r="U50"/>
  <c r="V52" l="1"/>
  <c r="V21"/>
  <c r="V88"/>
  <c r="V94"/>
  <c r="V97"/>
  <c r="V56"/>
  <c r="V83"/>
  <c r="V87"/>
  <c r="V69"/>
  <c r="V99"/>
  <c r="V38"/>
  <c r="V19"/>
  <c r="V36"/>
  <c r="V78"/>
  <c r="V67"/>
  <c r="V45"/>
  <c r="V92"/>
  <c r="V43"/>
  <c r="V26"/>
  <c r="V34"/>
  <c r="V49"/>
  <c r="V74"/>
  <c r="V30"/>
  <c r="V29"/>
  <c r="V96"/>
  <c r="V66"/>
  <c r="V33"/>
  <c r="V55"/>
  <c r="V37"/>
  <c r="V57"/>
  <c r="V54"/>
  <c r="V98"/>
  <c r="V91"/>
  <c r="V48"/>
  <c r="V71"/>
  <c r="V100"/>
  <c r="V27"/>
  <c r="V86"/>
  <c r="V90"/>
  <c r="V23"/>
  <c r="V25"/>
  <c r="V95"/>
  <c r="V76"/>
  <c r="V70"/>
  <c r="V31"/>
  <c r="V64"/>
  <c r="V24"/>
  <c r="V22"/>
  <c r="V44"/>
  <c r="V72"/>
  <c r="V32"/>
  <c r="V35"/>
  <c r="V41"/>
  <c r="V75"/>
  <c r="W18"/>
  <c r="V85"/>
  <c r="V65"/>
  <c r="V77"/>
  <c r="V39"/>
  <c r="V20"/>
  <c r="V42"/>
  <c r="V50"/>
  <c r="V89"/>
  <c r="V40"/>
  <c r="V59"/>
  <c r="V51"/>
  <c r="V73"/>
  <c r="V79"/>
  <c r="V80"/>
  <c r="V68"/>
  <c r="V53"/>
  <c r="V46"/>
  <c r="V102"/>
  <c r="V84"/>
  <c r="V58"/>
  <c r="V101"/>
  <c r="V62"/>
  <c r="V61"/>
  <c r="V93"/>
  <c r="V103"/>
  <c r="V47"/>
  <c r="V63"/>
  <c r="V28"/>
  <c r="V60"/>
  <c r="W40" l="1"/>
  <c r="W64"/>
  <c r="W48"/>
  <c r="W51"/>
  <c r="W86"/>
  <c r="W53"/>
  <c r="W22"/>
  <c r="W57"/>
  <c r="W70"/>
  <c r="W60"/>
  <c r="W21"/>
  <c r="W56"/>
  <c r="W99"/>
  <c r="W20"/>
  <c r="W92"/>
  <c r="W96"/>
  <c r="W31"/>
  <c r="W103"/>
  <c r="W90"/>
  <c r="W33"/>
  <c r="W42"/>
  <c r="W46"/>
  <c r="W28"/>
  <c r="W36"/>
  <c r="W62"/>
  <c r="W69"/>
  <c r="W23"/>
  <c r="W25"/>
  <c r="W68"/>
  <c r="W43"/>
  <c r="W37"/>
  <c r="W76"/>
  <c r="W38"/>
  <c r="W80"/>
  <c r="W93"/>
  <c r="W72"/>
  <c r="W59"/>
  <c r="W97"/>
  <c r="W94"/>
  <c r="W32"/>
  <c r="W85"/>
  <c r="W26"/>
  <c r="W52"/>
  <c r="W75"/>
  <c r="W100"/>
  <c r="W71"/>
  <c r="W19"/>
  <c r="W87"/>
  <c r="W67"/>
  <c r="W54"/>
  <c r="W35"/>
  <c r="W88"/>
  <c r="W74"/>
  <c r="W65"/>
  <c r="W78"/>
  <c r="W89"/>
  <c r="W34"/>
  <c r="W102"/>
  <c r="W27"/>
  <c r="W91"/>
  <c r="W95"/>
  <c r="W84"/>
  <c r="W47"/>
  <c r="W41"/>
  <c r="W61"/>
  <c r="W73"/>
  <c r="W77"/>
  <c r="W66"/>
  <c r="W83"/>
  <c r="W98"/>
  <c r="W29"/>
  <c r="W79"/>
  <c r="W39"/>
  <c r="W30"/>
  <c r="W24"/>
  <c r="W101"/>
  <c r="W44"/>
  <c r="W45"/>
  <c r="W58"/>
  <c r="W63"/>
  <c r="W49"/>
  <c r="W50"/>
  <c r="W55"/>
  <c r="H41" i="20" l="1"/>
  <c r="I64" l="1"/>
  <c r="H67" l="1"/>
  <c r="H59" l="1"/>
  <c r="H58" l="1"/>
  <c r="I58" l="1"/>
  <c r="H60" l="1"/>
  <c r="H80" l="1"/>
  <c r="H79" l="1"/>
  <c r="H89" l="1"/>
  <c r="I79"/>
  <c r="I89" l="1"/>
  <c r="H92" l="1"/>
  <c r="H90" l="1"/>
  <c r="H54" l="1"/>
  <c r="I54" l="1"/>
  <c r="H55" l="1"/>
  <c r="J6" l="1"/>
  <c r="K5" s="1"/>
  <c r="H34" l="1"/>
  <c r="I34" l="1"/>
  <c r="H37" l="1"/>
  <c r="H77" l="1"/>
  <c r="H76" l="1"/>
  <c r="I76" s="1"/>
  <c r="N4" s="1"/>
  <c r="N5" s="1"/>
  <c r="N6" s="1"/>
  <c r="H43" l="1"/>
  <c r="H12" l="1"/>
  <c r="H13" l="1"/>
  <c r="H6" s="1"/>
</calcChain>
</file>

<file path=xl/comments1.xml><?xml version="1.0" encoding="utf-8"?>
<comments xmlns="http://schemas.openxmlformats.org/spreadsheetml/2006/main">
  <authors>
    <author>Kevin Smit</author>
  </authors>
  <commentList>
    <comment ref="A11" authorId="0">
      <text>
        <r>
          <rPr>
            <b/>
            <sz val="9"/>
            <color indexed="81"/>
            <rFont val="Tahoma"/>
            <family val="2"/>
          </rPr>
          <t xml:space="preserve">Kevin Smit: </t>
        </r>
        <r>
          <rPr>
            <sz val="9"/>
            <color indexed="81"/>
            <rFont val="Tahoma"/>
            <family val="2"/>
          </rPr>
          <t>Use dropdown list.  These are BPA end-uses</t>
        </r>
      </text>
    </comment>
  </commentList>
</comments>
</file>

<file path=xl/comments2.xml><?xml version="1.0" encoding="utf-8"?>
<comments xmlns="http://schemas.openxmlformats.org/spreadsheetml/2006/main">
  <authors>
    <author>Charlie Grist</author>
  </authors>
  <commentList>
    <comment ref="AP104" authorId="0">
      <text>
        <r>
          <rPr>
            <b/>
            <sz val="8"/>
            <color indexed="81"/>
            <rFont val="Tahoma"/>
            <family val="2"/>
          </rPr>
          <t>Charlie Grist:</t>
        </r>
        <r>
          <rPr>
            <sz val="8"/>
            <color indexed="81"/>
            <rFont val="Tahoma"/>
            <family val="2"/>
          </rPr>
          <t xml:space="preserve">
Only Applies to Hoods over 2hp</t>
        </r>
      </text>
    </comment>
    <comment ref="AP105" authorId="0">
      <text>
        <r>
          <rPr>
            <b/>
            <sz val="11"/>
            <color indexed="81"/>
            <rFont val="Tahoma"/>
            <family val="2"/>
          </rPr>
          <t>Charlie Grist:</t>
        </r>
        <r>
          <rPr>
            <sz val="11"/>
            <color indexed="81"/>
            <rFont val="Tahoma"/>
            <family val="2"/>
          </rPr>
          <t xml:space="preserve">
Primarily for existing parking structures.  Measure is in code for new parking structures.  
Enclosed parking, estimates from CBECS as fraction of other:  2% of total floor area in 1992 was parking garages. Assume half are venilated. 
</t>
        </r>
      </text>
    </comment>
  </commentList>
</comments>
</file>

<file path=xl/comments3.xml><?xml version="1.0" encoding="utf-8"?>
<comments xmlns="http://schemas.openxmlformats.org/spreadsheetml/2006/main">
  <authors>
    <author>Charlie Grist</author>
  </authors>
  <commentList>
    <comment ref="B1" authorId="0">
      <text>
        <r>
          <rPr>
            <b/>
            <sz val="8"/>
            <color indexed="81"/>
            <rFont val="Tahoma"/>
            <family val="2"/>
          </rPr>
          <t>Charlie Grist:</t>
        </r>
        <r>
          <rPr>
            <sz val="8"/>
            <color indexed="81"/>
            <rFont val="Tahoma"/>
            <family val="2"/>
          </rPr>
          <t xml:space="preserve">
Fraction of floorspace that is assumed to adopt measure in forecast, or 
Current penetration of measure/practice, or 
Penetration of new code/standard. 
Future measure adoption rate absent programatic intervention.</t>
        </r>
      </text>
    </comment>
    <comment ref="J12" authorId="0">
      <text>
        <r>
          <rPr>
            <b/>
            <sz val="8"/>
            <color indexed="81"/>
            <rFont val="Tahoma"/>
            <family val="2"/>
          </rPr>
          <t>Charlie Grist:</t>
        </r>
        <r>
          <rPr>
            <sz val="8"/>
            <color indexed="81"/>
            <rFont val="Tahoma"/>
            <family val="2"/>
          </rPr>
          <t xml:space="preserve">
Signif portion due to WA Sustainable Schools Protocol.  Verify with NBI.</t>
        </r>
      </text>
    </comment>
  </commentList>
</comments>
</file>

<file path=xl/comments4.xml><?xml version="1.0" encoding="utf-8"?>
<comments xmlns="http://schemas.openxmlformats.org/spreadsheetml/2006/main">
  <authors>
    <author>Charlie Grist</author>
  </authors>
  <commentList>
    <comment ref="F12" authorId="0">
      <text>
        <r>
          <rPr>
            <b/>
            <sz val="8"/>
            <color indexed="81"/>
            <rFont val="Tahoma"/>
            <family val="2"/>
          </rPr>
          <t>Charlie Grist:</t>
        </r>
        <r>
          <rPr>
            <sz val="8"/>
            <color indexed="81"/>
            <rFont val="Tahoma"/>
            <family val="2"/>
          </rPr>
          <t xml:space="preserve">
From weights2</t>
        </r>
      </text>
    </comment>
    <comment ref="F16" authorId="0">
      <text>
        <r>
          <rPr>
            <b/>
            <sz val="8"/>
            <color indexed="81"/>
            <rFont val="Tahoma"/>
            <family val="2"/>
          </rPr>
          <t>Charlie Grist:</t>
        </r>
        <r>
          <rPr>
            <sz val="8"/>
            <color indexed="81"/>
            <rFont val="Tahoma"/>
            <family val="2"/>
          </rPr>
          <t xml:space="preserve">
From weights2.  This column also used by the commissioning measures.</t>
        </r>
      </text>
    </comment>
  </commentList>
</comments>
</file>

<file path=xl/comments5.xml><?xml version="1.0" encoding="utf-8"?>
<comments xmlns="http://schemas.openxmlformats.org/spreadsheetml/2006/main">
  <authors>
    <author>Kevin Smit</author>
    <author>Charlie Grist</author>
  </authors>
  <commentList>
    <comment ref="K22" authorId="0">
      <text>
        <r>
          <rPr>
            <b/>
            <sz val="9"/>
            <color indexed="81"/>
            <rFont val="Tahoma"/>
            <family val="2"/>
          </rPr>
          <t>Kevin Smit:</t>
        </r>
        <r>
          <rPr>
            <sz val="9"/>
            <color indexed="81"/>
            <rFont val="Tahoma"/>
            <family val="2"/>
          </rPr>
          <t xml:space="preserve">
From 6P</t>
        </r>
      </text>
    </comment>
    <comment ref="Q22" authorId="0">
      <text>
        <r>
          <rPr>
            <b/>
            <sz val="9"/>
            <color indexed="81"/>
            <rFont val="Tahoma"/>
            <family val="2"/>
          </rPr>
          <t>Kevin Smit:</t>
        </r>
        <r>
          <rPr>
            <sz val="9"/>
            <color indexed="81"/>
            <rFont val="Tahoma"/>
            <family val="2"/>
          </rPr>
          <t xml:space="preserve">
From 6P</t>
        </r>
      </text>
    </comment>
    <comment ref="B26" authorId="0">
      <text>
        <r>
          <rPr>
            <b/>
            <sz val="9"/>
            <color indexed="81"/>
            <rFont val="Tahoma"/>
            <family val="2"/>
          </rPr>
          <t>Kevin Smit:</t>
        </r>
        <r>
          <rPr>
            <sz val="9"/>
            <color indexed="81"/>
            <rFont val="Tahoma"/>
            <family val="2"/>
          </rPr>
          <t xml:space="preserve">
Used for the Com-EM measure</t>
        </r>
      </text>
    </comment>
    <comment ref="B30" authorId="1">
      <text>
        <r>
          <rPr>
            <b/>
            <sz val="8"/>
            <color indexed="81"/>
            <rFont val="Tahoma"/>
            <family val="2"/>
          </rPr>
          <t>Charlie Grist:</t>
        </r>
        <r>
          <rPr>
            <sz val="8"/>
            <color indexed="81"/>
            <rFont val="Tahoma"/>
            <family val="2"/>
          </rPr>
          <t xml:space="preserve">
These are weighted for fraction of cooled floor area.</t>
        </r>
      </text>
    </comment>
    <comment ref="B31" authorId="1">
      <text>
        <r>
          <rPr>
            <b/>
            <sz val="8"/>
            <color indexed="81"/>
            <rFont val="Tahoma"/>
            <family val="2"/>
          </rPr>
          <t>Charlie Grist:</t>
        </r>
        <r>
          <rPr>
            <sz val="8"/>
            <color indexed="81"/>
            <rFont val="Tahoma"/>
            <family val="2"/>
          </rPr>
          <t xml:space="preserve">
These are weighted for fraction of cooled floor area.</t>
        </r>
      </text>
    </comment>
    <comment ref="B32" authorId="1">
      <text>
        <r>
          <rPr>
            <b/>
            <sz val="8"/>
            <color indexed="81"/>
            <rFont val="Tahoma"/>
            <family val="2"/>
          </rPr>
          <t>Charlie Grist:</t>
        </r>
        <r>
          <rPr>
            <sz val="8"/>
            <color indexed="81"/>
            <rFont val="Tahoma"/>
            <family val="2"/>
          </rPr>
          <t xml:space="preserve">
These are weighted for fraction of cooled floor area.</t>
        </r>
      </text>
    </comment>
    <comment ref="B39" authorId="1">
      <text>
        <r>
          <rPr>
            <b/>
            <sz val="9"/>
            <color indexed="81"/>
            <rFont val="Tahoma"/>
            <family val="2"/>
          </rPr>
          <t>Charlie Grist:</t>
        </r>
        <r>
          <rPr>
            <sz val="9"/>
            <color indexed="81"/>
            <rFont val="Tahoma"/>
            <family val="2"/>
          </rPr>
          <t xml:space="preserve">
Source CBSA 2014, All vintages, all sizes, urban &amp; rural</t>
        </r>
      </text>
    </comment>
    <comment ref="K67" authorId="1">
      <text>
        <r>
          <rPr>
            <b/>
            <sz val="9"/>
            <color indexed="81"/>
            <rFont val="Tahoma"/>
            <family val="2"/>
          </rPr>
          <t>Charlie Grist:</t>
        </r>
        <r>
          <rPr>
            <sz val="9"/>
            <color indexed="81"/>
            <rFont val="Tahoma"/>
            <family val="2"/>
          </rPr>
          <t xml:space="preserve">
No data from CBSA.  Use 6P Values.</t>
        </r>
      </text>
    </comment>
    <comment ref="Q67" authorId="1">
      <text>
        <r>
          <rPr>
            <b/>
            <sz val="9"/>
            <color indexed="81"/>
            <rFont val="Tahoma"/>
            <family val="2"/>
          </rPr>
          <t>Charlie Grist:</t>
        </r>
        <r>
          <rPr>
            <sz val="9"/>
            <color indexed="81"/>
            <rFont val="Tahoma"/>
            <family val="2"/>
          </rPr>
          <t xml:space="preserve">
No data from CBSA.  Use 6P Values.</t>
        </r>
      </text>
    </comment>
    <comment ref="K68" authorId="1">
      <text>
        <r>
          <rPr>
            <b/>
            <sz val="9"/>
            <color indexed="81"/>
            <rFont val="Tahoma"/>
            <family val="2"/>
          </rPr>
          <t>Charlie Grist:</t>
        </r>
        <r>
          <rPr>
            <sz val="9"/>
            <color indexed="81"/>
            <rFont val="Tahoma"/>
            <family val="2"/>
          </rPr>
          <t xml:space="preserve">
No data from CBSA.  Use 6P Values.</t>
        </r>
      </text>
    </comment>
    <comment ref="Q68" authorId="1">
      <text>
        <r>
          <rPr>
            <b/>
            <sz val="9"/>
            <color indexed="81"/>
            <rFont val="Tahoma"/>
            <family val="2"/>
          </rPr>
          <t>Charlie Grist:</t>
        </r>
        <r>
          <rPr>
            <sz val="9"/>
            <color indexed="81"/>
            <rFont val="Tahoma"/>
            <family val="2"/>
          </rPr>
          <t xml:space="preserve">
No data from CBSA.  Use 6P Values.</t>
        </r>
      </text>
    </comment>
    <comment ref="K69" authorId="1">
      <text>
        <r>
          <rPr>
            <b/>
            <sz val="9"/>
            <color indexed="81"/>
            <rFont val="Tahoma"/>
            <family val="2"/>
          </rPr>
          <t>Charlie Grist:</t>
        </r>
        <r>
          <rPr>
            <sz val="9"/>
            <color indexed="81"/>
            <rFont val="Tahoma"/>
            <family val="2"/>
          </rPr>
          <t xml:space="preserve">
No data from CBSA.  Use 6P Values.</t>
        </r>
      </text>
    </comment>
    <comment ref="Q69" authorId="1">
      <text>
        <r>
          <rPr>
            <b/>
            <sz val="9"/>
            <color indexed="81"/>
            <rFont val="Tahoma"/>
            <family val="2"/>
          </rPr>
          <t>Charlie Grist:</t>
        </r>
        <r>
          <rPr>
            <sz val="9"/>
            <color indexed="81"/>
            <rFont val="Tahoma"/>
            <family val="2"/>
          </rPr>
          <t xml:space="preserve">
No data from CBSA.  Use 6P Values.</t>
        </r>
      </text>
    </comment>
    <comment ref="K70" authorId="0">
      <text>
        <r>
          <rPr>
            <b/>
            <sz val="9"/>
            <color indexed="81"/>
            <rFont val="Tahoma"/>
            <family val="2"/>
          </rPr>
          <t>Kevin Smit:</t>
        </r>
        <r>
          <rPr>
            <sz val="9"/>
            <color indexed="81"/>
            <rFont val="Tahoma"/>
            <family val="2"/>
          </rPr>
          <t xml:space="preserve">
From 6P</t>
        </r>
      </text>
    </comment>
    <comment ref="Q70" authorId="0">
      <text>
        <r>
          <rPr>
            <b/>
            <sz val="9"/>
            <color indexed="81"/>
            <rFont val="Tahoma"/>
            <family val="2"/>
          </rPr>
          <t>Kevin Smit:</t>
        </r>
        <r>
          <rPr>
            <sz val="9"/>
            <color indexed="81"/>
            <rFont val="Tahoma"/>
            <family val="2"/>
          </rPr>
          <t xml:space="preserve">
from 6P</t>
        </r>
      </text>
    </comment>
    <comment ref="Q71" authorId="0">
      <text>
        <r>
          <rPr>
            <b/>
            <sz val="9"/>
            <color indexed="81"/>
            <rFont val="Tahoma"/>
            <family val="2"/>
          </rPr>
          <t>Kevin Smit:</t>
        </r>
        <r>
          <rPr>
            <sz val="9"/>
            <color indexed="81"/>
            <rFont val="Tahoma"/>
            <family val="2"/>
          </rPr>
          <t xml:space="preserve">
This category may no longer be used</t>
        </r>
      </text>
    </comment>
    <comment ref="B74" authorId="0">
      <text>
        <r>
          <rPr>
            <b/>
            <sz val="9"/>
            <color indexed="81"/>
            <rFont val="Tahoma"/>
            <family val="2"/>
          </rPr>
          <t>Kevin Smit:</t>
        </r>
        <r>
          <rPr>
            <sz val="9"/>
            <color indexed="81"/>
            <rFont val="Tahoma"/>
            <family val="2"/>
          </rPr>
          <t xml:space="preserve">
Used for the Com-EM measure.  This is the share of conditioned sf.</t>
        </r>
      </text>
    </comment>
    <comment ref="B78" authorId="1">
      <text>
        <r>
          <rPr>
            <b/>
            <sz val="8"/>
            <color indexed="81"/>
            <rFont val="Tahoma"/>
            <family val="2"/>
          </rPr>
          <t>Charlie Grist:</t>
        </r>
        <r>
          <rPr>
            <sz val="8"/>
            <color indexed="81"/>
            <rFont val="Tahoma"/>
            <family val="2"/>
          </rPr>
          <t xml:space="preserve">
These are weighted for fraction of cooled floor area.</t>
        </r>
      </text>
    </comment>
    <comment ref="B79" authorId="1">
      <text>
        <r>
          <rPr>
            <b/>
            <sz val="8"/>
            <color indexed="81"/>
            <rFont val="Tahoma"/>
            <family val="2"/>
          </rPr>
          <t>Charlie Grist:</t>
        </r>
        <r>
          <rPr>
            <sz val="8"/>
            <color indexed="81"/>
            <rFont val="Tahoma"/>
            <family val="2"/>
          </rPr>
          <t xml:space="preserve">
These are weighted for fraction of cooled floor area.</t>
        </r>
      </text>
    </comment>
    <comment ref="B80" authorId="1">
      <text>
        <r>
          <rPr>
            <b/>
            <sz val="8"/>
            <color indexed="81"/>
            <rFont val="Tahoma"/>
            <family val="2"/>
          </rPr>
          <t>Charlie Grist:</t>
        </r>
        <r>
          <rPr>
            <sz val="8"/>
            <color indexed="81"/>
            <rFont val="Tahoma"/>
            <family val="2"/>
          </rPr>
          <t xml:space="preserve">
These are weighted for fraction of cooled floor area.</t>
        </r>
      </text>
    </comment>
    <comment ref="B87" authorId="1">
      <text>
        <r>
          <rPr>
            <b/>
            <sz val="9"/>
            <color indexed="81"/>
            <rFont val="Tahoma"/>
            <family val="2"/>
          </rPr>
          <t>Charlie Grist:</t>
        </r>
        <r>
          <rPr>
            <sz val="9"/>
            <color indexed="81"/>
            <rFont val="Tahoma"/>
            <family val="2"/>
          </rPr>
          <t xml:space="preserve">
Source CBSA 2014, All vintages, urban &amp; rura, by size class specifiedl</t>
        </r>
      </text>
    </comment>
    <comment ref="B101" authorId="0">
      <text>
        <r>
          <rPr>
            <b/>
            <sz val="9"/>
            <color indexed="81"/>
            <rFont val="Tahoma"/>
            <family val="2"/>
          </rPr>
          <t>Kevin Smit:</t>
        </r>
        <r>
          <rPr>
            <sz val="9"/>
            <color indexed="81"/>
            <rFont val="Tahoma"/>
            <family val="2"/>
          </rPr>
          <t xml:space="preserve">
Applicability for DHP from CBSA. Buildings &lt;20K sf, no existing HP, electric heat, single zone</t>
        </r>
      </text>
    </comment>
  </commentList>
</comments>
</file>

<file path=xl/comments6.xml><?xml version="1.0" encoding="utf-8"?>
<comments xmlns="http://schemas.openxmlformats.org/spreadsheetml/2006/main">
  <authors>
    <author>Charlie Grist</author>
  </authors>
  <commentList>
    <comment ref="A12" authorId="0">
      <text>
        <r>
          <rPr>
            <b/>
            <sz val="8"/>
            <color indexed="81"/>
            <rFont val="Tahoma"/>
            <family val="2"/>
          </rPr>
          <t>Charlie Grist:</t>
        </r>
        <r>
          <rPr>
            <sz val="8"/>
            <color indexed="81"/>
            <rFont val="Tahoma"/>
            <family val="2"/>
          </rPr>
          <t xml:space="preserve">
Includes derate for uncooled area
</t>
        </r>
      </text>
    </comment>
  </commentList>
</comments>
</file>

<file path=xl/comments7.xml><?xml version="1.0" encoding="utf-8"?>
<comments xmlns="http://schemas.openxmlformats.org/spreadsheetml/2006/main">
  <authors>
    <author>Charlie Grist</author>
  </authors>
  <commentList>
    <comment ref="A2" authorId="0">
      <text>
        <r>
          <rPr>
            <b/>
            <sz val="8"/>
            <color indexed="81"/>
            <rFont val="Tahoma"/>
            <family val="2"/>
          </rPr>
          <t>Charlie Grist:</t>
        </r>
        <r>
          <rPr>
            <sz val="8"/>
            <color indexed="81"/>
            <rFont val="Tahoma"/>
            <family val="2"/>
          </rPr>
          <t xml:space="preserve">
End use estimates are judgments based on data from CBSA, CBECS, DOE 2.2e simulations by Kennedy, energy audits and other sources. Represents 2002 stock. 
CBSA, CBECS data areused to control totals. DOE2 model, audit data, and CBSA lighting power density data  used to estimates end use. 
These are stock average estimates and do not represent individual buildings. The range within buildings types is tremendous. EUIs by vintage show considerable range not represented here. 
</t>
        </r>
      </text>
    </comment>
    <comment ref="F31" authorId="0">
      <text>
        <r>
          <rPr>
            <b/>
            <sz val="8"/>
            <color indexed="81"/>
            <rFont val="Tahoma"/>
            <family val="2"/>
          </rPr>
          <t>Charlie Grist:</t>
        </r>
        <r>
          <rPr>
            <sz val="8"/>
            <color indexed="81"/>
            <rFont val="Tahoma"/>
            <family val="2"/>
          </rPr>
          <t xml:space="preserve">
Half the Big Box are 50% grocery. Take Grocery refrigeration EUI for 50% of floor.
</t>
        </r>
      </text>
    </comment>
    <comment ref="B64" authorId="0">
      <text>
        <r>
          <rPr>
            <b/>
            <sz val="8"/>
            <color indexed="81"/>
            <rFont val="Tahoma"/>
            <family val="2"/>
          </rPr>
          <t>Charlie Grist:</t>
        </r>
        <r>
          <rPr>
            <sz val="8"/>
            <color indexed="81"/>
            <rFont val="Tahoma"/>
            <family val="2"/>
          </rPr>
          <t xml:space="preserve">
These data based on the BSA data set submitted 21 November 2003. </t>
        </r>
      </text>
    </comment>
    <comment ref="B65" authorId="0">
      <text>
        <r>
          <rPr>
            <b/>
            <sz val="8"/>
            <color indexed="81"/>
            <rFont val="Tahoma"/>
            <family val="2"/>
          </rPr>
          <t>Charlie Grist:</t>
        </r>
        <r>
          <rPr>
            <sz val="8"/>
            <color indexed="81"/>
            <rFont val="Tahoma"/>
            <family val="2"/>
          </rPr>
          <t xml:space="preserve">
These data based on the BSA data set submitted 21 November 2003. </t>
        </r>
      </text>
    </comment>
    <comment ref="B66" authorId="0">
      <text>
        <r>
          <rPr>
            <b/>
            <sz val="8"/>
            <color indexed="81"/>
            <rFont val="Tahoma"/>
            <family val="2"/>
          </rPr>
          <t>Charlie Grist:</t>
        </r>
        <r>
          <rPr>
            <sz val="8"/>
            <color indexed="81"/>
            <rFont val="Tahoma"/>
            <family val="2"/>
          </rPr>
          <t xml:space="preserve">
These data based on the BSA data set submitted 21 November 2003. </t>
        </r>
      </text>
    </comment>
    <comment ref="B67" authorId="0">
      <text>
        <r>
          <rPr>
            <b/>
            <sz val="8"/>
            <color indexed="81"/>
            <rFont val="Tahoma"/>
            <family val="2"/>
          </rPr>
          <t>Charlie Grist:</t>
        </r>
        <r>
          <rPr>
            <sz val="8"/>
            <color indexed="81"/>
            <rFont val="Tahoma"/>
            <family val="2"/>
          </rPr>
          <t xml:space="preserve">
These data based on the BSA data set submitted 21 November 2003. </t>
        </r>
      </text>
    </comment>
    <comment ref="B70" authorId="0">
      <text>
        <r>
          <rPr>
            <b/>
            <sz val="8"/>
            <color indexed="81"/>
            <rFont val="Tahoma"/>
            <family val="2"/>
          </rPr>
          <t>Charlie Grist:</t>
        </r>
        <r>
          <rPr>
            <sz val="8"/>
            <color indexed="81"/>
            <rFont val="Tahoma"/>
            <family val="2"/>
          </rPr>
          <t xml:space="preserve">
These data based on the BSA data set submitted 21 November 2003. </t>
        </r>
      </text>
    </comment>
    <comment ref="B71" authorId="0">
      <text>
        <r>
          <rPr>
            <b/>
            <sz val="8"/>
            <color indexed="81"/>
            <rFont val="Tahoma"/>
            <family val="2"/>
          </rPr>
          <t>Charlie Grist:</t>
        </r>
        <r>
          <rPr>
            <sz val="8"/>
            <color indexed="81"/>
            <rFont val="Tahoma"/>
            <family val="2"/>
          </rPr>
          <t xml:space="preserve">
These data based on the BSA data set submitted 21 November 2003. </t>
        </r>
      </text>
    </comment>
    <comment ref="B72" authorId="0">
      <text>
        <r>
          <rPr>
            <b/>
            <sz val="8"/>
            <color indexed="81"/>
            <rFont val="Tahoma"/>
            <family val="2"/>
          </rPr>
          <t>Charlie Grist:</t>
        </r>
        <r>
          <rPr>
            <sz val="8"/>
            <color indexed="81"/>
            <rFont val="Tahoma"/>
            <family val="2"/>
          </rPr>
          <t xml:space="preserve">
These data based on the BSA data set submitted 21 November 2003. </t>
        </r>
      </text>
    </comment>
  </commentList>
</comments>
</file>

<file path=xl/sharedStrings.xml><?xml version="1.0" encoding="utf-8"?>
<sst xmlns="http://schemas.openxmlformats.org/spreadsheetml/2006/main" count="5324" uniqueCount="1168">
  <si>
    <t>Adjustment to LPD to reflect fraction of lights actually on during operating Hours (Effective on-hours LPD)</t>
  </si>
  <si>
    <t>Variable Speed Chiller</t>
  </si>
  <si>
    <t>Enter New Characteristics on the "VARS" tab.</t>
  </si>
  <si>
    <t>Chiller%TYP</t>
  </si>
  <si>
    <t>Chiller system as percentage of Building Type</t>
  </si>
  <si>
    <t>FORECAST</t>
  </si>
  <si>
    <t>Stock characteristics by activity type and building type</t>
  </si>
  <si>
    <t>Windows</t>
  </si>
  <si>
    <t>Multiple measures applied in integrated design practice</t>
  </si>
  <si>
    <t>Lamp, ballast and fixture improvements to lighting power density</t>
  </si>
  <si>
    <t>Perimeter daylighting controls</t>
  </si>
  <si>
    <t>Windows and glazing more efficiecnt that code or standard practice</t>
  </si>
  <si>
    <t>Suite of measures and control strategies for buildings served by package roof top HVAC units</t>
  </si>
  <si>
    <t>Variable speed chillers</t>
  </si>
  <si>
    <t>Grocery store refrigeration measures</t>
  </si>
  <si>
    <t>Efficient parking lot and garage lighting and controls</t>
  </si>
  <si>
    <t>Suite of measures for sewage treatment</t>
  </si>
  <si>
    <t>Suite of measures for water supply systems</t>
  </si>
  <si>
    <t>Demand control ventilation systems for large restaurant hoods</t>
  </si>
  <si>
    <t>Demand control ventilation systems for parking garages</t>
  </si>
  <si>
    <t>Floor area forecast summary used to develop data in CHAR</t>
  </si>
  <si>
    <t xml:space="preserve">Reference EUI from various sources including CBECS &amp; CBSA.  </t>
  </si>
  <si>
    <t>Annaul hours of lighting system operation by Building Type</t>
  </si>
  <si>
    <t>Lighting savings yield for electric heat buildings with cooling weighted for cooling saturation</t>
  </si>
  <si>
    <t>Lighting savings yield for gas or fossil heat buildings with cooling  weighted for cooling saturation</t>
  </si>
  <si>
    <t>Lighting savings yield for heat pump heat buildings with cooling  weighted for cooling saturation</t>
  </si>
  <si>
    <t>LPD baseline to minimum of code or 1995-2001 practice</t>
  </si>
  <si>
    <t>Only fraction beyond switching in code baseline OR</t>
  </si>
  <si>
    <t>Not applicable in Seattle due to code requirement</t>
  </si>
  <si>
    <t>Baseline adjusted to reflect codes</t>
  </si>
  <si>
    <t>LPD baseline to minimum of code or 1995-2001 practice.</t>
  </si>
  <si>
    <t>Assumes marginally-effective economizer in baseline</t>
  </si>
  <si>
    <t>Baseline assumes historic mix of chiller types and modular chiller control</t>
  </si>
  <si>
    <t>Descriptive Name</t>
  </si>
  <si>
    <t>Lighting Power Density</t>
  </si>
  <si>
    <t>Daylighting with Skylights</t>
  </si>
  <si>
    <t>Daylighting with Windows</t>
  </si>
  <si>
    <t>Electically Commutated Motors on Variable Air Volume Boxes</t>
  </si>
  <si>
    <t>Baseline assume partial penetration of measure</t>
  </si>
  <si>
    <t>UnCondArea%TYP</t>
  </si>
  <si>
    <t>Floor area not thermally conditioned by Building Type</t>
  </si>
  <si>
    <t>RTEcono%TYP</t>
  </si>
  <si>
    <t>Fraction of package roof-top units with economizers</t>
  </si>
  <si>
    <t xml:space="preserve">USE FOR ROUGH APPROXIMATION ONLY. UPDATED 3-25-2004 BY CHARLIE GRIST </t>
  </si>
  <si>
    <t>ThermsTYPHeat</t>
  </si>
  <si>
    <t>Assume code ballasts in baseline retrofit</t>
  </si>
  <si>
    <t>Account for smoke hatch in baseline</t>
  </si>
  <si>
    <t>Baseline at code and modular deployment</t>
  </si>
  <si>
    <t>Adjustments Made to Conservation Assessment for Code conditions</t>
  </si>
  <si>
    <t>Measure not in any code baseline</t>
  </si>
  <si>
    <t>Measure dropped due to code</t>
  </si>
  <si>
    <t>File Link</t>
  </si>
  <si>
    <t>Version Date</t>
  </si>
  <si>
    <t>Packaged Refrigeration Equipment</t>
  </si>
  <si>
    <t>Municipal Sewage Treatment</t>
  </si>
  <si>
    <t>Municipal Water Supply</t>
  </si>
  <si>
    <t>Network PC Power Management</t>
  </si>
  <si>
    <t>Baseline adjusted to reflect codes.  Measure baseline excludes 50% of WA=ElecHt, OR&gt;30%glass.</t>
  </si>
  <si>
    <t>OR FloorA%REG</t>
  </si>
  <si>
    <t>Frac Floor w &gt;30% ww ratio</t>
  </si>
  <si>
    <t>OR FloorA Exceed Code</t>
  </si>
  <si>
    <t>WA FloorA%REG</t>
  </si>
  <si>
    <t>Fraction with ElecHt</t>
  </si>
  <si>
    <t>Frac Meet Elec Ht Code</t>
  </si>
  <si>
    <t>WA Floor A Exceed Code</t>
  </si>
  <si>
    <t>Baseline Exceed Code New</t>
  </si>
  <si>
    <t>Region Wide Frac Exceed Target</t>
  </si>
  <si>
    <t>Office Equipment</t>
  </si>
  <si>
    <t>Contents</t>
  </si>
  <si>
    <t>Overview</t>
  </si>
  <si>
    <t>Lookup table for vintage cohort</t>
  </si>
  <si>
    <t>Single Glazed Fraction from CBSA</t>
  </si>
  <si>
    <t>CHAR</t>
  </si>
  <si>
    <t>Lost Opp</t>
  </si>
  <si>
    <t>SC_Retro</t>
  </si>
  <si>
    <t xml:space="preserve">Key characteristics for stock by vintage cohort and building subtype.  Used to develop regional application of measures. </t>
  </si>
  <si>
    <t>FLOOR</t>
  </si>
  <si>
    <t>Characteristics</t>
  </si>
  <si>
    <t>Primary Activity</t>
  </si>
  <si>
    <t>Gross Floor Area</t>
  </si>
  <si>
    <t>Number of Stories</t>
  </si>
  <si>
    <t>Note</t>
  </si>
  <si>
    <t>&gt; 100,000</t>
  </si>
  <si>
    <t>Any</t>
  </si>
  <si>
    <t>20,000 to 100,000</t>
  </si>
  <si>
    <t>&lt; 20,000</t>
  </si>
  <si>
    <t>&gt; 50,000</t>
  </si>
  <si>
    <t>Includes some stores that have groceries inside</t>
  </si>
  <si>
    <t>&lt;50,000</t>
  </si>
  <si>
    <t>and LPD &gt; 2.0 w/sf</t>
  </si>
  <si>
    <t>&gt;1</t>
  </si>
  <si>
    <t>Retail Food</t>
  </si>
  <si>
    <t>&gt; 5000</t>
  </si>
  <si>
    <t>&lt;= 5000</t>
  </si>
  <si>
    <t>Health Care</t>
  </si>
  <si>
    <t>Data Source</t>
  </si>
  <si>
    <t>ACHIEV</t>
  </si>
  <si>
    <t>Fraction of Applicable Measure Available by Year</t>
  </si>
  <si>
    <t>Natural Replacement (NR) Rate, Fraction of Applicable Measure-Specific Equipment in Existing Stock that is Replaced Annually, making the measure applicable at incremental costs and savings similar to New applications.</t>
  </si>
  <si>
    <t>Cooking Equipment</t>
  </si>
  <si>
    <t>Exterior Building Lighting</t>
  </si>
  <si>
    <t>Parking Lighting</t>
  </si>
  <si>
    <t>Lighting Controls Interior</t>
  </si>
  <si>
    <t>Top Daylighting</t>
  </si>
  <si>
    <t>Non-Building Stock</t>
  </si>
  <si>
    <t>Source</t>
  </si>
  <si>
    <t>POST2006</t>
  </si>
  <si>
    <t>CODE</t>
  </si>
  <si>
    <t>MLIST</t>
  </si>
  <si>
    <t>MEAS ID</t>
  </si>
  <si>
    <t>FILES</t>
  </si>
  <si>
    <t>M BUNDLE ID</t>
  </si>
  <si>
    <t>Computer Servers and IT</t>
  </si>
  <si>
    <t>Master Measure List, Bundled Measures</t>
  </si>
  <si>
    <t>ACHIEVE</t>
  </si>
  <si>
    <t>Achievable rate of acquisition for measure bundles by year</t>
  </si>
  <si>
    <t>Measure Bundle Description</t>
  </si>
  <si>
    <t>Number of Measures in Bundle</t>
  </si>
  <si>
    <t>Lookup Value</t>
  </si>
  <si>
    <t>INDIRECT(VLOOKUP(ref,VSTOCK,2,FALSE)</t>
  </si>
  <si>
    <t>V2002_2006</t>
  </si>
  <si>
    <t>BTYPE</t>
  </si>
  <si>
    <t>These Data are Linked to Massoud's Commercial File</t>
  </si>
  <si>
    <t>SumArea</t>
  </si>
  <si>
    <t>Percent</t>
  </si>
  <si>
    <t>FloorA%PRE2006</t>
  </si>
  <si>
    <t xml:space="preserve">Floor Area for Vintage Cohort of PRE2002 Stock </t>
  </si>
  <si>
    <t xml:space="preserve">Floor Area for Vintage Cohort of PRE2006 Stock </t>
  </si>
  <si>
    <t>Vintage Cohort for floorspace stock to which measure characteristics are applicable</t>
  </si>
  <si>
    <t>Commercial square footage Sept 2008.xls</t>
  </si>
  <si>
    <t>Perimeter Daylighting Controls Advanced</t>
  </si>
  <si>
    <t>Low Pressure Distribution Complex HVAC</t>
  </si>
  <si>
    <t>Skylights with lighting controls</t>
  </si>
  <si>
    <t>Supply Curve Worksheet</t>
  </si>
  <si>
    <t>Non-Building Applications</t>
  </si>
  <si>
    <t>power supplies</t>
  </si>
  <si>
    <t>ElecHtComplex%TYP</t>
  </si>
  <si>
    <t>GasHtComplex%TYP</t>
  </si>
  <si>
    <t>HtPmpHtComplex%TYP</t>
  </si>
  <si>
    <t>Floor Area of Electric Space Heat for Complex HVAC Systems as percent for Building Type</t>
  </si>
  <si>
    <t>Floor Area of Fossil Fuel Space Heat  for Complex HVAC Systems as percent for Building Type, includes gas, oil, steam, propane</t>
  </si>
  <si>
    <t>Floor Area of Heat Pump Space Heat for Complex HVAC Systems as percent for Building Type</t>
  </si>
  <si>
    <t>ElecHtSimple%TYP</t>
  </si>
  <si>
    <t>Floor Area of Electric Space Heat for Simple HVAC Systems as percent for Building Type</t>
  </si>
  <si>
    <t>GasHtSimple%TYP</t>
  </si>
  <si>
    <t>Floor Area of Fossil Fuel Space Heat  for Simple HVAC Systems as percent for Building Type, includes gas, oil, steam, propane</t>
  </si>
  <si>
    <t>HtPmpHtSimple%TYP</t>
  </si>
  <si>
    <t>Floor Area of Heat Pump Space Heat for Simple HVAC Systems as percent for Building Type</t>
  </si>
  <si>
    <t>Principal Building Activity</t>
  </si>
  <si>
    <t>Education ....................</t>
  </si>
  <si>
    <t>(*)</t>
  </si>
  <si>
    <t>Food Sales ...................</t>
  </si>
  <si>
    <t>Food Service .................</t>
  </si>
  <si>
    <t>Health Care ..................</t>
  </si>
  <si>
    <t xml:space="preserve">  Inpatient ..................</t>
  </si>
  <si>
    <t xml:space="preserve">  Outpatient .................</t>
  </si>
  <si>
    <t>Lodging ......................</t>
  </si>
  <si>
    <t>Mercantile ...................</t>
  </si>
  <si>
    <t xml:space="preserve">  Retail (Other Than Mall) ...</t>
  </si>
  <si>
    <t xml:space="preserve">  Enclosed and Strip Malls ...</t>
  </si>
  <si>
    <t>Office .......................</t>
  </si>
  <si>
    <t>Public Assembly ..............</t>
  </si>
  <si>
    <t>Public Order and Safety ......</t>
  </si>
  <si>
    <t>Religious Worship ............</t>
  </si>
  <si>
    <t>Service ......................</t>
  </si>
  <si>
    <t>Warehouse and Storage ........</t>
  </si>
  <si>
    <t>Other ........................</t>
  </si>
  <si>
    <t>Vacant .......................</t>
  </si>
  <si>
    <t>Electricity Energy Intensity (kWh/square foot)</t>
  </si>
  <si>
    <t xml:space="preserve">Total  </t>
  </si>
  <si>
    <t>Space Heat-
ing</t>
  </si>
  <si>
    <t>Cool-
ing</t>
  </si>
  <si>
    <t>Venti-
lation</t>
  </si>
  <si>
    <t>Water Heat-
ing</t>
  </si>
  <si>
    <t>Light-
ing</t>
  </si>
  <si>
    <t>Cook-
ing</t>
  </si>
  <si>
    <t>Refrig-
eration</t>
  </si>
  <si>
    <t>Office Equip-
ment</t>
  </si>
  <si>
    <t>Com-
puters</t>
  </si>
  <si>
    <t>CBECS2003</t>
  </si>
  <si>
    <t>Total Natural Gas Consumption
(trillion Btu)</t>
  </si>
  <si>
    <t>Natural Gas Energy Intensity
(thousand Btu/square foot)</t>
  </si>
  <si>
    <t>Space Heating</t>
  </si>
  <si>
    <t>Water Heating</t>
  </si>
  <si>
    <t>Sum EQ, COMP, OTH</t>
  </si>
  <si>
    <t>CBECS2003 Mean US in kWh/sf</t>
  </si>
  <si>
    <t>EUITYP Space Heat Weigheted Elec EUI by Type</t>
  </si>
  <si>
    <t>CBECS1999 - West - AllHt - Mean</t>
  </si>
  <si>
    <t>CBECS1999 - West - AllHt - 95%CI</t>
  </si>
  <si>
    <t>CBECS1999 - US - AllHt - Mean</t>
  </si>
  <si>
    <t>CBECS1999 - US - AllHt - 95%CI</t>
  </si>
  <si>
    <t>HVAC EUI</t>
  </si>
  <si>
    <t>Elec HVAC EUI All Fuel Weighted Btype</t>
  </si>
  <si>
    <t>Elec HVAC EUI All Fuel Weighted Act</t>
  </si>
  <si>
    <t>Status</t>
  </si>
  <si>
    <t>DATA WERE USED IN 5th PLAN HVAC CONTROLS OPTIMIZATION AND COMMISSIONING ESTIMATES.  HERE ONLY AS REFERENCE.</t>
  </si>
  <si>
    <t>CBSA2001 e-EUI Raw - GasHt</t>
  </si>
  <si>
    <t>CBSA2001 e-EUI Corrected - GasHt</t>
  </si>
  <si>
    <t>CBSA2001 e-EUI Raw - GasHt - %ACT</t>
  </si>
  <si>
    <t>CBSA2001 g-EUI Raw - Gas Ht (kBtu/sf)</t>
  </si>
  <si>
    <t>CBSA2001 e-EUI Raw - ElecHt</t>
  </si>
  <si>
    <t>CBSA2001 e-EUI Corrected - ElectHt</t>
  </si>
  <si>
    <t>CBSA2001 e-EUI Raw - ElecHt - %ACT</t>
  </si>
  <si>
    <t>CBSA 2002-2004 New Bldg Gas (kBtu/SF Heat)</t>
  </si>
  <si>
    <t>CBSA 2002-2004 New Bldg Heat Elec Equiv</t>
  </si>
  <si>
    <t>CBSA 2002-2004 New Bldg All Fuel kBtu/sf</t>
  </si>
  <si>
    <t>CBECS2003 Mean US in therms/sf</t>
  </si>
  <si>
    <t>CBSA 2002-2004 New Bldg Elec in kWh/sf</t>
  </si>
  <si>
    <t>CBSA 2002-2004 New Bldg Gas in therms/sf</t>
  </si>
  <si>
    <t>CBSA 2002-2004 New Bldg Elec in kBtu/sf</t>
  </si>
  <si>
    <t>CBSA 2002-2004 New Bldg Gas in kBtu/sf</t>
  </si>
  <si>
    <t>DCV Restaurant Hood</t>
  </si>
  <si>
    <t>Multi-Zone VAV System as percentage of Building Type</t>
  </si>
  <si>
    <t>Multi-Zone VAV System as percentage of Activity Type</t>
  </si>
  <si>
    <t>Factor One:  Technical Achievability</t>
  </si>
  <si>
    <t>ChillerAir%TYP</t>
  </si>
  <si>
    <t>ChillerWater%TYP</t>
  </si>
  <si>
    <t>Row</t>
  </si>
  <si>
    <t>Control of a networked computer's advanced energy management systems</t>
  </si>
  <si>
    <t>Fraction of Chiller-Served Cooling Capacity that is served by Air-Cooled Chiller for HVAC system</t>
  </si>
  <si>
    <t>Fraction of Chiller-Served Cooling Capacity that is served by Water-Cooled Chiller for HVAC system</t>
  </si>
  <si>
    <t>Gas</t>
  </si>
  <si>
    <t>HP</t>
  </si>
  <si>
    <t>Heating HP Equiv</t>
  </si>
  <si>
    <t>Space Heating Elec Equiv</t>
  </si>
  <si>
    <t>NEEA Heat HP Equiv</t>
  </si>
  <si>
    <t>Educ</t>
  </si>
  <si>
    <t>Groc</t>
  </si>
  <si>
    <t>Restau</t>
  </si>
  <si>
    <t>Hosp</t>
  </si>
  <si>
    <t>Oth Heal</t>
  </si>
  <si>
    <t>Lodg</t>
  </si>
  <si>
    <t>Retail Oth</t>
  </si>
  <si>
    <t>Retail Strip</t>
  </si>
  <si>
    <t>Public Ass</t>
  </si>
  <si>
    <t>Public Order</t>
  </si>
  <si>
    <t>WinFloorRatio%TYP</t>
  </si>
  <si>
    <t>DCV Parking Garage</t>
  </si>
  <si>
    <t>Fan control strategies, DCV and Fleet Strategy DOAS with heat recovery in simple HVAC systems</t>
  </si>
  <si>
    <t>Ratio of window area to floor area by Btype</t>
  </si>
  <si>
    <t>Fract Excced Target CBSA New 2002-2004</t>
  </si>
  <si>
    <t>Religious</t>
  </si>
  <si>
    <t>Service</t>
  </si>
  <si>
    <t>Vacant</t>
  </si>
  <si>
    <t>CEUS Gas (kBtu/SF Heat)</t>
  </si>
  <si>
    <t>CEUS Heat Elec Equiv</t>
  </si>
  <si>
    <t>CEUS Heat HP Equiv</t>
  </si>
  <si>
    <t>New</t>
  </si>
  <si>
    <t>NR</t>
  </si>
  <si>
    <t>Retro</t>
  </si>
  <si>
    <t>HVAC</t>
  </si>
  <si>
    <t>Evaporative Assist Cooling</t>
  </si>
  <si>
    <t>Demand Control Ventilation</t>
  </si>
  <si>
    <t>Grocery Refrigeration Bundle</t>
  </si>
  <si>
    <t>End Use</t>
  </si>
  <si>
    <t>VCohort</t>
  </si>
  <si>
    <t>Office</t>
  </si>
  <si>
    <t>Big Box</t>
  </si>
  <si>
    <t>Small Box</t>
  </si>
  <si>
    <t>High End</t>
  </si>
  <si>
    <t>Anchor</t>
  </si>
  <si>
    <t>Retail</t>
  </si>
  <si>
    <t>School</t>
  </si>
  <si>
    <t>K-12</t>
  </si>
  <si>
    <t>Warehouse</t>
  </si>
  <si>
    <t>Grocery</t>
  </si>
  <si>
    <t>Restaurant</t>
  </si>
  <si>
    <t>Lodging</t>
  </si>
  <si>
    <t>Hospital</t>
  </si>
  <si>
    <t>OtherHealth</t>
  </si>
  <si>
    <t>Health</t>
  </si>
  <si>
    <t>MIniMart</t>
  </si>
  <si>
    <t>Other</t>
  </si>
  <si>
    <t>University</t>
  </si>
  <si>
    <t>Large Off</t>
  </si>
  <si>
    <t>Medium Off</t>
  </si>
  <si>
    <t>Small Off</t>
  </si>
  <si>
    <t>Premium HVAC Equipment</t>
  </si>
  <si>
    <t>Supermarket</t>
  </si>
  <si>
    <t>PRE2002</t>
  </si>
  <si>
    <t>POST2002</t>
  </si>
  <si>
    <t>PRE1987</t>
  </si>
  <si>
    <t>BLDGTYPE</t>
  </si>
  <si>
    <t>Base Measure Name</t>
  </si>
  <si>
    <t>Measure Index Name</t>
  </si>
  <si>
    <t>FloorA%REG</t>
  </si>
  <si>
    <t>Variable Name</t>
  </si>
  <si>
    <t>FloorA%TYP</t>
  </si>
  <si>
    <t>Glass</t>
  </si>
  <si>
    <t>ACTIVITY TYPE</t>
  </si>
  <si>
    <t>FloorA%ACT</t>
  </si>
  <si>
    <t>VARS</t>
  </si>
  <si>
    <t>Definition</t>
  </si>
  <si>
    <t>Floor Area of Activity Type as percent of Region</t>
  </si>
  <si>
    <t>Floor Area of Building Type as percent of Activity Type</t>
  </si>
  <si>
    <t>Floor Area of Buiding Type as percent of Region</t>
  </si>
  <si>
    <t>ElecHt%TYP</t>
  </si>
  <si>
    <t>Floor Area of Electric Space Heat as percent for Building Type</t>
  </si>
  <si>
    <t>GasHt%TYP</t>
  </si>
  <si>
    <t>HtPmpHt%TYP</t>
  </si>
  <si>
    <t>Floor Area of Fossil Fuel Space Heat as percent for Building Type, includes gas, oil, steam, propane</t>
  </si>
  <si>
    <t>Floor Area of HEat Pump Space Heat as percent for Building Type</t>
  </si>
  <si>
    <t>Cooling Saturation as percent of Floor Area in Building Type</t>
  </si>
  <si>
    <t>CoolSat%TYP</t>
  </si>
  <si>
    <t>CoolSat%ACT</t>
  </si>
  <si>
    <t>Cooling Saturation as percent of Floor Area in Activity Type</t>
  </si>
  <si>
    <t>FloorA%PRE2002</t>
  </si>
  <si>
    <t>Ecotope Building Type</t>
  </si>
  <si>
    <t>NPPC BUILDTYPE</t>
  </si>
  <si>
    <t>NPPC to Ecotope</t>
  </si>
  <si>
    <t>NPPC Ten</t>
  </si>
  <si>
    <t>Assembly</t>
  </si>
  <si>
    <t>College</t>
  </si>
  <si>
    <t>Hotel</t>
  </si>
  <si>
    <t>Lab</t>
  </si>
  <si>
    <t>Laundry</t>
  </si>
  <si>
    <t>Motel</t>
  </si>
  <si>
    <t>K-13</t>
  </si>
  <si>
    <t>Office - Large</t>
  </si>
  <si>
    <t>Office - Small</t>
  </si>
  <si>
    <t>Rest-Fast Food</t>
  </si>
  <si>
    <t>Rest-Full Serve</t>
  </si>
  <si>
    <t>Retail - Large</t>
  </si>
  <si>
    <t>Retail - Small</t>
  </si>
  <si>
    <t>Retirement</t>
  </si>
  <si>
    <t>School - Primary</t>
  </si>
  <si>
    <t>School - Secondary</t>
  </si>
  <si>
    <t>Workshop</t>
  </si>
  <si>
    <t>Skilled Nursing</t>
  </si>
  <si>
    <t>PackRT%TYP</t>
  </si>
  <si>
    <t>PackRT%ACT</t>
  </si>
  <si>
    <t>Package Roof Top Units as percentage of Building Type</t>
  </si>
  <si>
    <t>Package Roof Top Units as percentage of Activity Type</t>
  </si>
  <si>
    <t>V1987_2001</t>
  </si>
  <si>
    <t>STOCK NAME</t>
  </si>
  <si>
    <t>LINK</t>
  </si>
  <si>
    <t>E_EUITYP</t>
  </si>
  <si>
    <t>E_EUIREG</t>
  </si>
  <si>
    <t>ElecHtEUITYPHeat</t>
  </si>
  <si>
    <t>GasHtEUITYPHeat</t>
  </si>
  <si>
    <t>HtPmpHtEUITYPHeat</t>
  </si>
  <si>
    <t>EUITYPCool</t>
  </si>
  <si>
    <t>EUITYPVent</t>
  </si>
  <si>
    <t>EUITYPWater</t>
  </si>
  <si>
    <t>EUITYPCook</t>
  </si>
  <si>
    <t>EUITYPRefr</t>
  </si>
  <si>
    <t>EUITYPLght</t>
  </si>
  <si>
    <t>EUITYPMisc</t>
  </si>
  <si>
    <t>ElecHtEUITYPTotal</t>
  </si>
  <si>
    <t>GasHtEUITYPTotal</t>
  </si>
  <si>
    <t>HtPmpHtEUITYPTotal</t>
  </si>
  <si>
    <t>LPD</t>
  </si>
  <si>
    <t>HOURSLght</t>
  </si>
  <si>
    <t>KWHLght</t>
  </si>
  <si>
    <t>VPD</t>
  </si>
  <si>
    <t>KWHVent</t>
  </si>
  <si>
    <t>HVACElecHt</t>
  </si>
  <si>
    <t>HVACGasHt</t>
  </si>
  <si>
    <t>HVACHtPmpHt</t>
  </si>
  <si>
    <t>Premium Fume Hood</t>
  </si>
  <si>
    <t>Retrofit</t>
  </si>
  <si>
    <t>Apples to new floor area in year</t>
  </si>
  <si>
    <t>Applies to existing floor area in year taking account of demolition, NR, and baseline measure penetration.</t>
  </si>
  <si>
    <t>Applies at natural replacement of system or component. Replace on Burn Out</t>
  </si>
  <si>
    <t>APPLIC</t>
  </si>
  <si>
    <t>Fraction of floorspace that measure is applicable to.</t>
  </si>
  <si>
    <t>BASE</t>
  </si>
  <si>
    <t>BuiltUp%TYP</t>
  </si>
  <si>
    <t>Built-Up Systems as percentage of Building Type</t>
  </si>
  <si>
    <t>BuiltUp%ACT</t>
  </si>
  <si>
    <t>Built-Up Systems as percentage of Activity Type</t>
  </si>
  <si>
    <t>VAV%TYP</t>
  </si>
  <si>
    <t>VAV%ACT</t>
  </si>
  <si>
    <t>Baseline fraction of floorspace that is assumed to adopt measure in forecast.</t>
  </si>
  <si>
    <t>Use this Syntax for lookup</t>
  </si>
  <si>
    <t>Map to Supporting Files</t>
  </si>
  <si>
    <t>STOCK</t>
  </si>
  <si>
    <t>TURN</t>
  </si>
  <si>
    <t>Variable Names used in Characteristics data</t>
  </si>
  <si>
    <t>Labels</t>
  </si>
  <si>
    <t>Map to building occupancy codes for various sources</t>
  </si>
  <si>
    <t>Lookup</t>
  </si>
  <si>
    <t>Look up table for vintage cohort group</t>
  </si>
  <si>
    <t>EUI</t>
  </si>
  <si>
    <t>Q</t>
  </si>
  <si>
    <t>17 - 21</t>
  </si>
  <si>
    <t>12 - 19</t>
  </si>
  <si>
    <t>7.8 - 9.6</t>
  </si>
  <si>
    <t>5.3 - 7.7</t>
  </si>
  <si>
    <t>37 - 60</t>
  </si>
  <si>
    <t>25 - 43</t>
  </si>
  <si>
    <t xml:space="preserve"> 11 - 14</t>
  </si>
  <si>
    <t>25 - 29</t>
  </si>
  <si>
    <t>14 - 19</t>
  </si>
  <si>
    <t>18 - 31</t>
  </si>
  <si>
    <t>1 - 4.4</t>
  </si>
  <si>
    <t xml:space="preserve">ESTIMATE OF 2002 ELECTRIC EUI BY BUILDING TYPE AND SPACE HEAT FUEL. </t>
  </si>
  <si>
    <t>LSYieldElecHt</t>
  </si>
  <si>
    <t>LSYieldGasHt</t>
  </si>
  <si>
    <t>LSYieldElecHt&amp;AC</t>
  </si>
  <si>
    <t>LSYieldHtPmpHt&amp;AC</t>
  </si>
  <si>
    <t>LSYieldGasHt&amp;AC</t>
  </si>
  <si>
    <t>Lighting savings yield for electric heat buildings with NO cooling</t>
  </si>
  <si>
    <t>Lighting savings yield for gas or fossil heat buildings with NO cooling</t>
  </si>
  <si>
    <t>Lighting savings yield IN THERMS for gas or fossil heat buildings with NO cooling</t>
  </si>
  <si>
    <t>LSYieldThermsGasHt</t>
  </si>
  <si>
    <t>Lighting savings yield IN THERMS for gas or fossil heat buildings with cooling</t>
  </si>
  <si>
    <t>LSYieldThermsGasHt&amp;AC</t>
  </si>
  <si>
    <t>V1987_1994</t>
  </si>
  <si>
    <t>V1995_2001</t>
  </si>
  <si>
    <t>LPD Package</t>
  </si>
  <si>
    <t>LPDAdjust</t>
  </si>
  <si>
    <t>ECM Motors on Variable Air Volume Boxes</t>
  </si>
  <si>
    <t>Fraction of Annual Applicable Measure Stock Achievable</t>
  </si>
  <si>
    <t>Effiicient fume hoods in labs</t>
  </si>
  <si>
    <t>Low-flow pre-rinse spray valves for restaurant kitchens, cafeterias, and food-serving</t>
  </si>
  <si>
    <t>Efficient street and roadway lighting, LED and induction</t>
  </si>
  <si>
    <t>Effiicient façade, walkway, area and decorative exterior lighting, such as LED</t>
  </si>
  <si>
    <t>Clotheswashers more efficient than federal standard</t>
  </si>
  <si>
    <t>Efficient refrigerators and freezers, beverage merchandizers, ice makers and vending machines</t>
  </si>
  <si>
    <t>Sheet Name</t>
  </si>
  <si>
    <t>Turnover rate for stock to which measure applies.</t>
  </si>
  <si>
    <t>Tables developed to estimate regional baseline penetration for various elements of energy codes by jurisdiction</t>
  </si>
  <si>
    <t>Map of building types labels from different sources.</t>
  </si>
  <si>
    <t>Master List of measure bundles</t>
  </si>
  <si>
    <t>Overview of model structure</t>
  </si>
  <si>
    <t>Street and Roadway Lighting</t>
  </si>
  <si>
    <t>Report Year</t>
  </si>
  <si>
    <t>Ramp</t>
  </si>
  <si>
    <t>Forecast File</t>
  </si>
  <si>
    <t>Computers (in ICE)</t>
  </si>
  <si>
    <t>Monitors (in ICE)</t>
  </si>
  <si>
    <t xml:space="preserve">Update Log:  Log for updates to Draft 6th Plan Assessment </t>
  </si>
  <si>
    <t>Update Log</t>
  </si>
  <si>
    <t>List of variables and definitions used in the CHAR tab and elsewhere in the files.</t>
  </si>
  <si>
    <t>Vintage cohort for measure bundles.</t>
  </si>
  <si>
    <t>Baseline penetration of measure bundles.  Estimated fraction of stock where the measure is already in place.</t>
  </si>
  <si>
    <t>Applicability factor for the measure bundle.  Fraction of stock the measure applies to.</t>
  </si>
  <si>
    <t>List and links to measure-level files. Plus housekeeping and administrative functions.</t>
  </si>
  <si>
    <t>ComMaster Version</t>
  </si>
  <si>
    <t>Council Building Type</t>
  </si>
  <si>
    <t>Large Office</t>
  </si>
  <si>
    <t>Medium Office</t>
  </si>
  <si>
    <t>Small Office</t>
  </si>
  <si>
    <t>Gross Floor Area in Square Feet</t>
  </si>
  <si>
    <t>&lt; 5000</t>
  </si>
  <si>
    <t>MiniMart</t>
  </si>
  <si>
    <t>Includes some Grocery</t>
  </si>
  <si>
    <t>High lighting density</t>
  </si>
  <si>
    <t>Retail Food Sales</t>
  </si>
  <si>
    <t>Efficient cooking equipment such as hot food holders, steamers and ovens</t>
  </si>
  <si>
    <t>Occupancy controls for lighting areas not required by code such as warehouse aisle, classrooms</t>
  </si>
  <si>
    <t>Most Recent Substantive Update</t>
  </si>
  <si>
    <t>Compressed Air</t>
  </si>
  <si>
    <t>Electronics</t>
  </si>
  <si>
    <t>Food Preparation</t>
  </si>
  <si>
    <t>Lighting</t>
  </si>
  <si>
    <t>Motors/Drives</t>
  </si>
  <si>
    <t>Process Loads</t>
  </si>
  <si>
    <t>Refrigeration</t>
  </si>
  <si>
    <t>Whole Bldg/Meter Level</t>
  </si>
  <si>
    <t>BPA Taxonomy EndUse_Name</t>
  </si>
  <si>
    <t>Smart Plug Power Strips</t>
  </si>
  <si>
    <t>DHW - Efficient Tanks</t>
  </si>
  <si>
    <t>Appliances - Clothes Washers</t>
  </si>
  <si>
    <t>Appliances - Freezers</t>
  </si>
  <si>
    <t>Appliances - Refrigerators</t>
  </si>
  <si>
    <t>DHW - Showerheads</t>
  </si>
  <si>
    <t>Weatherization - School</t>
  </si>
  <si>
    <t>Energy Recovery Ventilator</t>
  </si>
  <si>
    <t>AC Heat Recovery for Water Heating</t>
  </si>
  <si>
    <t>Pool pumps</t>
  </si>
  <si>
    <t>Room Occupancy Sensors in Lodging</t>
  </si>
  <si>
    <t>Water Heating - GFHX</t>
  </si>
  <si>
    <t>Chiller - chilled water retrofit</t>
  </si>
  <si>
    <t>Chiller - equip retrofits</t>
  </si>
  <si>
    <t>Demand Control Circulating system DHW</t>
  </si>
  <si>
    <t>Compressed Air Controls</t>
  </si>
  <si>
    <t>Compressed Air Improvements</t>
  </si>
  <si>
    <t>Switched Reluctance/Permanent Magnet Motors</t>
  </si>
  <si>
    <t>Motors - Rewind</t>
  </si>
  <si>
    <t>Pool Blankets</t>
  </si>
  <si>
    <t>Web-Enabled Thermostats</t>
  </si>
  <si>
    <t>Engine Generator Block Heaters</t>
  </si>
  <si>
    <t>Data Centers</t>
  </si>
  <si>
    <t>Water Cooler Controls</t>
  </si>
  <si>
    <t>Central HPWH MF</t>
  </si>
  <si>
    <t>Garage CO2 ventilation</t>
  </si>
  <si>
    <t>Circ Pump ECM and drive</t>
  </si>
  <si>
    <t>Evaporator Roof Top HVAC</t>
  </si>
  <si>
    <t>Savings Sources</t>
  </si>
  <si>
    <t>Baseline Saturation</t>
  </si>
  <si>
    <t>Baseline Notes</t>
  </si>
  <si>
    <t>Cost Source</t>
  </si>
  <si>
    <t>Cost Notes</t>
  </si>
  <si>
    <t>Baseline</t>
  </si>
  <si>
    <t>Measure Sources and Stauts</t>
  </si>
  <si>
    <t>V1</t>
  </si>
  <si>
    <t>Status notes</t>
  </si>
  <si>
    <t>More data coming from NEEA</t>
  </si>
  <si>
    <t>BACGEN</t>
  </si>
  <si>
    <t>2013 EPA Flow rates</t>
  </si>
  <si>
    <t>Achievements</t>
  </si>
  <si>
    <t>6P+ETO data</t>
  </si>
  <si>
    <t>Unit of Savings</t>
  </si>
  <si>
    <t>kWh per KSF BT</t>
  </si>
  <si>
    <t>MGD Flow</t>
  </si>
  <si>
    <t>Count</t>
  </si>
  <si>
    <t>Secondary Glazing Systems</t>
  </si>
  <si>
    <t>Compressed Air System Controls</t>
  </si>
  <si>
    <t>Compressed Air Control Improvements (non-VFD)</t>
  </si>
  <si>
    <t>Compressed Air Control Improvements (VFD)</t>
  </si>
  <si>
    <t>Compressed Air System Improvements</t>
  </si>
  <si>
    <t>Compressed Air System Compressor Improvements (non-VFD)</t>
  </si>
  <si>
    <t>Compressed Air System Compressor Improvements (VFD)</t>
  </si>
  <si>
    <t>Compressed Air System Demand Side Improvements</t>
  </si>
  <si>
    <t>Compressed Air System Dryer Improvements</t>
  </si>
  <si>
    <t>Compressed Air System Regulation Improvements</t>
  </si>
  <si>
    <t>Compressed Air System Storage Improvements</t>
  </si>
  <si>
    <t>Compressed Air System Supply Side Improvements</t>
  </si>
  <si>
    <t>Compressors</t>
  </si>
  <si>
    <t>Heat Recovery</t>
  </si>
  <si>
    <t>Heat Recovery Improvements</t>
  </si>
  <si>
    <t>Computer Technologies</t>
  </si>
  <si>
    <t>Network Computer Power Management</t>
  </si>
  <si>
    <t>Power Supplies</t>
  </si>
  <si>
    <t>Server Virtualization/Load Reduction</t>
  </si>
  <si>
    <t>Servers</t>
  </si>
  <si>
    <t xml:space="preserve">Plug Load </t>
  </si>
  <si>
    <t>Power Strips</t>
  </si>
  <si>
    <t>Cooking</t>
  </si>
  <si>
    <t>Electric Combination Ovens</t>
  </si>
  <si>
    <t>Electric Commercial Steam Cookers</t>
  </si>
  <si>
    <t>Electric Convection Ovens</t>
  </si>
  <si>
    <t>Electric Fryers</t>
  </si>
  <si>
    <t>Hot Food Holding Cabinets</t>
  </si>
  <si>
    <t>Envelope</t>
  </si>
  <si>
    <t>Air Sealing</t>
  </si>
  <si>
    <t xml:space="preserve">Insulation </t>
  </si>
  <si>
    <t>Humidification/Dehumidification Improvements</t>
  </si>
  <si>
    <t>HVAC System Controls</t>
  </si>
  <si>
    <t>Energy Management Systems/System Controls</t>
  </si>
  <si>
    <t>HVAC Control Improvements (non-VFD)</t>
  </si>
  <si>
    <t>HVAC Control Improvements (VFD)</t>
  </si>
  <si>
    <t>Pneumatic to DDC Control Improvements</t>
  </si>
  <si>
    <t>Thermostats</t>
  </si>
  <si>
    <t>HVAC System Improvements</t>
  </si>
  <si>
    <t>Air-Source Heat Pumps</t>
  </si>
  <si>
    <t>Building Commissioning Improvements</t>
  </si>
  <si>
    <t>Centrifugal Chiller Improvements</t>
  </si>
  <si>
    <t>Duct Insulation</t>
  </si>
  <si>
    <t>Ductless Heat Pumps</t>
  </si>
  <si>
    <t>Economizer System Improvements</t>
  </si>
  <si>
    <t>Interactive HVAC System Improvements</t>
  </si>
  <si>
    <t>Reciprocating Chiller Improvements</t>
  </si>
  <si>
    <t>Rooftop Units</t>
  </si>
  <si>
    <t>Rotary Screw Chiller Improvements</t>
  </si>
  <si>
    <t>Scroll Chiller Improvements</t>
  </si>
  <si>
    <t>Storage Tank Insulation Improvements</t>
  </si>
  <si>
    <t>Variable Refrigerant Flow System Improvements</t>
  </si>
  <si>
    <t>Ventilation System Improvements</t>
  </si>
  <si>
    <t>Water-Source Heat Pumps</t>
  </si>
  <si>
    <t>Delamping</t>
  </si>
  <si>
    <t>Lamps/Ballasts/Fixtures</t>
  </si>
  <si>
    <t>Lamps/Ballasts</t>
  </si>
  <si>
    <t>Lamps/Ballasts w/Controls</t>
  </si>
  <si>
    <t>Lamps/Ballasts w/Delamping</t>
  </si>
  <si>
    <t>Lamps/Ballasts w/Delamping and Controls</t>
  </si>
  <si>
    <t>Lamps/Ballasts/Fixtures w/Controls</t>
  </si>
  <si>
    <t>Lamps/Ballasts/Fixtures w/Delamping</t>
  </si>
  <si>
    <t>Lamps/Ballasts/Fixtures w/Delamping and Controls</t>
  </si>
  <si>
    <t>Lighting Controls</t>
  </si>
  <si>
    <t>Control Panels</t>
  </si>
  <si>
    <t>Daylighting</t>
  </si>
  <si>
    <t>Occupancy Sensors</t>
  </si>
  <si>
    <t>Photocells</t>
  </si>
  <si>
    <t>Timers</t>
  </si>
  <si>
    <t>Signs and Signals</t>
  </si>
  <si>
    <t>LED Exit Signs</t>
  </si>
  <si>
    <t>LED Traffic Signals</t>
  </si>
  <si>
    <t>Motors</t>
  </si>
  <si>
    <t>Motor Rewind</t>
  </si>
  <si>
    <t>Motors/Drives Controls</t>
  </si>
  <si>
    <t>Electronically Commutated Motor (ECM)</t>
  </si>
  <si>
    <t>Motors/Drives Control Improvements (non-VFD)</t>
  </si>
  <si>
    <t>Motors/Drives Control Improvements (VFD)</t>
  </si>
  <si>
    <t>Pumps and Fans</t>
  </si>
  <si>
    <t>Motors/Drives Installation on Fan System</t>
  </si>
  <si>
    <t>Motors/Drives Installation on Vacuum Pumps</t>
  </si>
  <si>
    <t>Elevators</t>
  </si>
  <si>
    <t>Escalators</t>
  </si>
  <si>
    <t>Process Loads System Controls</t>
  </si>
  <si>
    <t>Process Loads Control Improvements (non-VFD)</t>
  </si>
  <si>
    <t>Process Loads Control Improvements (VFD)</t>
  </si>
  <si>
    <t>Process Loads System Improvements</t>
  </si>
  <si>
    <t>Interactive Process Loads System Improvements</t>
  </si>
  <si>
    <t>Centrifugal Pump System Improvements</t>
  </si>
  <si>
    <t>Fan System Improvements</t>
  </si>
  <si>
    <t>Pump System Improvements</t>
  </si>
  <si>
    <t>Turbine Pump System Improvements</t>
  </si>
  <si>
    <t>Vacuum Pump System Improvements</t>
  </si>
  <si>
    <t>Packaged Refrigeration</t>
  </si>
  <si>
    <t>Freezer Decommissioning</t>
  </si>
  <si>
    <t>Freezers</t>
  </si>
  <si>
    <t>Ice Makers</t>
  </si>
  <si>
    <t>Packaged Refrigeration System Improvements</t>
  </si>
  <si>
    <t>Refrigerator Decommissioning</t>
  </si>
  <si>
    <t>Refrigerators</t>
  </si>
  <si>
    <t>Vending Machines</t>
  </si>
  <si>
    <t>Condensor Fan System Improvements</t>
  </si>
  <si>
    <t>Evaporator Coil Fan System Improvements</t>
  </si>
  <si>
    <t>Evaporator Fan System Improvements</t>
  </si>
  <si>
    <t>Refrigeration System Controls</t>
  </si>
  <si>
    <t>Defrost Control Improvements</t>
  </si>
  <si>
    <t xml:space="preserve">Multiplex </t>
  </si>
  <si>
    <t>Refrigeration Control Improvements (non-VFD)</t>
  </si>
  <si>
    <t>Refrigeration Control Improvements (VFD)</t>
  </si>
  <si>
    <t>Refrigeration System Improvements</t>
  </si>
  <si>
    <t>Auto Closers</t>
  </si>
  <si>
    <t>Case Lighting</t>
  </si>
  <si>
    <t>Case Lighting Delamping</t>
  </si>
  <si>
    <t>Cases</t>
  </si>
  <si>
    <t>Chiller Improvements</t>
  </si>
  <si>
    <t>Condensors</t>
  </si>
  <si>
    <t>Doors</t>
  </si>
  <si>
    <t>Gasket Replacement</t>
  </si>
  <si>
    <t>Insulation</t>
  </si>
  <si>
    <t>Interactive Refrigeration System Improvements</t>
  </si>
  <si>
    <t>Motion Sensors</t>
  </si>
  <si>
    <t>Multiplex</t>
  </si>
  <si>
    <t>Night Covers</t>
  </si>
  <si>
    <t>Strip Curtains</t>
  </si>
  <si>
    <t>Suction Line Insulation</t>
  </si>
  <si>
    <t>Pool System Improvements</t>
  </si>
  <si>
    <t>System Efficiency Improvements</t>
  </si>
  <si>
    <t>Water Heaters</t>
  </si>
  <si>
    <t>Water Heating Controls</t>
  </si>
  <si>
    <t>Water Heating Control Improvements (non-VFD)</t>
  </si>
  <si>
    <t>Water Heating Control Improvements (VFD)</t>
  </si>
  <si>
    <t>Water Using Devices</t>
  </si>
  <si>
    <t>Aerators</t>
  </si>
  <si>
    <t>Clothes Washers</t>
  </si>
  <si>
    <t>Dishwashers</t>
  </si>
  <si>
    <t>Pre Rinse Spray Valves</t>
  </si>
  <si>
    <t>Showerheads</t>
  </si>
  <si>
    <t>Whole Bldg/Meter Level System Improvements</t>
  </si>
  <si>
    <t>Interactive Whole Bldg/Meter Level System Improvements</t>
  </si>
  <si>
    <t>Small Office Package</t>
  </si>
  <si>
    <t>Category_Name</t>
  </si>
  <si>
    <t>TAP_Name</t>
  </si>
  <si>
    <t>Category</t>
  </si>
  <si>
    <t>Efficient Residential water heaters in commercial buildings</t>
  </si>
  <si>
    <t>Efficient residential clothes washers in commercial buildings</t>
  </si>
  <si>
    <t>Residential freezers in commercial buildings</t>
  </si>
  <si>
    <t>Residential refrigerators in commercial buildings</t>
  </si>
  <si>
    <t>Efficient showerheads</t>
  </si>
  <si>
    <t>School building weatherization</t>
  </si>
  <si>
    <t>Drain water heat recovery in new mulitfaimly applications</t>
  </si>
  <si>
    <t>Chiller system improvements</t>
  </si>
  <si>
    <t>Chiller equipment improvements</t>
  </si>
  <si>
    <t>Engine Generator Block Heaters (for standby generators)</t>
  </si>
  <si>
    <t>Circulation Pump ECM and drive</t>
  </si>
  <si>
    <t>Commercial Computer Monitor</t>
  </si>
  <si>
    <t>Segment</t>
  </si>
  <si>
    <t>New from 6P</t>
  </si>
  <si>
    <t>x</t>
  </si>
  <si>
    <t>All</t>
  </si>
  <si>
    <t>CBSA 2014</t>
  </si>
  <si>
    <t>Some</t>
  </si>
  <si>
    <t>Most</t>
  </si>
  <si>
    <t>Non-Building</t>
  </si>
  <si>
    <t>Multifamily</t>
  </si>
  <si>
    <t>Std Monitor</t>
  </si>
  <si>
    <t>Std Computer</t>
  </si>
  <si>
    <t>2.5 GPM</t>
  </si>
  <si>
    <t>No Heat Recovery</t>
  </si>
  <si>
    <t>Code</t>
  </si>
  <si>
    <t>Fed Std 2014</t>
  </si>
  <si>
    <t>Uncontrolled</t>
  </si>
  <si>
    <t>No Control</t>
  </si>
  <si>
    <t>Category Name</t>
  </si>
  <si>
    <t>Measure Name</t>
  </si>
  <si>
    <t>Measure Details</t>
  </si>
  <si>
    <t>Vintage</t>
  </si>
  <si>
    <t>LO/Retro</t>
  </si>
  <si>
    <t>New from 6P?</t>
  </si>
  <si>
    <t>NEED TO LINE UP DATA WITH NEW MEASURE LIST - VALUES ARE WRONG</t>
  </si>
  <si>
    <t>Cumulative Technically  Achievable Savings in 2035 in MWa</t>
  </si>
  <si>
    <t/>
  </si>
  <si>
    <t>Com_Master_7P.xlsm!PRE1987</t>
  </si>
  <si>
    <t>Com_Master_7P.xlsm!POST2002</t>
  </si>
  <si>
    <t>Com_Master_7P.xlsm!V1987_2001</t>
  </si>
  <si>
    <t>Com_Master_7P.xlsm!V1987_1994</t>
  </si>
  <si>
    <t>Com_Master_7P.xlsm!V1995_2001</t>
  </si>
  <si>
    <t>Com_Master_7P.xlsm!V2002_2006</t>
  </si>
  <si>
    <t>Will need to update this with new vintages from CBSA</t>
  </si>
  <si>
    <t>6P Vintage</t>
  </si>
  <si>
    <t>N/A</t>
  </si>
  <si>
    <t>PRE/POST 2006</t>
  </si>
  <si>
    <t>POST 2006</t>
  </si>
  <si>
    <t>PRE1987/PRE2002/POST2006</t>
  </si>
  <si>
    <t>PRE1987/PRE2002/POST2007</t>
  </si>
  <si>
    <t>PRE1987/PRE2002/POST2008</t>
  </si>
  <si>
    <t>Pre-Rinse Spray Valve</t>
  </si>
  <si>
    <t>Baseline saturation in measure workbook</t>
  </si>
  <si>
    <t>Five year cycle for streetlight relamp (DOE &amp; Tarioffs)</t>
  </si>
  <si>
    <t>Navigant 2014</t>
  </si>
  <si>
    <t>Survey 2014</t>
  </si>
  <si>
    <t>6 going on 7 plus CBSA</t>
  </si>
  <si>
    <t>EPA Energy Star 2011</t>
  </si>
  <si>
    <t>20, 25 or 30 year equipment life</t>
  </si>
  <si>
    <t>Com_Master_7P.xlsm!_PRE2002</t>
  </si>
  <si>
    <t>Advanced Rooftop Controller</t>
  </si>
  <si>
    <t>6P Labels</t>
  </si>
  <si>
    <t xml:space="preserve">Sixth Plan </t>
  </si>
  <si>
    <t>Seventh Plan Building Types</t>
  </si>
  <si>
    <t>Name Used in Models</t>
  </si>
  <si>
    <t>Extra Large Retail</t>
  </si>
  <si>
    <t>Large Retail</t>
  </si>
  <si>
    <t>Medium Retail</t>
  </si>
  <si>
    <t>Small Retail</t>
  </si>
  <si>
    <t>Xlarge Ret</t>
  </si>
  <si>
    <t>Large Ret</t>
  </si>
  <si>
    <t>Medium Ret</t>
  </si>
  <si>
    <t>Small Ret</t>
  </si>
  <si>
    <t>School K-12</t>
  </si>
  <si>
    <t>Residential Care</t>
  </si>
  <si>
    <t>Bldg_Type</t>
  </si>
  <si>
    <t>HeatSys_Primary_PrimFuel</t>
  </si>
  <si>
    <t>(All)</t>
  </si>
  <si>
    <t>Values</t>
  </si>
  <si>
    <t>Row Labels</t>
  </si>
  <si>
    <t>Count of Bldg_Name</t>
  </si>
  <si>
    <t>Sum of Sf_PNW (New Data)</t>
  </si>
  <si>
    <t>Sum of Chiller_Qty</t>
  </si>
  <si>
    <t>Average of LPD_Ind</t>
  </si>
  <si>
    <t>WT Average of LPD_Ind</t>
  </si>
  <si>
    <t>WT Average of Annual Hrs_Light</t>
  </si>
  <si>
    <t>Average of HeatSys_ Electricity_Pct</t>
  </si>
  <si>
    <t>WT Average of HeatSys_ Electricity_Pct</t>
  </si>
  <si>
    <t>Average of Hrs_Occupied</t>
  </si>
  <si>
    <t>New EUIs</t>
  </si>
  <si>
    <t>&lt;5,001</t>
  </si>
  <si>
    <t>5,001-20,000</t>
  </si>
  <si>
    <t>20,001-50,000</t>
  </si>
  <si>
    <t>50,001-100,000</t>
  </si>
  <si>
    <t>100,001+</t>
  </si>
  <si>
    <t>Grand Total</t>
  </si>
  <si>
    <t>Retail/Service</t>
  </si>
  <si>
    <t>Average of HeatSys_Electricity_Pct</t>
  </si>
  <si>
    <t>CBSA Data</t>
  </si>
  <si>
    <t>&gt;50,000</t>
  </si>
  <si>
    <t>&lt;5,000</t>
  </si>
  <si>
    <t>5,000 to 50,000</t>
  </si>
  <si>
    <t>&gt;100,000</t>
  </si>
  <si>
    <t>50,000 - 100,000</t>
  </si>
  <si>
    <t>5000 - 50,000</t>
  </si>
  <si>
    <t>&lt;5000</t>
  </si>
  <si>
    <t>7P Building Type</t>
  </si>
  <si>
    <t>6P Building Type</t>
  </si>
  <si>
    <t>kWh per kSF BT</t>
  </si>
  <si>
    <t>Commercial EM</t>
  </si>
  <si>
    <t>Commercial Energy Management</t>
  </si>
  <si>
    <t>Commercial Energy Management For Complex systems</t>
  </si>
  <si>
    <t>Million SF</t>
  </si>
  <si>
    <t>2013 CBSA data</t>
  </si>
  <si>
    <t>Com_Master_7P.xlsm!_PRE2013</t>
  </si>
  <si>
    <t>POST2013</t>
  </si>
  <si>
    <t>Com_Master_7P.xlsm!POST2013</t>
  </si>
  <si>
    <t>_PRE2013</t>
  </si>
  <si>
    <t>Sum of Sf_PNW_Heated_Heat_Frac</t>
  </si>
  <si>
    <t>Column Labels</t>
  </si>
  <si>
    <t>Electricity</t>
  </si>
  <si>
    <t>Natural Gas</t>
  </si>
  <si>
    <t>Share by electric heat type</t>
  </si>
  <si>
    <t>Electric</t>
  </si>
  <si>
    <t>Total</t>
  </si>
  <si>
    <t>Year</t>
  </si>
  <si>
    <t>Two vintages:  Pre2013 and Post 2013 (includes 2013)</t>
  </si>
  <si>
    <t>V_Post2013</t>
  </si>
  <si>
    <t>V_Pre2013</t>
  </si>
  <si>
    <t>Update values as needed. Values in gray text are from 6P</t>
  </si>
  <si>
    <t>Built-up share - for Com_Master -CHAR</t>
  </si>
  <si>
    <t>See COM-EM measure file for these data</t>
  </si>
  <si>
    <t>Everything But SZ ducted systems</t>
  </si>
  <si>
    <t>Site_ID</t>
  </si>
  <si>
    <t>Fan_Ctr</t>
  </si>
  <si>
    <t>DistSys</t>
  </si>
  <si>
    <t>Equip_Type</t>
  </si>
  <si>
    <t>DistSys_Detail</t>
  </si>
  <si>
    <t>Sum of Heat_Frac_Sf_PNW_Heated</t>
  </si>
  <si>
    <t>Size_Group</t>
  </si>
  <si>
    <t>SF</t>
  </si>
  <si>
    <t>HeatSys_PrimFuel</t>
  </si>
  <si>
    <t>CE</t>
  </si>
  <si>
    <t>HWC</t>
  </si>
  <si>
    <t>NA</t>
  </si>
  <si>
    <t>OT</t>
  </si>
  <si>
    <t>SC</t>
  </si>
  <si>
    <t>SE</t>
  </si>
  <si>
    <t>Not all formulas are the same</t>
  </si>
  <si>
    <t>Pulling from different parts of this worksheet</t>
  </si>
  <si>
    <t>Multizone Systems Only</t>
  </si>
  <si>
    <t>ducted</t>
  </si>
  <si>
    <t>SZ Ducted</t>
  </si>
  <si>
    <t>Custom work in this table</t>
  </si>
  <si>
    <t>Everything But SZ Ducted</t>
  </si>
  <si>
    <t>Everything but</t>
  </si>
  <si>
    <t>Multizone systems</t>
  </si>
  <si>
    <t>year</t>
  </si>
  <si>
    <t>bt_09</t>
  </si>
  <si>
    <t>elec.eui.n.mean</t>
  </si>
  <si>
    <t>n</t>
  </si>
  <si>
    <t>eb</t>
  </si>
  <si>
    <t>2009</t>
  </si>
  <si>
    <t>2014</t>
  </si>
  <si>
    <t>Dry Goods
Retail</t>
  </si>
  <si>
    <t>Hotel/Motel</t>
  </si>
  <si>
    <t>Other
Health</t>
  </si>
  <si>
    <t>Ratio</t>
  </si>
  <si>
    <t>7P Technical Savings (aMW)</t>
  </si>
  <si>
    <t>Total 7P Commercial Technical Achievable Potential thus far:</t>
  </si>
  <si>
    <t xml:space="preserve">Note:  Items in Gray are from 6P. For 7P as we use new data we update to black text with light blue background.  </t>
  </si>
  <si>
    <t>Baseline saturation in measure workbook-eui adjustment</t>
  </si>
  <si>
    <t>LO50Fast</t>
  </si>
  <si>
    <t>LO12Med</t>
  </si>
  <si>
    <t>LO20Fast</t>
  </si>
  <si>
    <t>LOEven20</t>
  </si>
  <si>
    <t>LOMax60</t>
  </si>
  <si>
    <t>Retro50Fast</t>
  </si>
  <si>
    <t>Retro12Med</t>
  </si>
  <si>
    <t>Retro20Fast</t>
  </si>
  <si>
    <t>RetroEven20</t>
  </si>
  <si>
    <t>RetroMax60</t>
  </si>
  <si>
    <t>Commercial Computer Desktop</t>
  </si>
  <si>
    <t>Commercial Computer Laptop</t>
  </si>
  <si>
    <t>Baseline saturation in measure workbook.  Source (DOE 2014)</t>
  </si>
  <si>
    <t>20-Year Fixture Life from CBSA REN RATE</t>
  </si>
  <si>
    <t xml:space="preserve">5-year cycle (lamp cycle) for luminiares requiring bucket truck.  </t>
  </si>
  <si>
    <t>VRF</t>
  </si>
  <si>
    <t>Variable Refrigerant Flow</t>
  </si>
  <si>
    <t>LO Ramp rates are cumulative</t>
  </si>
  <si>
    <t>Retrofit Ramp rates are incremental</t>
  </si>
  <si>
    <t>see secondary glazing</t>
  </si>
  <si>
    <t>Ultra Low Energy Building</t>
  </si>
  <si>
    <t>Signage-New</t>
  </si>
  <si>
    <t>Signage-NR</t>
  </si>
  <si>
    <t>From 6P not in 7P</t>
  </si>
  <si>
    <t>Exit Signs-NR</t>
  </si>
  <si>
    <t>Roof Insulation-NR</t>
  </si>
  <si>
    <t>Package Roof Top Optimization and Repair-New</t>
  </si>
  <si>
    <t>Package Roof Top Optimization and Repair-NR</t>
  </si>
  <si>
    <t>Package Roof Top Optimization and Repair-Retro</t>
  </si>
  <si>
    <t>Comparable Estimate for 6th Plan (Pasted Values)</t>
  </si>
  <si>
    <t>see com-dcv-garage</t>
  </si>
  <si>
    <t>Baseline saturation in measure workbook.  Multiple measures</t>
  </si>
  <si>
    <t>Technical Achievability in measure workbook.  Multiple measures</t>
  </si>
  <si>
    <t>dropped for 7p</t>
  </si>
  <si>
    <t>See data centers</t>
  </si>
  <si>
    <t>End Use  (BPA Taxonomy)</t>
  </si>
  <si>
    <t>dropped for 7p - codes</t>
  </si>
  <si>
    <t>dropped for 7p Stds</t>
  </si>
  <si>
    <t>dropped for 7p - no data</t>
  </si>
  <si>
    <t>dropped for 7p - too expensive</t>
  </si>
  <si>
    <t>dropped for 7p - stds</t>
  </si>
  <si>
    <t>Retro3Slow</t>
  </si>
  <si>
    <t>Retro5Med</t>
  </si>
  <si>
    <t>Retro1Slow</t>
  </si>
  <si>
    <t>LO3Slow</t>
  </si>
  <si>
    <t>LO5Med</t>
  </si>
  <si>
    <t>LO1Slow</t>
  </si>
  <si>
    <t>US saturation 2%</t>
  </si>
  <si>
    <t>2004-2013</t>
  </si>
  <si>
    <t>Sum of Sf_PNW_Cooled</t>
  </si>
  <si>
    <t>Sum of Sf_PNW_Heated</t>
  </si>
  <si>
    <t>Sum of Sf_PNW</t>
  </si>
  <si>
    <t>Minimart</t>
  </si>
  <si>
    <t>residential care</t>
  </si>
  <si>
    <t>(blank)</t>
  </si>
  <si>
    <t>Elect</t>
  </si>
  <si>
    <t>SF Share</t>
  </si>
  <si>
    <t>NG Share</t>
  </si>
  <si>
    <t>Total SF</t>
  </si>
  <si>
    <t>FEAS</t>
  </si>
  <si>
    <t>New Construction</t>
  </si>
  <si>
    <t>Assumption:  Either VRF + Lighting is applied to new buildings, OR the Ultra Low Energy Building Measure is applies.  Use these to eliminate overlap</t>
  </si>
  <si>
    <t>Applicability Matrix</t>
  </si>
  <si>
    <t>ULEB</t>
  </si>
  <si>
    <t>Retrofit Applicability</t>
  </si>
  <si>
    <t>NG</t>
  </si>
  <si>
    <t>Elect Share</t>
  </si>
  <si>
    <t>New Construction Data - Assume 2004 2013 is representative.</t>
  </si>
  <si>
    <t>Sum of Cool_Frac_Sf_PNW</t>
  </si>
  <si>
    <t>Share</t>
  </si>
  <si>
    <t>Cool Frac</t>
  </si>
  <si>
    <t>From 6P</t>
  </si>
  <si>
    <t>Average of msf.pnw.frac</t>
  </si>
  <si>
    <t>% Cooled</t>
  </si>
  <si>
    <t>% Heated</t>
  </si>
  <si>
    <t>% Refrigerated</t>
  </si>
  <si>
    <t>% Unconditioned</t>
  </si>
  <si>
    <t>Food</t>
  </si>
  <si>
    <t>Shares of Electric Heat</t>
  </si>
  <si>
    <t>Elect- Non-HP</t>
  </si>
  <si>
    <t>Elect-HP</t>
  </si>
  <si>
    <t>These data  used in Char</t>
  </si>
  <si>
    <t>Heat Type Final</t>
  </si>
  <si>
    <t>Heat Type Calcs</t>
  </si>
  <si>
    <t>Data tables from CBSA</t>
  </si>
  <si>
    <t>To CHAR</t>
  </si>
  <si>
    <t>Share on New Construction by Btype Over 20-Year Forecast Period</t>
  </si>
  <si>
    <t>Btype</t>
  </si>
  <si>
    <t>SUM New SF</t>
  </si>
  <si>
    <t>Percent Region</t>
  </si>
  <si>
    <t>XLarge Ret</t>
  </si>
  <si>
    <t xml:space="preserve">From Draft 7P Forecast </t>
  </si>
  <si>
    <t>7P Forecasts D2.xlsx</t>
  </si>
  <si>
    <t>LO</t>
  </si>
  <si>
    <t>Share of Sf by BT</t>
  </si>
  <si>
    <t>SF by BT</t>
  </si>
  <si>
    <t>CBSA 2013</t>
  </si>
  <si>
    <t>Cool Saturation</t>
  </si>
  <si>
    <t>Cooled SF</t>
  </si>
  <si>
    <t>See ECM-VAV workbook</t>
  </si>
  <si>
    <t>This page not yet updated for 7P</t>
  </si>
  <si>
    <t>kWh per HP BT</t>
  </si>
  <si>
    <t>Red measures are new for 7P</t>
  </si>
  <si>
    <t>Black text - Standar 7P measures</t>
  </si>
  <si>
    <t>See "Files" tab for more info-updates on 7P status</t>
  </si>
  <si>
    <t>6P Potential for Comparison</t>
  </si>
  <si>
    <t>Note that some measures have the applicability built into the workbook.</t>
  </si>
  <si>
    <t>This hasn't been updated yet for 7P, but the variables are likely the same</t>
  </si>
  <si>
    <t>This is old, but we could update with 7P data.  It is not being used.</t>
  </si>
  <si>
    <t>Some of the data used in developing the CHAR file.  Needs cleanup</t>
  </si>
  <si>
    <t xml:space="preserve">This needs to be reviewed for usefulness.  Move 2013 CBSA lookup to CHAR if that's the only link.  </t>
  </si>
  <si>
    <t>Applicability built into savings values; see measure workbook</t>
  </si>
  <si>
    <t>ECM-VAV</t>
  </si>
  <si>
    <t>ENERGY STAR USD Summary Report _2013</t>
  </si>
  <si>
    <t>Energy Recovery Ventilator-NR</t>
  </si>
  <si>
    <t>AC Heat Recovery for Water Heating-NR</t>
  </si>
  <si>
    <t>Room Occupancy Sensors in Lodging-Retro</t>
  </si>
  <si>
    <t>Considered by not included in 7P</t>
  </si>
  <si>
    <t>ENERGY STAR Monitor</t>
  </si>
  <si>
    <t>ENERGY STAR Desktop</t>
  </si>
  <si>
    <t>WHTanks</t>
  </si>
  <si>
    <t>Applicability handled in the measure workbook</t>
  </si>
  <si>
    <t>Commercial Clothes Washers-New</t>
  </si>
  <si>
    <t>MotorsRewind</t>
  </si>
  <si>
    <t>Switched Reluctance/Permanent Magnet Motors-Retro</t>
  </si>
  <si>
    <t>see ecm-vav - could be expanded to other applications</t>
  </si>
  <si>
    <t>Feas in Lighting Workbook due to multiple measures</t>
  </si>
  <si>
    <t>Fixture or Ballast Replacement Cycle</t>
  </si>
  <si>
    <t>HPLowPowerGSFL</t>
  </si>
  <si>
    <t>lamp</t>
  </si>
  <si>
    <t>Shift mix of 32W, 28W and 25W lamps towards low watt lamps</t>
  </si>
  <si>
    <t>High Performance Low Power Fluorescent Lamps</t>
  </si>
  <si>
    <t>Federal GSFL 2014</t>
  </si>
  <si>
    <t>High Perf Low Power Fluorescent Lamp PPA</t>
  </si>
  <si>
    <t>In workbook. Uses market average mix of lpow watt from sales data</t>
  </si>
  <si>
    <t>Use for Com-EM</t>
  </si>
  <si>
    <t>DCV%TYP</t>
  </si>
  <si>
    <t>ESTAR Server 9% (+), Virtualization 20%</t>
  </si>
  <si>
    <t xml:space="preserve">Data Centers; Virtualization, efficient servers, network gear, power supplies, and other measures at NR </t>
  </si>
  <si>
    <t>Com-DataCenters-7P_V4.xlsx</t>
  </si>
  <si>
    <t>Com-ParkingGarageLighting-7P_v6.xlsx</t>
  </si>
  <si>
    <t>NEEA Sales data</t>
  </si>
  <si>
    <t>Bi-Level Stiarwell Lighting</t>
  </si>
  <si>
    <t xml:space="preserve">Bi-Level occupancy sensor control on stairwell </t>
  </si>
  <si>
    <t>Bi-Level Stairwell</t>
  </si>
  <si>
    <t>Com-Bi-Level Stairwell-7P_V2.xlsx</t>
  </si>
  <si>
    <t>From 6 going on 7.  See Com-EM workbook</t>
  </si>
  <si>
    <t>From CBSA</t>
  </si>
  <si>
    <t>Computer Servers and IT-Retro</t>
  </si>
  <si>
    <t>ENERGY STAR Laptops</t>
  </si>
  <si>
    <t>aMW in New Building Non Plug Load</t>
  </si>
  <si>
    <t>aMW New Buildings</t>
  </si>
  <si>
    <t>kWh</t>
  </si>
  <si>
    <t>kWh/sf for New Building Measures - Not including plug load &amp; Equipment</t>
  </si>
  <si>
    <t>See com-EM workbook</t>
  </si>
  <si>
    <t>Heat Recovery Ventilation</t>
  </si>
  <si>
    <t>CBSA 20154</t>
  </si>
  <si>
    <t>Analyst</t>
  </si>
  <si>
    <t>ks</t>
  </si>
  <si>
    <t>cg</t>
  </si>
  <si>
    <t>tj</t>
  </si>
  <si>
    <t>End-Use</t>
  </si>
  <si>
    <t>Laptop</t>
  </si>
  <si>
    <t>Monitor</t>
  </si>
  <si>
    <t>Desktop</t>
  </si>
  <si>
    <t>Sector_Name</t>
  </si>
  <si>
    <t>EndUse_Name</t>
  </si>
  <si>
    <t>Agricultural</t>
  </si>
  <si>
    <t>Interactive Compressed Air System Supply/Demand Improvements</t>
  </si>
  <si>
    <t>Irrigation</t>
  </si>
  <si>
    <t>Center Pivot System and Equipment</t>
  </si>
  <si>
    <t>Center Pivot Conversions</t>
  </si>
  <si>
    <t>Reduce System Friction Head</t>
  </si>
  <si>
    <t xml:space="preserve">Reduce System Friction Head </t>
  </si>
  <si>
    <t>Reduce System Leakage</t>
  </si>
  <si>
    <t>Reduce System Lift</t>
  </si>
  <si>
    <t>System Water Delivery Improvements</t>
  </si>
  <si>
    <t>Discharge Fitting Equipment</t>
  </si>
  <si>
    <t>Drop Installation for Spray Heads and Pressure Regulators</t>
  </si>
  <si>
    <t>Flow Control Nozzles and Diffuser</t>
  </si>
  <si>
    <t>Impact Sprinkler Heads</t>
  </si>
  <si>
    <t>Low Angle Heads</t>
  </si>
  <si>
    <t>Low Pressure End guns/Big guns</t>
  </si>
  <si>
    <t>Nozzle Replacement</t>
  </si>
  <si>
    <t>Spray Heads</t>
  </si>
  <si>
    <t>Handmove and Sideroll System and Equipment</t>
  </si>
  <si>
    <t>Hardware</t>
  </si>
  <si>
    <t>Drain Replacement</t>
  </si>
  <si>
    <t>Drop Tube/Hose Extension</t>
  </si>
  <si>
    <t>Goose Necks</t>
  </si>
  <si>
    <t>Hub Replacement</t>
  </si>
  <si>
    <t>Leveler Rebuild</t>
  </si>
  <si>
    <t>Line Repairs</t>
  </si>
  <si>
    <t>Multi-Trajectory Sprays</t>
  </si>
  <si>
    <t>Pipe Repair</t>
  </si>
  <si>
    <t>Regulator Replacement</t>
  </si>
  <si>
    <t>Sprinkler Replacements</t>
  </si>
  <si>
    <t>Irrigation System Improvements</t>
  </si>
  <si>
    <t>Change in Water Source</t>
  </si>
  <si>
    <t>Reduce Delivery System Leakage</t>
  </si>
  <si>
    <t>Mainline System and Equipment</t>
  </si>
  <si>
    <t>Interactive Mainline System and Equipment Improvements</t>
  </si>
  <si>
    <t>Mainline System Pump Improvements</t>
  </si>
  <si>
    <t>Reduce Friction Loss</t>
  </si>
  <si>
    <t>Pump Testing Service</t>
  </si>
  <si>
    <t>Suction Fittings Equipment</t>
  </si>
  <si>
    <t>Reduce Cavitation</t>
  </si>
  <si>
    <t>Water Management</t>
  </si>
  <si>
    <t>Scientific Irrigation Scheduling</t>
  </si>
  <si>
    <t>Stall Lighting</t>
  </si>
  <si>
    <t>Motors/Drives Installation on Compressed Air System</t>
  </si>
  <si>
    <t>Dairy Milking Machine Control Improvements (VFD)</t>
  </si>
  <si>
    <t>Motors/Drives Installation on Pump System</t>
  </si>
  <si>
    <t>Livestock Tanks</t>
  </si>
  <si>
    <t>Freeze Resistant Stock Tanks</t>
  </si>
  <si>
    <t>Dairy System Improvements</t>
  </si>
  <si>
    <t>Plate Milk Pre-cooler</t>
  </si>
  <si>
    <t xml:space="preserve">Utility Distribution System </t>
  </si>
  <si>
    <t>Transformers</t>
  </si>
  <si>
    <t>De-Energization</t>
  </si>
  <si>
    <t>Commercial</t>
  </si>
  <si>
    <t>Industrial</t>
  </si>
  <si>
    <t>Facility Distribution System</t>
  </si>
  <si>
    <t>Capacitors</t>
  </si>
  <si>
    <t>Fixed and Switched Shunt Capacitor</t>
  </si>
  <si>
    <t>Conductors</t>
  </si>
  <si>
    <t>Service Conductor Replacement</t>
  </si>
  <si>
    <t>Power Factor Improvements</t>
  </si>
  <si>
    <t>VAR Management/Controls</t>
  </si>
  <si>
    <t>Transformers (NEMA TP-1 or Higher)</t>
  </si>
  <si>
    <t>Voltage Management</t>
  </si>
  <si>
    <t>Conservation Voltage Reduction (CVR)</t>
  </si>
  <si>
    <t>Motors/Drives Installation on Blower System</t>
  </si>
  <si>
    <t>Blower System Improvements</t>
  </si>
  <si>
    <t>Wastewater System Improvements</t>
  </si>
  <si>
    <t>Interactive Wastewater System Improvements</t>
  </si>
  <si>
    <t>Fast Acting Doors</t>
  </si>
  <si>
    <t>Pipe Insulation</t>
  </si>
  <si>
    <t>Residential</t>
  </si>
  <si>
    <t>Entertainment</t>
  </si>
  <si>
    <t>Set Top Boxes</t>
  </si>
  <si>
    <t>Televisions</t>
  </si>
  <si>
    <t>Bi-Radient Oven</t>
  </si>
  <si>
    <t>HVAC System</t>
  </si>
  <si>
    <t>Air Conditioners</t>
  </si>
  <si>
    <t>Air-Source Heat Pumps w/Duct Sealing</t>
  </si>
  <si>
    <t>Air-Source Heat Pumps w/o Duct Sealing</t>
  </si>
  <si>
    <t>Commissioning Controls Sizing</t>
  </si>
  <si>
    <t>Duct Sealing</t>
  </si>
  <si>
    <t>HVAC system</t>
  </si>
  <si>
    <t>Ground-source Heat Pump</t>
  </si>
  <si>
    <t>Ground-Source Heat Pumps w/ Duct Sealing</t>
  </si>
  <si>
    <t>Ground-Source Heat Pumps w/o Duct Sealing</t>
  </si>
  <si>
    <t>Sealing and Commissioning</t>
  </si>
  <si>
    <t>Sealing Commissioning and Controls</t>
  </si>
  <si>
    <t>Variable Speed Heat Pumps w/o Duct Sealing</t>
  </si>
  <si>
    <t>Lamps/Fixtures</t>
  </si>
  <si>
    <t>Fixtures</t>
  </si>
  <si>
    <t>Lamps</t>
  </si>
  <si>
    <t>Water Heat Recovery</t>
  </si>
  <si>
    <t>Heat Pump Water Heaters</t>
  </si>
  <si>
    <t>Homes</t>
  </si>
  <si>
    <t>Built Green Home</t>
  </si>
  <si>
    <t>EcoRated Home</t>
  </si>
  <si>
    <t>Energy Star Home</t>
  </si>
  <si>
    <t>Montana House</t>
  </si>
  <si>
    <t>NEEM Certified Home</t>
  </si>
  <si>
    <t>Behavioral</t>
  </si>
  <si>
    <t>Utility System Efficiency</t>
  </si>
  <si>
    <t>Utility Distribution System</t>
  </si>
  <si>
    <t>Insulators</t>
  </si>
  <si>
    <t>Operation System Improvements</t>
  </si>
  <si>
    <t>VAR management/Controls</t>
  </si>
  <si>
    <t>Transformer Load Management</t>
  </si>
  <si>
    <t>Utility Station Service Loads</t>
  </si>
  <si>
    <t>Utility Remote Feedback</t>
  </si>
  <si>
    <t>Utility Service Connection Standards</t>
  </si>
  <si>
    <t>Utility Generation System</t>
  </si>
  <si>
    <t>Service Station System Improvements</t>
  </si>
  <si>
    <t>Utility Transmission System</t>
  </si>
  <si>
    <t>Operation</t>
  </si>
  <si>
    <t>Fixed and Swtiched Shunt Capacitor</t>
  </si>
  <si>
    <t xml:space="preserve">Utility Transmission System </t>
  </si>
  <si>
    <t>Bi-Level Stairwell Lighting</t>
  </si>
  <si>
    <t>Low Power LF Lamps</t>
  </si>
  <si>
    <t>Final Check for Draft Plan</t>
  </si>
  <si>
    <t>Comments Reviewed &amp; Updates Complete</t>
  </si>
  <si>
    <t>Run ProCost with Final Inputs (Gas)</t>
  </si>
  <si>
    <t>SC Curve measure references linked to MList</t>
  </si>
  <si>
    <t>Check/Repair RPM Links</t>
  </si>
  <si>
    <t>Check Linked Files and Range Names.  Correct link to ComMaster</t>
  </si>
  <si>
    <t>SC Curve to Auto High/Low Forecast</t>
  </si>
  <si>
    <t>Com-HPLowPowerGSFL-7P_V5.xlsx</t>
  </si>
  <si>
    <t>Com-LightingInterior-7P_v36.xlsx</t>
  </si>
  <si>
    <t>Com-InteriorLightingControls-7P_V5.xlsx</t>
  </si>
  <si>
    <t>Com-ExteriorLighting-7P_V13.xlsx</t>
  </si>
  <si>
    <t>30% of buildings in CBSA have undergone HVAC retrofit.  Assume 1/3 of this is major enough to warrant VRF:</t>
  </si>
  <si>
    <t>COM-VRF-7P_V5.xlsm</t>
  </si>
  <si>
    <t>COM-DCV-Garage-7P_V3.xlsm</t>
  </si>
  <si>
    <t>Low Pressure Distribution Complex HVAC-New</t>
  </si>
  <si>
    <t>Economizer</t>
  </si>
  <si>
    <t>COM-Economizer-7P_v1.xlsm</t>
  </si>
  <si>
    <t>Com-RooftopController-7P_V5.xlsm</t>
  </si>
  <si>
    <t>Economizer maintenance and repair</t>
  </si>
  <si>
    <t>Economizer Improvements</t>
  </si>
  <si>
    <t>Com-Streetlight-7P_V9.xlsx</t>
  </si>
  <si>
    <t>Com-WaterCooler-7P_V4.xlsx</t>
  </si>
  <si>
    <t>Com-WindowSGS-7P_V4.xlsx</t>
  </si>
  <si>
    <t>Com-Grocery-7P_V6.xlsx</t>
  </si>
  <si>
    <t>COM-CompressedAir-7P_V3.xlsm</t>
  </si>
  <si>
    <t>COM-Computers-7P_V2.xlsx</t>
  </si>
  <si>
    <t>COM-PowerStrips-7P_V4.xlsm</t>
  </si>
  <si>
    <t>COM-PreRinseSpray-7P_V3.xlsm</t>
  </si>
  <si>
    <t>COM-Cooking-7P_V5.xlsm</t>
  </si>
  <si>
    <t>Com-EM-7P_V4.xlsm</t>
  </si>
  <si>
    <t>Com-DCV-7P_V3.xlsm</t>
  </si>
  <si>
    <t>COM-FumeHood-7P_V2.xlsm</t>
  </si>
  <si>
    <t>COM-ECM-VAV-7P_V3.xlsm</t>
  </si>
  <si>
    <t>COM-MotorsRewind-7P_v2.xlsm</t>
  </si>
  <si>
    <t>COM-Wastewater-7P_V5.xlsm</t>
  </si>
  <si>
    <t>COM-WaterSupply-7P_V5.xlsm</t>
  </si>
  <si>
    <t>COM-WHTanks-7p_v5.xlsm</t>
  </si>
  <si>
    <t>COM-Showerhead-7P_v3.xlsm</t>
  </si>
  <si>
    <t>ElecHTDHP%TYP</t>
  </si>
  <si>
    <t>DHP Share</t>
  </si>
  <si>
    <t>Elect Ht, SZ, &lt;20,000 sf, No Existing HP</t>
  </si>
  <si>
    <t>Premium HVAC Equipment-New</t>
  </si>
  <si>
    <t>Premium HVAC Equipment-NR</t>
  </si>
  <si>
    <t>See Economizer Measure</t>
  </si>
  <si>
    <t>DHP</t>
  </si>
  <si>
    <t>Applicability for DHP, from CBSA</t>
  </si>
  <si>
    <t>See COM-DHP workbook for details</t>
  </si>
  <si>
    <t>Glass-New</t>
  </si>
  <si>
    <t>Glass-NR</t>
  </si>
  <si>
    <t>Glass-Retro</t>
  </si>
  <si>
    <t>ControllerLite</t>
  </si>
  <si>
    <t>Small Commercial Building HVAC Controls</t>
  </si>
  <si>
    <t>HVAC Controls</t>
  </si>
  <si>
    <t>LEC Exit Sign</t>
  </si>
  <si>
    <t>sign</t>
  </si>
  <si>
    <t>Light Emiting Capacitor Exit Sign</t>
  </si>
  <si>
    <t>EPAct 2005</t>
  </si>
  <si>
    <t xml:space="preserve">LEC Exit Sign </t>
  </si>
  <si>
    <t>Com-ExitSign-7P_V2.xlsx</t>
  </si>
</sst>
</file>

<file path=xl/styles.xml><?xml version="1.0" encoding="utf-8"?>
<styleSheet xmlns="http://schemas.openxmlformats.org/spreadsheetml/2006/main">
  <numFmts count="16">
    <numFmt numFmtId="44" formatCode="_(&quot;$&quot;* #,##0.00_);_(&quot;$&quot;* \(#,##0.00\);_(&quot;$&quot;* &quot;-&quot;??_);_(@_)"/>
    <numFmt numFmtId="43" formatCode="_(* #,##0.00_);_(* \(#,##0.00\);_(* &quot;-&quot;??_);_(@_)"/>
    <numFmt numFmtId="164" formatCode="0.0%"/>
    <numFmt numFmtId="165" formatCode="0.0"/>
    <numFmt numFmtId="166" formatCode="_(* #,##0_);_(* \(#,##0\);_(* &quot;-&quot;??_);_(@_)"/>
    <numFmt numFmtId="167" formatCode="_(* #,##0.0_);_(* \(#,##0.0\);_(* &quot;-&quot;??_);_(@_)"/>
    <numFmt numFmtId="168" formatCode="_(* #,##0.000_);_(* \(#,##0.000\);_(* &quot;-&quot;??_);_(@_)"/>
    <numFmt numFmtId="169" formatCode="dd\-mmm\-yy"/>
    <numFmt numFmtId="170" formatCode="#,##0.0"/>
    <numFmt numFmtId="171" formatCode="@*."/>
    <numFmt numFmtId="172" formatCode="[$-F800]dddd\,\ mmmm\ dd\,\ yyyy"/>
    <numFmt numFmtId="173" formatCode="&quot;$&quot;#,##0\ ;\(&quot;$&quot;#,##0\)"/>
    <numFmt numFmtId="174" formatCode="m/d/\ h:mm"/>
    <numFmt numFmtId="175" formatCode="########\-###\-###"/>
    <numFmt numFmtId="176" formatCode="General_)"/>
    <numFmt numFmtId="177" formatCode="d\-mmm\-yyyy"/>
  </numFmts>
  <fonts count="83">
    <font>
      <sz val="10"/>
      <name val="Arial"/>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name val="Arial"/>
      <family val="2"/>
    </font>
    <font>
      <sz val="8"/>
      <color indexed="81"/>
      <name val="Tahoma"/>
      <family val="2"/>
    </font>
    <font>
      <b/>
      <sz val="8"/>
      <color indexed="81"/>
      <name val="Tahoma"/>
      <family val="2"/>
    </font>
    <font>
      <sz val="10"/>
      <name val="Arial"/>
      <family val="2"/>
    </font>
    <font>
      <u/>
      <sz val="10"/>
      <color indexed="12"/>
      <name val="Arial"/>
      <family val="2"/>
    </font>
    <font>
      <b/>
      <sz val="10"/>
      <name val="Arial"/>
      <family val="2"/>
    </font>
    <font>
      <b/>
      <sz val="10"/>
      <color indexed="10"/>
      <name val="Arial"/>
      <family val="2"/>
    </font>
    <font>
      <b/>
      <i/>
      <sz val="10"/>
      <color indexed="10"/>
      <name val="Arial"/>
      <family val="2"/>
    </font>
    <font>
      <sz val="12"/>
      <name val="Arial"/>
      <family val="2"/>
    </font>
    <font>
      <b/>
      <sz val="12"/>
      <name val="Arial"/>
      <family val="2"/>
    </font>
    <font>
      <b/>
      <sz val="8"/>
      <name val="Arial"/>
      <family val="2"/>
    </font>
    <font>
      <sz val="8"/>
      <name val="Arial"/>
      <family val="2"/>
    </font>
    <font>
      <b/>
      <sz val="11"/>
      <color indexed="81"/>
      <name val="Tahoma"/>
      <family val="2"/>
    </font>
    <font>
      <sz val="11"/>
      <color indexed="81"/>
      <name val="Tahoma"/>
      <family val="2"/>
    </font>
    <font>
      <sz val="10"/>
      <color rgb="FFFF0000"/>
      <name val="Arial"/>
      <family val="2"/>
    </font>
    <font>
      <sz val="11"/>
      <color theme="1"/>
      <name val="Calibri"/>
      <family val="2"/>
      <scheme val="minor"/>
    </font>
    <font>
      <b/>
      <sz val="10"/>
      <color theme="0"/>
      <name val="Calibri"/>
      <family val="2"/>
      <scheme val="minor"/>
    </font>
    <font>
      <sz val="10"/>
      <color theme="1"/>
      <name val="Calibri"/>
      <family val="2"/>
      <scheme val="minor"/>
    </font>
    <font>
      <sz val="10"/>
      <color theme="0" tint="-0.249977111117893"/>
      <name val="Arial"/>
      <family val="2"/>
    </font>
    <font>
      <sz val="10"/>
      <color theme="0" tint="-0.249977111117893"/>
      <name val="Calibri"/>
      <family val="2"/>
      <scheme val="minor"/>
    </font>
    <font>
      <b/>
      <sz val="10"/>
      <color rgb="FFFF0000"/>
      <name val="Arial"/>
      <family val="2"/>
    </font>
    <font>
      <sz val="10"/>
      <color theme="0" tint="-0.34998626667073579"/>
      <name val="Arial"/>
      <family val="2"/>
    </font>
    <font>
      <sz val="10"/>
      <color theme="0" tint="-0.14999847407452621"/>
      <name val="Arial"/>
      <family val="2"/>
    </font>
    <font>
      <b/>
      <sz val="10"/>
      <color theme="0"/>
      <name val="Arial"/>
      <family val="2"/>
    </font>
    <font>
      <b/>
      <sz val="10"/>
      <color indexed="8"/>
      <name val="Calibri"/>
      <family val="2"/>
      <scheme val="minor"/>
    </font>
    <font>
      <sz val="10"/>
      <color theme="0"/>
      <name val="Arial"/>
      <family val="2"/>
    </font>
    <font>
      <b/>
      <sz val="11"/>
      <color theme="0"/>
      <name val="Calibri"/>
      <family val="2"/>
      <scheme val="minor"/>
    </font>
    <font>
      <sz val="10"/>
      <color theme="1" tint="0.14999847407452621"/>
      <name val="Arial"/>
      <family val="2"/>
    </font>
    <font>
      <b/>
      <sz val="10"/>
      <color theme="1"/>
      <name val="Arial"/>
      <family val="2"/>
    </font>
    <font>
      <sz val="10"/>
      <color theme="0" tint="-0.499984740745262"/>
      <name val="Arial"/>
      <family val="2"/>
    </font>
    <font>
      <b/>
      <i/>
      <sz val="12"/>
      <color rgb="FFFF0000"/>
      <name val="Arial"/>
      <family val="2"/>
    </font>
    <font>
      <i/>
      <sz val="10"/>
      <name val="Arial"/>
      <family val="2"/>
    </font>
    <font>
      <sz val="11"/>
      <color indexed="8"/>
      <name val="Calibri"/>
      <family val="2"/>
      <scheme val="minor"/>
    </font>
    <font>
      <b/>
      <sz val="9"/>
      <color indexed="81"/>
      <name val="Tahoma"/>
      <family val="2"/>
    </font>
    <font>
      <sz val="9"/>
      <color indexed="81"/>
      <name val="Tahoma"/>
      <family val="2"/>
    </font>
    <font>
      <u/>
      <sz val="10"/>
      <color theme="0" tint="-0.499984740745262"/>
      <name val="Arial"/>
      <family val="2"/>
    </font>
    <font>
      <b/>
      <i/>
      <sz val="10"/>
      <color rgb="FFFF0000"/>
      <name val="Arial"/>
      <family val="2"/>
    </font>
    <font>
      <sz val="10"/>
      <color indexed="12"/>
      <name val="Arial"/>
      <family val="2"/>
    </font>
    <font>
      <b/>
      <sz val="11"/>
      <color rgb="FF000000"/>
      <name val="Calibri"/>
      <family val="2"/>
    </font>
    <font>
      <sz val="11"/>
      <color rgb="FF000000"/>
      <name val="Calibri"/>
      <family val="2"/>
    </font>
    <font>
      <b/>
      <sz val="11"/>
      <color theme="1"/>
      <name val="Calibri"/>
      <family val="2"/>
      <scheme val="minor"/>
    </font>
    <font>
      <i/>
      <sz val="10"/>
      <color rgb="FFFF000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color indexed="24"/>
      <name val="Times New Roman"/>
      <family val="1"/>
    </font>
    <font>
      <sz val="12"/>
      <name val="Times New Roman"/>
      <family val="1"/>
    </font>
    <font>
      <i/>
      <sz val="11"/>
      <color indexed="23"/>
      <name val="Calibri"/>
      <family val="2"/>
    </font>
    <font>
      <sz val="7"/>
      <name val="Arial"/>
      <family val="2"/>
    </font>
    <font>
      <sz val="11"/>
      <color indexed="17"/>
      <name val="Calibri"/>
      <family val="2"/>
    </font>
    <font>
      <b/>
      <sz val="12"/>
      <name val="Times New Roman"/>
      <family val="1"/>
    </font>
    <font>
      <b/>
      <sz val="15"/>
      <color indexed="56"/>
      <name val="Calibri"/>
      <family val="2"/>
    </font>
    <font>
      <b/>
      <sz val="13"/>
      <color indexed="56"/>
      <name val="Calibri"/>
      <family val="2"/>
    </font>
    <font>
      <b/>
      <sz val="10"/>
      <color indexed="9"/>
      <name val="Arial"/>
      <family val="2"/>
    </font>
    <font>
      <b/>
      <sz val="11"/>
      <color indexed="56"/>
      <name val="Calibri"/>
      <family val="2"/>
    </font>
    <font>
      <u/>
      <sz val="10"/>
      <color theme="10"/>
      <name val="MS Sans Serif"/>
      <family val="2"/>
    </font>
    <font>
      <u/>
      <sz val="11"/>
      <color theme="10"/>
      <name val="Calibri"/>
      <family val="2"/>
    </font>
    <font>
      <sz val="11"/>
      <color indexed="62"/>
      <name val="Calibri"/>
      <family val="2"/>
    </font>
    <font>
      <sz val="11"/>
      <color indexed="52"/>
      <name val="Calibri"/>
      <family val="2"/>
    </font>
    <font>
      <sz val="10"/>
      <color theme="1" tint="0.14996795556505021"/>
      <name val="Cambria"/>
      <family val="1"/>
      <scheme val="major"/>
    </font>
    <font>
      <sz val="11"/>
      <color indexed="60"/>
      <name val="Calibri"/>
      <family val="2"/>
    </font>
    <font>
      <sz val="11"/>
      <color indexed="8"/>
      <name val="TimesNewRomanPS"/>
    </font>
    <font>
      <sz val="12"/>
      <color indexed="12"/>
      <name val="Times New Roman"/>
      <family val="1"/>
    </font>
    <font>
      <sz val="10"/>
      <name val="MS Sans Serif"/>
      <family val="2"/>
    </font>
    <font>
      <sz val="12"/>
      <name val="Arial MT"/>
    </font>
    <font>
      <b/>
      <sz val="11"/>
      <color indexed="63"/>
      <name val="Calibri"/>
      <family val="2"/>
    </font>
    <font>
      <sz val="10"/>
      <name val="Helv"/>
      <charset val="204"/>
    </font>
    <font>
      <b/>
      <sz val="18"/>
      <color indexed="56"/>
      <name val="Cambria"/>
      <family val="2"/>
    </font>
    <font>
      <b/>
      <sz val="11"/>
      <color indexed="8"/>
      <name val="Calibri"/>
      <family val="2"/>
    </font>
    <font>
      <sz val="10"/>
      <name val="LinePrinter"/>
    </font>
    <font>
      <sz val="11"/>
      <color indexed="10"/>
      <name val="Calibri"/>
      <family val="2"/>
    </font>
  </fonts>
  <fills count="57">
    <fill>
      <patternFill patternType="none"/>
    </fill>
    <fill>
      <patternFill patternType="gray125"/>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14"/>
        <bgColor indexed="64"/>
      </patternFill>
    </fill>
    <fill>
      <patternFill patternType="solid">
        <fgColor indexed="49"/>
        <bgColor indexed="64"/>
      </patternFill>
    </fill>
    <fill>
      <patternFill patternType="solid">
        <fgColor indexed="42"/>
        <bgColor indexed="64"/>
      </patternFill>
    </fill>
    <fill>
      <patternFill patternType="solid">
        <fgColor indexed="43"/>
        <bgColor indexed="64"/>
      </patternFill>
    </fill>
    <fill>
      <patternFill patternType="solid">
        <fgColor indexed="41"/>
        <bgColor indexed="64"/>
      </patternFill>
    </fill>
    <fill>
      <patternFill patternType="solid">
        <fgColor indexed="51"/>
        <bgColor indexed="64"/>
      </patternFill>
    </fill>
    <fill>
      <patternFill patternType="solid">
        <fgColor theme="2" tint="-9.9978637043366805E-2"/>
        <bgColor indexed="64"/>
      </patternFill>
    </fill>
    <fill>
      <patternFill patternType="solid">
        <fgColor theme="3"/>
        <bgColor indexed="64"/>
      </patternFill>
    </fill>
    <fill>
      <patternFill patternType="solid">
        <fgColor theme="3" tint="0.79998168889431442"/>
        <bgColor indexed="64"/>
      </patternFill>
    </fill>
    <fill>
      <patternFill patternType="solid">
        <fgColor rgb="FFFFFF00"/>
        <bgColor indexed="64"/>
      </patternFill>
    </fill>
    <fill>
      <patternFill patternType="solid">
        <fgColor theme="8" tint="0.39997558519241921"/>
        <bgColor indexed="64"/>
      </patternFill>
    </fill>
    <fill>
      <patternFill patternType="solid">
        <fgColor theme="2"/>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theme="3" tint="0.59999389629810485"/>
        <bgColor indexed="64"/>
      </patternFill>
    </fill>
    <fill>
      <patternFill patternType="solid">
        <fgColor theme="4" tint="0.79998168889431442"/>
        <bgColor indexed="64"/>
      </patternFill>
    </fill>
    <fill>
      <patternFill patternType="solid">
        <fgColor theme="6" tint="0.39997558519241921"/>
        <bgColor indexed="64"/>
      </patternFill>
    </fill>
    <fill>
      <patternFill patternType="solid">
        <fgColor theme="5" tint="0.39997558519241921"/>
        <bgColor indexed="64"/>
      </patternFill>
    </fill>
    <fill>
      <patternFill patternType="solid">
        <fgColor theme="2" tint="-0.499984740745262"/>
        <bgColor indexed="64"/>
      </patternFill>
    </fill>
    <fill>
      <patternFill patternType="solid">
        <fgColor theme="4" tint="-0.249977111117893"/>
        <bgColor indexed="64"/>
      </patternFill>
    </fill>
    <fill>
      <patternFill patternType="solid">
        <fgColor theme="4" tint="-0.499984740745262"/>
        <bgColor indexed="64"/>
      </patternFill>
    </fill>
    <fill>
      <patternFill patternType="solid">
        <fgColor indexed="22"/>
      </patternFill>
    </fill>
    <fill>
      <patternFill patternType="solid">
        <fgColor theme="2" tint="-0.249977111117893"/>
        <bgColor indexed="64"/>
      </patternFill>
    </fill>
    <fill>
      <patternFill patternType="solid">
        <fgColor rgb="FFFFFF66"/>
        <bgColor indexed="64"/>
      </patternFill>
    </fill>
    <fill>
      <patternFill patternType="solid">
        <fgColor theme="4" tint="0.59999389629810485"/>
        <bgColor indexed="64"/>
      </patternFill>
    </fill>
    <fill>
      <patternFill patternType="solid">
        <fgColor rgb="FFDBE5F1"/>
        <bgColor indexed="64"/>
      </patternFill>
    </fill>
    <fill>
      <patternFill patternType="solid">
        <fgColor theme="4" tint="0.79998168889431442"/>
        <bgColor theme="4" tint="0.79998168889431442"/>
      </patternFill>
    </fill>
    <fill>
      <patternFill patternType="solid">
        <fgColor theme="0" tint="-0.149998474074526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8"/>
        <bgColor indexed="64"/>
      </patternFill>
    </fill>
    <fill>
      <patternFill patternType="solid">
        <fgColor rgb="FFFFFF99"/>
        <bgColor indexed="64"/>
      </patternFill>
    </fill>
    <fill>
      <patternFill patternType="solid">
        <fgColor theme="0" tint="-4.9989318521683403E-2"/>
        <bgColor indexed="64"/>
      </patternFill>
    </fill>
    <fill>
      <patternFill patternType="solid">
        <fgColor indexed="43"/>
      </patternFill>
    </fill>
    <fill>
      <patternFill patternType="solid">
        <fgColor indexed="26"/>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rgb="FF95B3D7"/>
      </bottom>
      <diagonal/>
    </border>
    <border>
      <left/>
      <right/>
      <top style="medium">
        <color rgb="FF95B3D7"/>
      </top>
      <bottom/>
      <diagonal/>
    </border>
    <border>
      <left/>
      <right/>
      <top/>
      <bottom style="thin">
        <color theme="4" tint="0.39997558519241921"/>
      </bottom>
      <diagonal/>
    </border>
    <border>
      <left/>
      <right/>
      <top style="thin">
        <color theme="4" tint="0.39997558519241921"/>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double">
        <color theme="1" tint="0.499984740745262"/>
      </left>
      <right style="double">
        <color theme="1" tint="0.499984740745262"/>
      </right>
      <top style="double">
        <color theme="1" tint="0.499984740745262"/>
      </top>
      <bottom style="double">
        <color theme="1" tint="0.499984740745262"/>
      </bottom>
      <diagonal/>
    </border>
    <border>
      <left/>
      <right/>
      <top/>
      <bottom style="double">
        <color indexed="52"/>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256">
    <xf numFmtId="0" fontId="0" fillId="0" borderId="0"/>
    <xf numFmtId="43" fontId="10" fillId="0" borderId="0" applyFont="0" applyFill="0" applyBorder="0" applyAlignment="0" applyProtection="0"/>
    <xf numFmtId="0" fontId="13" fillId="2" borderId="0" applyNumberFormat="0" applyAlignment="0">
      <alignment horizontal="right"/>
    </xf>
    <xf numFmtId="0" fontId="10" fillId="3" borderId="0" applyNumberFormat="0" applyAlignment="0"/>
    <xf numFmtId="0" fontId="14" fillId="0" borderId="0" applyNumberFormat="0" applyFill="0" applyBorder="0" applyAlignment="0" applyProtection="0">
      <alignment vertical="top"/>
      <protection locked="0"/>
    </xf>
    <xf numFmtId="9" fontId="10" fillId="0" borderId="0" applyFont="0" applyFill="0" applyBorder="0" applyAlignment="0" applyProtection="0"/>
    <xf numFmtId="0" fontId="25" fillId="0" borderId="0"/>
    <xf numFmtId="0" fontId="42" fillId="26" borderId="0">
      <alignment wrapText="1"/>
    </xf>
    <xf numFmtId="0" fontId="42" fillId="0" borderId="0">
      <alignment wrapText="1"/>
    </xf>
    <xf numFmtId="0" fontId="42" fillId="0" borderId="0">
      <alignment wrapText="1"/>
    </xf>
    <xf numFmtId="0" fontId="2" fillId="0" borderId="0"/>
    <xf numFmtId="43" fontId="10" fillId="0" borderId="0" applyFont="0" applyFill="0" applyBorder="0" applyAlignment="0" applyProtection="0"/>
    <xf numFmtId="0" fontId="10" fillId="0" borderId="0" applyNumberFormat="0" applyFill="0" applyBorder="0" applyAlignment="0" applyProtection="0"/>
    <xf numFmtId="0" fontId="52" fillId="33" borderId="0" applyNumberFormat="0" applyBorder="0" applyAlignment="0" applyProtection="0"/>
    <xf numFmtId="0" fontId="52" fillId="33" borderId="0" applyNumberFormat="0" applyBorder="0" applyAlignment="0" applyProtection="0"/>
    <xf numFmtId="0" fontId="52" fillId="33" borderId="0" applyNumberFormat="0" applyBorder="0" applyAlignment="0" applyProtection="0"/>
    <xf numFmtId="0" fontId="52" fillId="34" borderId="0" applyNumberFormat="0" applyBorder="0" applyAlignment="0" applyProtection="0"/>
    <xf numFmtId="0" fontId="52" fillId="34" borderId="0" applyNumberFormat="0" applyBorder="0" applyAlignment="0" applyProtection="0"/>
    <xf numFmtId="0" fontId="52" fillId="34" borderId="0" applyNumberFormat="0" applyBorder="0" applyAlignment="0" applyProtection="0"/>
    <xf numFmtId="0" fontId="52" fillId="35" borderId="0" applyNumberFormat="0" applyBorder="0" applyAlignment="0" applyProtection="0"/>
    <xf numFmtId="0" fontId="52" fillId="35" borderId="0" applyNumberFormat="0" applyBorder="0" applyAlignment="0" applyProtection="0"/>
    <xf numFmtId="0" fontId="52" fillId="35" borderId="0" applyNumberFormat="0" applyBorder="0" applyAlignment="0" applyProtection="0"/>
    <xf numFmtId="0" fontId="52" fillId="36" borderId="0" applyNumberFormat="0" applyBorder="0" applyAlignment="0" applyProtection="0"/>
    <xf numFmtId="0" fontId="52" fillId="36" borderId="0" applyNumberFormat="0" applyBorder="0" applyAlignment="0" applyProtection="0"/>
    <xf numFmtId="0" fontId="52" fillId="36" borderId="0" applyNumberFormat="0" applyBorder="0" applyAlignment="0" applyProtection="0"/>
    <xf numFmtId="0" fontId="52" fillId="37" borderId="0" applyNumberFormat="0" applyBorder="0" applyAlignment="0" applyProtection="0"/>
    <xf numFmtId="0" fontId="52" fillId="37" borderId="0" applyNumberFormat="0" applyBorder="0" applyAlignment="0" applyProtection="0"/>
    <xf numFmtId="0" fontId="52" fillId="37" borderId="0" applyNumberFormat="0" applyBorder="0" applyAlignment="0" applyProtection="0"/>
    <xf numFmtId="0" fontId="52" fillId="38" borderId="0" applyNumberFormat="0" applyBorder="0" applyAlignment="0" applyProtection="0"/>
    <xf numFmtId="0" fontId="52" fillId="38" borderId="0" applyNumberFormat="0" applyBorder="0" applyAlignment="0" applyProtection="0"/>
    <xf numFmtId="0" fontId="52" fillId="38" borderId="0" applyNumberFormat="0" applyBorder="0" applyAlignment="0" applyProtection="0"/>
    <xf numFmtId="0" fontId="52" fillId="39" borderId="0" applyNumberFormat="0" applyBorder="0" applyAlignment="0" applyProtection="0"/>
    <xf numFmtId="0" fontId="52" fillId="39" borderId="0" applyNumberFormat="0" applyBorder="0" applyAlignment="0" applyProtection="0"/>
    <xf numFmtId="0" fontId="52" fillId="39" borderId="0" applyNumberFormat="0" applyBorder="0" applyAlignment="0" applyProtection="0"/>
    <xf numFmtId="0" fontId="52" fillId="40" borderId="0" applyNumberFormat="0" applyBorder="0" applyAlignment="0" applyProtection="0"/>
    <xf numFmtId="0" fontId="52" fillId="40" borderId="0" applyNumberFormat="0" applyBorder="0" applyAlignment="0" applyProtection="0"/>
    <xf numFmtId="0" fontId="52" fillId="40" borderId="0" applyNumberFormat="0" applyBorder="0" applyAlignment="0" applyProtection="0"/>
    <xf numFmtId="0" fontId="52" fillId="41" borderId="0" applyNumberFormat="0" applyBorder="0" applyAlignment="0" applyProtection="0"/>
    <xf numFmtId="0" fontId="52" fillId="41" borderId="0" applyNumberFormat="0" applyBorder="0" applyAlignment="0" applyProtection="0"/>
    <xf numFmtId="0" fontId="52" fillId="41" borderId="0" applyNumberFormat="0" applyBorder="0" applyAlignment="0" applyProtection="0"/>
    <xf numFmtId="0" fontId="52" fillId="36" borderId="0" applyNumberFormat="0" applyBorder="0" applyAlignment="0" applyProtection="0"/>
    <xf numFmtId="0" fontId="52" fillId="36" borderId="0" applyNumberFormat="0" applyBorder="0" applyAlignment="0" applyProtection="0"/>
    <xf numFmtId="0" fontId="52" fillId="36" borderId="0" applyNumberFormat="0" applyBorder="0" applyAlignment="0" applyProtection="0"/>
    <xf numFmtId="0" fontId="52" fillId="39" borderId="0" applyNumberFormat="0" applyBorder="0" applyAlignment="0" applyProtection="0"/>
    <xf numFmtId="0" fontId="52" fillId="39" borderId="0" applyNumberFormat="0" applyBorder="0" applyAlignment="0" applyProtection="0"/>
    <xf numFmtId="0" fontId="52" fillId="39" borderId="0" applyNumberFormat="0" applyBorder="0" applyAlignment="0" applyProtection="0"/>
    <xf numFmtId="0" fontId="52" fillId="42" borderId="0" applyNumberFormat="0" applyBorder="0" applyAlignment="0" applyProtection="0"/>
    <xf numFmtId="0" fontId="52" fillId="42" borderId="0" applyNumberFormat="0" applyBorder="0" applyAlignment="0" applyProtection="0"/>
    <xf numFmtId="0" fontId="52" fillId="42" borderId="0" applyNumberFormat="0" applyBorder="0" applyAlignment="0" applyProtection="0"/>
    <xf numFmtId="0" fontId="53" fillId="43" borderId="0" applyNumberFormat="0" applyBorder="0" applyAlignment="0" applyProtection="0"/>
    <xf numFmtId="0" fontId="53" fillId="43" borderId="0" applyNumberFormat="0" applyBorder="0" applyAlignment="0" applyProtection="0"/>
    <xf numFmtId="0" fontId="53" fillId="43" borderId="0" applyNumberFormat="0" applyBorder="0" applyAlignment="0" applyProtection="0"/>
    <xf numFmtId="0" fontId="53" fillId="40" borderId="0" applyNumberFormat="0" applyBorder="0" applyAlignment="0" applyProtection="0"/>
    <xf numFmtId="0" fontId="53" fillId="40" borderId="0" applyNumberFormat="0" applyBorder="0" applyAlignment="0" applyProtection="0"/>
    <xf numFmtId="0" fontId="53" fillId="40" borderId="0" applyNumberFormat="0" applyBorder="0" applyAlignment="0" applyProtection="0"/>
    <xf numFmtId="0" fontId="53" fillId="41" borderId="0" applyNumberFormat="0" applyBorder="0" applyAlignment="0" applyProtection="0"/>
    <xf numFmtId="0" fontId="53" fillId="41" borderId="0" applyNumberFormat="0" applyBorder="0" applyAlignment="0" applyProtection="0"/>
    <xf numFmtId="0" fontId="53" fillId="41" borderId="0" applyNumberFormat="0" applyBorder="0" applyAlignment="0" applyProtection="0"/>
    <xf numFmtId="0" fontId="53" fillId="44" borderId="0" applyNumberFormat="0" applyBorder="0" applyAlignment="0" applyProtection="0"/>
    <xf numFmtId="0" fontId="53" fillId="44" borderId="0" applyNumberFormat="0" applyBorder="0" applyAlignment="0" applyProtection="0"/>
    <xf numFmtId="0" fontId="53" fillId="44" borderId="0" applyNumberFormat="0" applyBorder="0" applyAlignment="0" applyProtection="0"/>
    <xf numFmtId="0" fontId="53" fillId="45" borderId="0" applyNumberFormat="0" applyBorder="0" applyAlignment="0" applyProtection="0"/>
    <xf numFmtId="0" fontId="53" fillId="45" borderId="0" applyNumberFormat="0" applyBorder="0" applyAlignment="0" applyProtection="0"/>
    <xf numFmtId="0" fontId="53" fillId="45" borderId="0" applyNumberFormat="0" applyBorder="0" applyAlignment="0" applyProtection="0"/>
    <xf numFmtId="0" fontId="53" fillId="46" borderId="0" applyNumberFormat="0" applyBorder="0" applyAlignment="0" applyProtection="0"/>
    <xf numFmtId="0" fontId="53" fillId="46" borderId="0" applyNumberFormat="0" applyBorder="0" applyAlignment="0" applyProtection="0"/>
    <xf numFmtId="0" fontId="53" fillId="46" borderId="0" applyNumberFormat="0" applyBorder="0" applyAlignment="0" applyProtection="0"/>
    <xf numFmtId="0" fontId="53" fillId="47" borderId="0" applyNumberFormat="0" applyBorder="0" applyAlignment="0" applyProtection="0"/>
    <xf numFmtId="0" fontId="53" fillId="47" borderId="0" applyNumberFormat="0" applyBorder="0" applyAlignment="0" applyProtection="0"/>
    <xf numFmtId="0" fontId="53" fillId="47" borderId="0" applyNumberFormat="0" applyBorder="0" applyAlignment="0" applyProtection="0"/>
    <xf numFmtId="0" fontId="53" fillId="48" borderId="0" applyNumberFormat="0" applyBorder="0" applyAlignment="0" applyProtection="0"/>
    <xf numFmtId="0" fontId="53" fillId="48" borderId="0" applyNumberFormat="0" applyBorder="0" applyAlignment="0" applyProtection="0"/>
    <xf numFmtId="0" fontId="53" fillId="48" borderId="0" applyNumberFormat="0" applyBorder="0" applyAlignment="0" applyProtection="0"/>
    <xf numFmtId="0" fontId="53" fillId="49" borderId="0" applyNumberFormat="0" applyBorder="0" applyAlignment="0" applyProtection="0"/>
    <xf numFmtId="0" fontId="53" fillId="49" borderId="0" applyNumberFormat="0" applyBorder="0" applyAlignment="0" applyProtection="0"/>
    <xf numFmtId="0" fontId="53" fillId="49" borderId="0" applyNumberFormat="0" applyBorder="0" applyAlignment="0" applyProtection="0"/>
    <xf numFmtId="0" fontId="53" fillId="44" borderId="0" applyNumberFormat="0" applyBorder="0" applyAlignment="0" applyProtection="0"/>
    <xf numFmtId="0" fontId="53" fillId="44" borderId="0" applyNumberFormat="0" applyBorder="0" applyAlignment="0" applyProtection="0"/>
    <xf numFmtId="0" fontId="53" fillId="44" borderId="0" applyNumberFormat="0" applyBorder="0" applyAlignment="0" applyProtection="0"/>
    <xf numFmtId="0" fontId="53" fillId="45" borderId="0" applyNumberFormat="0" applyBorder="0" applyAlignment="0" applyProtection="0"/>
    <xf numFmtId="0" fontId="53" fillId="45" borderId="0" applyNumberFormat="0" applyBorder="0" applyAlignment="0" applyProtection="0"/>
    <xf numFmtId="0" fontId="53" fillId="45" borderId="0" applyNumberFormat="0" applyBorder="0" applyAlignment="0" applyProtection="0"/>
    <xf numFmtId="0" fontId="53" fillId="50" borderId="0" applyNumberFormat="0" applyBorder="0" applyAlignment="0" applyProtection="0"/>
    <xf numFmtId="0" fontId="53" fillId="50" borderId="0" applyNumberFormat="0" applyBorder="0" applyAlignment="0" applyProtection="0"/>
    <xf numFmtId="0" fontId="53" fillId="50" borderId="0" applyNumberFormat="0" applyBorder="0" applyAlignment="0" applyProtection="0"/>
    <xf numFmtId="0" fontId="54" fillId="34" borderId="0" applyNumberFormat="0" applyBorder="0" applyAlignment="0" applyProtection="0"/>
    <xf numFmtId="0" fontId="54" fillId="34" borderId="0" applyNumberFormat="0" applyBorder="0" applyAlignment="0" applyProtection="0"/>
    <xf numFmtId="0" fontId="54" fillId="34" borderId="0" applyNumberFormat="0" applyBorder="0" applyAlignment="0" applyProtection="0"/>
    <xf numFmtId="0" fontId="55" fillId="26" borderId="24" applyNumberFormat="0" applyAlignment="0" applyProtection="0"/>
    <xf numFmtId="0" fontId="55" fillId="26" borderId="24" applyNumberFormat="0" applyAlignment="0" applyProtection="0"/>
    <xf numFmtId="0" fontId="55" fillId="26" borderId="24" applyNumberFormat="0" applyAlignment="0" applyProtection="0"/>
    <xf numFmtId="0" fontId="56" fillId="51" borderId="25" applyNumberFormat="0" applyAlignment="0" applyProtection="0"/>
    <xf numFmtId="0" fontId="56" fillId="51" borderId="25" applyNumberFormat="0" applyAlignment="0" applyProtection="0"/>
    <xf numFmtId="0" fontId="56" fillId="51" borderId="25" applyNumberFormat="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0" fillId="0" borderId="0" applyFont="0" applyFill="0" applyBorder="0" applyAlignment="0" applyProtection="0"/>
    <xf numFmtId="43" fontId="18" fillId="0" borderId="0" applyFont="0" applyFill="0" applyBorder="0" applyAlignment="0" applyProtection="0"/>
    <xf numFmtId="43" fontId="25" fillId="0" borderId="0" applyFont="0" applyFill="0" applyBorder="0" applyAlignment="0" applyProtection="0"/>
    <xf numFmtId="43" fontId="18" fillId="0" borderId="0" applyFont="0" applyFill="0" applyBorder="0" applyAlignment="0" applyProtection="0"/>
    <xf numFmtId="43" fontId="10"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3" fontId="57" fillId="0" borderId="0" applyFont="0" applyFill="0" applyBorder="0" applyAlignment="0" applyProtection="0"/>
    <xf numFmtId="44" fontId="25" fillId="0" borderId="0" applyFont="0" applyFill="0" applyBorder="0" applyAlignment="0" applyProtection="0"/>
    <xf numFmtId="44" fontId="10" fillId="0" borderId="0" applyFont="0" applyFill="0" applyBorder="0" applyAlignment="0" applyProtection="0"/>
    <xf numFmtId="44" fontId="18" fillId="0" borderId="0" applyFont="0" applyFill="0" applyBorder="0" applyAlignment="0" applyProtection="0"/>
    <xf numFmtId="44" fontId="25" fillId="0" borderId="0" applyFont="0" applyFill="0" applyBorder="0" applyAlignment="0" applyProtection="0"/>
    <xf numFmtId="44" fontId="10"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173" fontId="57" fillId="0" borderId="0" applyFont="0" applyFill="0" applyBorder="0" applyAlignment="0" applyProtection="0"/>
    <xf numFmtId="0" fontId="10" fillId="2" borderId="0" applyNumberFormat="0" applyAlignment="0">
      <alignment horizontal="right"/>
    </xf>
    <xf numFmtId="0" fontId="10" fillId="2" borderId="0" applyNumberFormat="0" applyAlignment="0">
      <alignment horizontal="right"/>
    </xf>
    <xf numFmtId="0" fontId="10" fillId="2" borderId="0" applyNumberFormat="0" applyAlignment="0">
      <alignment horizontal="right"/>
    </xf>
    <xf numFmtId="0" fontId="10" fillId="2" borderId="0" applyNumberFormat="0" applyAlignment="0">
      <alignment horizontal="right"/>
    </xf>
    <xf numFmtId="0" fontId="10" fillId="2" borderId="0" applyNumberFormat="0" applyAlignment="0">
      <alignment horizontal="right"/>
    </xf>
    <xf numFmtId="0" fontId="10" fillId="2" borderId="0" applyNumberFormat="0" applyAlignment="0">
      <alignment horizontal="right"/>
    </xf>
    <xf numFmtId="0" fontId="10" fillId="2" borderId="0" applyNumberFormat="0" applyAlignment="0">
      <alignment horizontal="right"/>
    </xf>
    <xf numFmtId="0" fontId="10" fillId="3" borderId="0" applyNumberFormat="0" applyAlignment="0"/>
    <xf numFmtId="0" fontId="10" fillId="3" borderId="0" applyNumberFormat="0" applyAlignment="0"/>
    <xf numFmtId="0" fontId="10" fillId="3" borderId="0" applyNumberFormat="0" applyAlignment="0"/>
    <xf numFmtId="0" fontId="10" fillId="3" borderId="0" applyNumberFormat="0" applyAlignment="0"/>
    <xf numFmtId="0" fontId="10" fillId="3" borderId="0" applyNumberFormat="0" applyAlignment="0"/>
    <xf numFmtId="0" fontId="10" fillId="3" borderId="0" applyNumberFormat="0" applyAlignment="0"/>
    <xf numFmtId="0" fontId="10" fillId="3" borderId="0" applyNumberFormat="0" applyAlignment="0"/>
    <xf numFmtId="0" fontId="57" fillId="0" borderId="0" applyFont="0" applyFill="0" applyBorder="0" applyAlignment="0" applyProtection="0"/>
    <xf numFmtId="174" fontId="58" fillId="0" borderId="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2" fontId="57" fillId="0" borderId="0" applyFont="0" applyFill="0" applyBorder="0" applyAlignment="0" applyProtection="0"/>
    <xf numFmtId="0" fontId="60" fillId="0" borderId="0" applyFont="0" applyFill="0" applyBorder="0" applyAlignment="0" applyProtection="0">
      <alignment horizontal="left"/>
    </xf>
    <xf numFmtId="0" fontId="61" fillId="35" borderId="0" applyNumberFormat="0" applyBorder="0" applyAlignment="0" applyProtection="0"/>
    <xf numFmtId="0" fontId="61" fillId="35" borderId="0" applyNumberFormat="0" applyBorder="0" applyAlignment="0" applyProtection="0"/>
    <xf numFmtId="0" fontId="61" fillId="35" borderId="0" applyNumberFormat="0" applyBorder="0" applyAlignment="0" applyProtection="0"/>
    <xf numFmtId="0" fontId="62" fillId="0" borderId="0">
      <alignment horizontal="center" wrapText="1"/>
    </xf>
    <xf numFmtId="0" fontId="63" fillId="0" borderId="26" applyNumberFormat="0" applyFill="0" applyAlignment="0" applyProtection="0"/>
    <xf numFmtId="0" fontId="63" fillId="0" borderId="26" applyNumberFormat="0" applyFill="0" applyAlignment="0" applyProtection="0"/>
    <xf numFmtId="0" fontId="63" fillId="0" borderId="26" applyNumberFormat="0" applyFill="0" applyAlignment="0" applyProtection="0"/>
    <xf numFmtId="0" fontId="64" fillId="0" borderId="27" applyNumberFormat="0" applyFill="0" applyAlignment="0" applyProtection="0"/>
    <xf numFmtId="0" fontId="64" fillId="0" borderId="27" applyNumberFormat="0" applyFill="0" applyAlignment="0" applyProtection="0"/>
    <xf numFmtId="0" fontId="64" fillId="0" borderId="27" applyNumberFormat="0" applyFill="0" applyAlignment="0" applyProtection="0"/>
    <xf numFmtId="0" fontId="65" fillId="52" borderId="13">
      <alignment horizontal="left"/>
    </xf>
    <xf numFmtId="0" fontId="65" fillId="52" borderId="13">
      <alignment horizontal="left"/>
    </xf>
    <xf numFmtId="0" fontId="65" fillId="52" borderId="13">
      <alignment horizontal="left"/>
    </xf>
    <xf numFmtId="0" fontId="65" fillId="52" borderId="13">
      <alignment horizontal="left"/>
    </xf>
    <xf numFmtId="0" fontId="64" fillId="0" borderId="27" applyNumberFormat="0" applyFill="0" applyAlignment="0" applyProtection="0"/>
    <xf numFmtId="0" fontId="66" fillId="0" borderId="28" applyNumberFormat="0" applyFill="0" applyAlignment="0" applyProtection="0"/>
    <xf numFmtId="0" fontId="66" fillId="0" borderId="28" applyNumberFormat="0" applyFill="0" applyAlignment="0" applyProtection="0"/>
    <xf numFmtId="0" fontId="66" fillId="0" borderId="28" applyNumberFormat="0" applyFill="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7" fillId="0" borderId="0" applyNumberFormat="0" applyFill="0" applyBorder="0" applyAlignment="0" applyProtection="0"/>
    <xf numFmtId="0" fontId="68" fillId="0" borderId="0" applyNumberFormat="0" applyFill="0" applyBorder="0" applyAlignment="0" applyProtection="0">
      <alignment vertical="top"/>
      <protection locked="0"/>
    </xf>
    <xf numFmtId="0" fontId="69" fillId="38" borderId="24" applyNumberFormat="0" applyAlignment="0" applyProtection="0"/>
    <xf numFmtId="0" fontId="69" fillId="38" borderId="24" applyNumberFormat="0" applyAlignment="0" applyProtection="0"/>
    <xf numFmtId="0" fontId="69" fillId="38" borderId="24" applyNumberFormat="0" applyAlignment="0" applyProtection="0"/>
    <xf numFmtId="0" fontId="27" fillId="53" borderId="29">
      <alignment wrapText="1"/>
    </xf>
    <xf numFmtId="0" fontId="25" fillId="53" borderId="29"/>
    <xf numFmtId="0" fontId="70" fillId="0" borderId="30" applyNumberFormat="0" applyFill="0" applyAlignment="0" applyProtection="0"/>
    <xf numFmtId="0" fontId="70" fillId="0" borderId="30" applyNumberFormat="0" applyFill="0" applyAlignment="0" applyProtection="0"/>
    <xf numFmtId="0" fontId="70" fillId="0" borderId="30" applyNumberFormat="0" applyFill="0" applyAlignment="0" applyProtection="0"/>
    <xf numFmtId="0" fontId="71" fillId="54" borderId="31">
      <alignment wrapText="1"/>
    </xf>
    <xf numFmtId="175" fontId="10" fillId="0" borderId="0"/>
    <xf numFmtId="175" fontId="10" fillId="0" borderId="0"/>
    <xf numFmtId="0" fontId="72" fillId="55" borderId="0" applyNumberFormat="0" applyBorder="0" applyAlignment="0" applyProtection="0"/>
    <xf numFmtId="0" fontId="72" fillId="55" borderId="0" applyNumberFormat="0" applyBorder="0" applyAlignment="0" applyProtection="0"/>
    <xf numFmtId="0" fontId="72" fillId="55" borderId="0" applyNumberFormat="0" applyBorder="0" applyAlignment="0" applyProtection="0"/>
    <xf numFmtId="37" fontId="73" fillId="0" borderId="0" applyNumberFormat="0" applyFill="0" applyBorder="0"/>
    <xf numFmtId="166" fontId="74" fillId="0" borderId="0" applyFont="0" applyAlignment="0" applyProtection="0"/>
    <xf numFmtId="166" fontId="74" fillId="0" borderId="0" applyFont="0" applyAlignment="0" applyProtection="0"/>
    <xf numFmtId="166" fontId="74" fillId="0" borderId="0" applyFont="0" applyAlignment="0" applyProtection="0"/>
    <xf numFmtId="166" fontId="74" fillId="0" borderId="0" applyFont="0" applyAlignment="0" applyProtection="0"/>
    <xf numFmtId="166" fontId="74" fillId="0" borderId="0" applyFont="0" applyAlignment="0" applyProtection="0"/>
    <xf numFmtId="166" fontId="74" fillId="0" borderId="0" applyFont="0" applyAlignment="0" applyProtection="0"/>
    <xf numFmtId="166" fontId="74" fillId="0" borderId="0" applyFont="0" applyAlignment="0" applyProtection="0"/>
    <xf numFmtId="0" fontId="25" fillId="0" borderId="0"/>
    <xf numFmtId="0" fontId="25" fillId="0" borderId="0"/>
    <xf numFmtId="0" fontId="10"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10" fillId="0" borderId="0"/>
    <xf numFmtId="0" fontId="75" fillId="0" borderId="0"/>
    <xf numFmtId="0" fontId="27" fillId="0" borderId="0"/>
    <xf numFmtId="0" fontId="25" fillId="0" borderId="0"/>
    <xf numFmtId="0" fontId="75" fillId="0" borderId="0"/>
    <xf numFmtId="0" fontId="25" fillId="0" borderId="0"/>
    <xf numFmtId="0" fontId="10" fillId="0" borderId="0"/>
    <xf numFmtId="0" fontId="76" fillId="0" borderId="0"/>
    <xf numFmtId="0" fontId="25" fillId="0" borderId="0"/>
    <xf numFmtId="0" fontId="25" fillId="0" borderId="0"/>
    <xf numFmtId="0" fontId="2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25" fillId="0" borderId="0"/>
    <xf numFmtId="0" fontId="10" fillId="0" borderId="0"/>
    <xf numFmtId="0" fontId="10" fillId="0" borderId="0"/>
    <xf numFmtId="0" fontId="10" fillId="0" borderId="0"/>
    <xf numFmtId="0" fontId="75" fillId="0" borderId="0"/>
    <xf numFmtId="0" fontId="25" fillId="0" borderId="0"/>
    <xf numFmtId="0" fontId="25" fillId="0" borderId="0"/>
    <xf numFmtId="0" fontId="10" fillId="56" borderId="32" applyNumberFormat="0" applyFont="0" applyAlignment="0" applyProtection="0"/>
    <xf numFmtId="0" fontId="10" fillId="56" borderId="32" applyNumberFormat="0" applyFont="0" applyAlignment="0" applyProtection="0"/>
    <xf numFmtId="0" fontId="10" fillId="56" borderId="32" applyNumberFormat="0" applyFont="0" applyAlignment="0" applyProtection="0"/>
    <xf numFmtId="0" fontId="10" fillId="56" borderId="32" applyNumberFormat="0" applyFont="0" applyAlignment="0" applyProtection="0"/>
    <xf numFmtId="0" fontId="10" fillId="56" borderId="32" applyNumberFormat="0" applyFont="0" applyAlignment="0" applyProtection="0"/>
    <xf numFmtId="0" fontId="10" fillId="56" borderId="32" applyNumberFormat="0" applyFont="0" applyAlignment="0" applyProtection="0"/>
    <xf numFmtId="0" fontId="52" fillId="56" borderId="32" applyNumberFormat="0" applyFont="0" applyAlignment="0" applyProtection="0"/>
    <xf numFmtId="0" fontId="77" fillId="26" borderId="33" applyNumberFormat="0" applyAlignment="0" applyProtection="0"/>
    <xf numFmtId="0" fontId="77" fillId="26" borderId="33" applyNumberFormat="0" applyAlignment="0" applyProtection="0"/>
    <xf numFmtId="0" fontId="77" fillId="26" borderId="33" applyNumberFormat="0" applyAlignment="0" applyProtection="0"/>
    <xf numFmtId="9" fontId="25"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25" fillId="0" borderId="0" applyFont="0" applyFill="0" applyBorder="0" applyAlignment="0" applyProtection="0"/>
    <xf numFmtId="0" fontId="78" fillId="0" borderId="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80" fillId="0" borderId="34" applyNumberFormat="0" applyFill="0" applyAlignment="0" applyProtection="0"/>
    <xf numFmtId="0" fontId="80" fillId="0" borderId="34" applyNumberFormat="0" applyFill="0" applyAlignment="0" applyProtection="0"/>
    <xf numFmtId="0" fontId="80" fillId="0" borderId="34" applyNumberFormat="0" applyFill="0" applyAlignment="0" applyProtection="0"/>
    <xf numFmtId="176" fontId="81" fillId="0" borderId="0">
      <alignment horizontal="left"/>
    </xf>
    <xf numFmtId="0" fontId="82" fillId="0" borderId="0" applyNumberFormat="0" applyFill="0" applyBorder="0" applyAlignment="0" applyProtection="0"/>
    <xf numFmtId="0" fontId="82" fillId="0" borderId="0" applyNumberFormat="0" applyFill="0" applyBorder="0" applyAlignment="0" applyProtection="0"/>
    <xf numFmtId="0" fontId="82" fillId="0" borderId="0" applyNumberFormat="0" applyFill="0" applyBorder="0" applyAlignment="0" applyProtection="0"/>
    <xf numFmtId="0" fontId="10" fillId="0" borderId="0"/>
    <xf numFmtId="0" fontId="10" fillId="0" borderId="0"/>
  </cellStyleXfs>
  <cellXfs count="658">
    <xf numFmtId="0" fontId="0" fillId="0" borderId="0" xfId="0"/>
    <xf numFmtId="0" fontId="0" fillId="0" borderId="1" xfId="0" applyFill="1" applyBorder="1"/>
    <xf numFmtId="0" fontId="0" fillId="0" borderId="0" xfId="0" applyAlignment="1">
      <alignment horizontal="center"/>
    </xf>
    <xf numFmtId="0" fontId="0" fillId="3" borderId="0" xfId="0" applyFill="1"/>
    <xf numFmtId="0" fontId="0" fillId="3" borderId="1" xfId="0" applyFill="1" applyBorder="1"/>
    <xf numFmtId="0" fontId="0" fillId="4" borderId="1" xfId="0" applyFill="1" applyBorder="1"/>
    <xf numFmtId="9" fontId="0" fillId="0" borderId="0" xfId="5" applyFont="1" applyAlignment="1">
      <alignment horizontal="center"/>
    </xf>
    <xf numFmtId="0" fontId="0" fillId="0" borderId="0" xfId="0" applyFill="1"/>
    <xf numFmtId="0" fontId="0" fillId="0" borderId="0" xfId="0" applyAlignment="1">
      <alignment wrapText="1"/>
    </xf>
    <xf numFmtId="0" fontId="0" fillId="4" borderId="1" xfId="0" applyFill="1" applyBorder="1" applyAlignment="1">
      <alignment horizontal="left"/>
    </xf>
    <xf numFmtId="9" fontId="0" fillId="0" borderId="1" xfId="5" applyFont="1" applyBorder="1" applyAlignment="1">
      <alignment horizontal="center"/>
    </xf>
    <xf numFmtId="9" fontId="0" fillId="0" borderId="0" xfId="5" applyFont="1" applyBorder="1" applyAlignment="1">
      <alignment horizontal="center"/>
    </xf>
    <xf numFmtId="0" fontId="0" fillId="0" borderId="0" xfId="0" applyBorder="1"/>
    <xf numFmtId="0" fontId="0" fillId="3" borderId="3" xfId="0" applyFill="1" applyBorder="1"/>
    <xf numFmtId="9" fontId="0" fillId="0" borderId="1" xfId="0" applyNumberFormat="1" applyBorder="1" applyAlignment="1">
      <alignment horizontal="center"/>
    </xf>
    <xf numFmtId="0" fontId="0" fillId="0" borderId="1" xfId="0" applyBorder="1"/>
    <xf numFmtId="0" fontId="0" fillId="0" borderId="0" xfId="0" applyFill="1" applyBorder="1"/>
    <xf numFmtId="164" fontId="0" fillId="0" borderId="0" xfId="0" applyNumberFormat="1"/>
    <xf numFmtId="0" fontId="0" fillId="4" borderId="0" xfId="0" applyFill="1"/>
    <xf numFmtId="164" fontId="0" fillId="0" borderId="4" xfId="0" applyNumberFormat="1" applyBorder="1" applyAlignment="1">
      <alignment horizontal="center"/>
    </xf>
    <xf numFmtId="0" fontId="15" fillId="4" borderId="1" xfId="0" applyFont="1" applyFill="1" applyBorder="1"/>
    <xf numFmtId="0" fontId="0" fillId="3" borderId="5" xfId="0" applyFill="1" applyBorder="1"/>
    <xf numFmtId="0" fontId="0" fillId="5" borderId="0" xfId="0" applyFill="1" applyBorder="1"/>
    <xf numFmtId="165" fontId="0" fillId="0" borderId="0" xfId="0" applyNumberFormat="1" applyFill="1" applyBorder="1"/>
    <xf numFmtId="0" fontId="16" fillId="0" borderId="0" xfId="0" applyFont="1"/>
    <xf numFmtId="9" fontId="0" fillId="0" borderId="0" xfId="5" applyFont="1" applyFill="1"/>
    <xf numFmtId="0" fontId="14" fillId="0" borderId="0" xfId="4" applyAlignment="1" applyProtection="1"/>
    <xf numFmtId="165" fontId="0" fillId="5" borderId="1" xfId="1" applyNumberFormat="1" applyFont="1" applyFill="1" applyBorder="1" applyAlignment="1">
      <alignment horizontal="center"/>
    </xf>
    <xf numFmtId="0" fontId="15" fillId="0" borderId="0" xfId="0" applyFont="1"/>
    <xf numFmtId="0" fontId="0" fillId="5" borderId="1" xfId="0" applyFill="1" applyBorder="1" applyAlignment="1">
      <alignment horizontal="center"/>
    </xf>
    <xf numFmtId="0" fontId="17" fillId="0" borderId="0" xfId="0" applyFont="1"/>
    <xf numFmtId="0" fontId="0" fillId="3" borderId="6" xfId="0" applyFill="1" applyBorder="1"/>
    <xf numFmtId="9" fontId="0" fillId="0" borderId="0" xfId="5" applyFont="1"/>
    <xf numFmtId="9" fontId="0" fillId="0" borderId="1" xfId="5" applyFont="1" applyFill="1" applyBorder="1"/>
    <xf numFmtId="9" fontId="0" fillId="0" borderId="0" xfId="0" applyNumberFormat="1"/>
    <xf numFmtId="165" fontId="0" fillId="0" borderId="0" xfId="0" applyNumberFormat="1" applyBorder="1"/>
    <xf numFmtId="0" fontId="0" fillId="0" borderId="7" xfId="0" applyBorder="1"/>
    <xf numFmtId="0" fontId="0" fillId="0" borderId="8" xfId="0" applyBorder="1"/>
    <xf numFmtId="0" fontId="0" fillId="0" borderId="9" xfId="0" applyBorder="1"/>
    <xf numFmtId="165" fontId="0" fillId="0" borderId="0" xfId="0" applyNumberFormat="1" applyBorder="1" applyAlignment="1">
      <alignment horizontal="center"/>
    </xf>
    <xf numFmtId="165" fontId="0" fillId="0" borderId="8" xfId="0" applyNumberFormat="1" applyBorder="1" applyAlignment="1">
      <alignment horizontal="center"/>
    </xf>
    <xf numFmtId="0" fontId="0" fillId="0" borderId="5" xfId="0" applyBorder="1"/>
    <xf numFmtId="165" fontId="0" fillId="0" borderId="0" xfId="0" applyNumberFormat="1" applyFill="1" applyBorder="1" applyAlignment="1">
      <alignment horizontal="center"/>
    </xf>
    <xf numFmtId="165" fontId="0" fillId="5" borderId="0" xfId="0" applyNumberFormat="1" applyFill="1" applyBorder="1"/>
    <xf numFmtId="0" fontId="0" fillId="4" borderId="5" xfId="0" applyFill="1" applyBorder="1"/>
    <xf numFmtId="0" fontId="0" fillId="0" borderId="5" xfId="0" applyFill="1" applyBorder="1" applyAlignment="1">
      <alignment horizontal="left"/>
    </xf>
    <xf numFmtId="167" fontId="0" fillId="0" borderId="5" xfId="1" applyNumberFormat="1" applyFont="1" applyBorder="1" applyAlignment="1">
      <alignment horizontal="left"/>
    </xf>
    <xf numFmtId="164" fontId="0" fillId="0" borderId="1" xfId="0" applyNumberFormat="1" applyBorder="1" applyAlignment="1">
      <alignment horizontal="center"/>
    </xf>
    <xf numFmtId="9" fontId="0" fillId="0" borderId="7" xfId="5" applyFont="1" applyBorder="1" applyAlignment="1">
      <alignment horizontal="center"/>
    </xf>
    <xf numFmtId="9" fontId="0" fillId="0" borderId="8" xfId="5" applyFont="1" applyBorder="1" applyAlignment="1">
      <alignment horizontal="center"/>
    </xf>
    <xf numFmtId="165" fontId="0" fillId="0" borderId="7" xfId="0" applyNumberFormat="1" applyBorder="1" applyAlignment="1">
      <alignment horizontal="center"/>
    </xf>
    <xf numFmtId="165" fontId="0" fillId="5" borderId="7" xfId="0" applyNumberFormat="1" applyFill="1" applyBorder="1" applyAlignment="1">
      <alignment horizontal="center"/>
    </xf>
    <xf numFmtId="165" fontId="0" fillId="5" borderId="0" xfId="0" applyNumberFormat="1" applyFill="1" applyBorder="1" applyAlignment="1">
      <alignment horizontal="center"/>
    </xf>
    <xf numFmtId="165" fontId="0" fillId="5" borderId="8" xfId="0" applyNumberFormat="1" applyFill="1" applyBorder="1" applyAlignment="1">
      <alignment horizontal="center"/>
    </xf>
    <xf numFmtId="165" fontId="0" fillId="0" borderId="7" xfId="0" applyNumberFormat="1" applyBorder="1"/>
    <xf numFmtId="165" fontId="0" fillId="5" borderId="7" xfId="0" applyNumberFormat="1" applyFill="1" applyBorder="1"/>
    <xf numFmtId="165" fontId="0" fillId="5" borderId="8" xfId="0" applyNumberFormat="1" applyFill="1" applyBorder="1"/>
    <xf numFmtId="1" fontId="0" fillId="5" borderId="7" xfId="0" applyNumberFormat="1" applyFill="1" applyBorder="1"/>
    <xf numFmtId="0" fontId="0" fillId="5" borderId="8" xfId="0" applyFill="1" applyBorder="1"/>
    <xf numFmtId="9" fontId="0" fillId="5" borderId="7" xfId="5" applyFont="1" applyFill="1" applyBorder="1"/>
    <xf numFmtId="9" fontId="0" fillId="5" borderId="0" xfId="5" applyFont="1" applyFill="1" applyBorder="1"/>
    <xf numFmtId="9" fontId="0" fillId="5" borderId="8" xfId="5" applyFont="1" applyFill="1" applyBorder="1"/>
    <xf numFmtId="165" fontId="0" fillId="0" borderId="8" xfId="0" applyNumberFormat="1" applyBorder="1"/>
    <xf numFmtId="0" fontId="0" fillId="0" borderId="7" xfId="0" applyFill="1" applyBorder="1"/>
    <xf numFmtId="165" fontId="0" fillId="0" borderId="7" xfId="0" applyNumberFormat="1" applyFill="1" applyBorder="1" applyAlignment="1">
      <alignment horizontal="center"/>
    </xf>
    <xf numFmtId="0" fontId="0" fillId="5" borderId="7" xfId="0" applyFill="1" applyBorder="1"/>
    <xf numFmtId="165" fontId="0" fillId="0" borderId="7" xfId="0" applyNumberFormat="1" applyFill="1" applyBorder="1"/>
    <xf numFmtId="0" fontId="0" fillId="0" borderId="8" xfId="0" applyFill="1" applyBorder="1"/>
    <xf numFmtId="9" fontId="0" fillId="0" borderId="2" xfId="5" applyFont="1" applyBorder="1" applyAlignment="1">
      <alignment horizontal="center"/>
    </xf>
    <xf numFmtId="165" fontId="0" fillId="0" borderId="2" xfId="0" applyNumberFormat="1" applyBorder="1" applyAlignment="1">
      <alignment horizontal="center"/>
    </xf>
    <xf numFmtId="165" fontId="0" fillId="5" borderId="2" xfId="0" applyNumberFormat="1" applyFill="1" applyBorder="1" applyAlignment="1">
      <alignment horizontal="center"/>
    </xf>
    <xf numFmtId="0" fontId="0" fillId="0" borderId="2" xfId="0" applyBorder="1"/>
    <xf numFmtId="165" fontId="0" fillId="5" borderId="2" xfId="0" applyNumberFormat="1" applyFill="1" applyBorder="1"/>
    <xf numFmtId="0" fontId="0" fillId="5" borderId="2" xfId="0" applyFill="1" applyBorder="1"/>
    <xf numFmtId="9" fontId="0" fillId="5" borderId="2" xfId="5" applyFont="1" applyFill="1" applyBorder="1"/>
    <xf numFmtId="165" fontId="0" fillId="0" borderId="2" xfId="0" applyNumberFormat="1" applyBorder="1"/>
    <xf numFmtId="0" fontId="0" fillId="3" borderId="8" xfId="0" applyFill="1" applyBorder="1"/>
    <xf numFmtId="2" fontId="0" fillId="5" borderId="7" xfId="0" applyNumberFormat="1" applyFill="1" applyBorder="1" applyAlignment="1">
      <alignment horizontal="center"/>
    </xf>
    <xf numFmtId="2" fontId="0" fillId="5" borderId="0" xfId="0" applyNumberFormat="1" applyFill="1" applyBorder="1" applyAlignment="1">
      <alignment horizontal="center"/>
    </xf>
    <xf numFmtId="2" fontId="0" fillId="5" borderId="8" xfId="0" applyNumberFormat="1" applyFill="1" applyBorder="1" applyAlignment="1">
      <alignment horizontal="center"/>
    </xf>
    <xf numFmtId="2" fontId="0" fillId="5" borderId="2" xfId="0" applyNumberFormat="1" applyFill="1" applyBorder="1" applyAlignment="1">
      <alignment horizontal="center"/>
    </xf>
    <xf numFmtId="15" fontId="0" fillId="0" borderId="0" xfId="0" applyNumberFormat="1"/>
    <xf numFmtId="169" fontId="0" fillId="0" borderId="0" xfId="0" applyNumberFormat="1"/>
    <xf numFmtId="0" fontId="0" fillId="0" borderId="0" xfId="0" applyAlignment="1">
      <alignment horizontal="right"/>
    </xf>
    <xf numFmtId="0" fontId="0" fillId="0" borderId="0" xfId="0" applyFill="1" applyBorder="1" applyAlignment="1">
      <alignment horizontal="center"/>
    </xf>
    <xf numFmtId="165" fontId="0" fillId="0" borderId="0" xfId="0" applyNumberFormat="1"/>
    <xf numFmtId="9" fontId="0" fillId="0" borderId="0" xfId="5" applyFont="1" applyBorder="1"/>
    <xf numFmtId="9" fontId="0" fillId="0" borderId="10" xfId="5" applyFont="1" applyBorder="1"/>
    <xf numFmtId="9" fontId="0" fillId="0" borderId="11" xfId="5" applyFont="1" applyBorder="1"/>
    <xf numFmtId="9" fontId="0" fillId="0" borderId="0" xfId="0" applyNumberFormat="1" applyBorder="1"/>
    <xf numFmtId="9" fontId="0" fillId="0" borderId="8" xfId="0" applyNumberFormat="1" applyBorder="1"/>
    <xf numFmtId="164" fontId="0" fillId="0" borderId="0" xfId="5" applyNumberFormat="1" applyFont="1" applyBorder="1"/>
    <xf numFmtId="164" fontId="0" fillId="0" borderId="8" xfId="5" applyNumberFormat="1" applyFont="1" applyBorder="1"/>
    <xf numFmtId="9" fontId="0" fillId="0" borderId="8" xfId="5" applyFont="1" applyBorder="1"/>
    <xf numFmtId="9" fontId="0" fillId="0" borderId="9" xfId="0" applyNumberFormat="1" applyBorder="1"/>
    <xf numFmtId="9" fontId="0" fillId="0" borderId="12" xfId="0" applyNumberFormat="1" applyBorder="1"/>
    <xf numFmtId="0" fontId="0" fillId="7" borderId="0" xfId="0" applyFill="1"/>
    <xf numFmtId="0" fontId="0" fillId="4" borderId="1" xfId="0" applyFill="1" applyBorder="1" applyAlignment="1">
      <alignment horizontal="center"/>
    </xf>
    <xf numFmtId="0" fontId="0" fillId="8" borderId="0" xfId="0" applyFill="1"/>
    <xf numFmtId="0" fontId="0" fillId="9" borderId="0" xfId="0" applyFill="1"/>
    <xf numFmtId="9" fontId="0" fillId="0" borderId="4" xfId="5" applyFont="1" applyFill="1" applyBorder="1" applyAlignment="1">
      <alignment horizontal="center"/>
    </xf>
    <xf numFmtId="9" fontId="0" fillId="0" borderId="4" xfId="5" applyFont="1" applyBorder="1" applyAlignment="1">
      <alignment horizontal="center"/>
    </xf>
    <xf numFmtId="9" fontId="0" fillId="8" borderId="0" xfId="0" applyNumberFormat="1" applyFill="1"/>
    <xf numFmtId="165" fontId="0" fillId="8" borderId="8" xfId="0" applyNumberFormat="1" applyFill="1" applyBorder="1" applyAlignment="1">
      <alignment horizontal="center"/>
    </xf>
    <xf numFmtId="165" fontId="0" fillId="8" borderId="4" xfId="1" applyNumberFormat="1" applyFont="1" applyFill="1" applyBorder="1" applyAlignment="1">
      <alignment horizontal="center"/>
    </xf>
    <xf numFmtId="0" fontId="0" fillId="8" borderId="8" xfId="0" applyFill="1" applyBorder="1"/>
    <xf numFmtId="165" fontId="0" fillId="8" borderId="8" xfId="0" applyNumberFormat="1" applyFill="1" applyBorder="1"/>
    <xf numFmtId="9" fontId="0" fillId="8" borderId="8" xfId="5" applyFont="1" applyFill="1" applyBorder="1"/>
    <xf numFmtId="165" fontId="0" fillId="0" borderId="8" xfId="0" applyNumberFormat="1" applyFill="1" applyBorder="1" applyAlignment="1">
      <alignment horizontal="center"/>
    </xf>
    <xf numFmtId="165" fontId="0" fillId="0" borderId="8" xfId="0" applyNumberFormat="1" applyFill="1" applyBorder="1"/>
    <xf numFmtId="0" fontId="0" fillId="8" borderId="1" xfId="0" applyFill="1" applyBorder="1"/>
    <xf numFmtId="0" fontId="0" fillId="0" borderId="0" xfId="0" applyFill="1" applyAlignment="1">
      <alignment horizontal="right"/>
    </xf>
    <xf numFmtId="166" fontId="0" fillId="0" borderId="0" xfId="1" applyNumberFormat="1" applyFont="1" applyAlignment="1">
      <alignment horizontal="right"/>
    </xf>
    <xf numFmtId="1" fontId="0" fillId="0" borderId="0" xfId="0" applyNumberFormat="1" applyAlignment="1">
      <alignment horizontal="right"/>
    </xf>
    <xf numFmtId="0" fontId="20" fillId="0" borderId="0" xfId="0" applyFont="1" applyAlignment="1">
      <alignment vertical="center"/>
    </xf>
    <xf numFmtId="170" fontId="21" fillId="0" borderId="0" xfId="0" applyNumberFormat="1" applyFont="1" applyAlignment="1">
      <alignment horizontal="right"/>
    </xf>
    <xf numFmtId="171" fontId="21" fillId="0" borderId="0" xfId="0" applyNumberFormat="1" applyFont="1" applyAlignment="1">
      <alignment vertical="center"/>
    </xf>
    <xf numFmtId="0" fontId="20" fillId="0" borderId="1" xfId="0" applyFont="1" applyBorder="1" applyAlignment="1">
      <alignment horizontal="center" wrapText="1"/>
    </xf>
    <xf numFmtId="0" fontId="20" fillId="0" borderId="5" xfId="0" applyFont="1" applyBorder="1" applyAlignment="1">
      <alignment horizontal="center" wrapText="1"/>
    </xf>
    <xf numFmtId="3" fontId="21" fillId="0" borderId="0" xfId="0" applyNumberFormat="1" applyFont="1" applyAlignment="1">
      <alignment horizontal="right"/>
    </xf>
    <xf numFmtId="170" fontId="21" fillId="8" borderId="0" xfId="0" applyNumberFormat="1" applyFont="1" applyFill="1" applyAlignment="1">
      <alignment horizontal="right"/>
    </xf>
    <xf numFmtId="165" fontId="0" fillId="8" borderId="7" xfId="0" applyNumberFormat="1" applyFill="1" applyBorder="1" applyAlignment="1">
      <alignment horizontal="center"/>
    </xf>
    <xf numFmtId="165" fontId="0" fillId="8" borderId="0" xfId="0" applyNumberFormat="1" applyFill="1" applyBorder="1" applyAlignment="1">
      <alignment horizontal="center"/>
    </xf>
    <xf numFmtId="165" fontId="0" fillId="8" borderId="2" xfId="0" applyNumberFormat="1" applyFill="1" applyBorder="1" applyAlignment="1">
      <alignment horizontal="center"/>
    </xf>
    <xf numFmtId="0" fontId="20" fillId="0" borderId="0" xfId="0" applyFont="1" applyFill="1" applyBorder="1" applyAlignment="1">
      <alignment horizontal="center" wrapText="1"/>
    </xf>
    <xf numFmtId="170" fontId="0" fillId="0" borderId="0" xfId="0" applyNumberFormat="1"/>
    <xf numFmtId="170" fontId="21" fillId="0" borderId="0" xfId="0" applyNumberFormat="1" applyFont="1" applyFill="1" applyAlignment="1">
      <alignment horizontal="right"/>
    </xf>
    <xf numFmtId="170" fontId="0" fillId="8" borderId="0" xfId="0" applyNumberFormat="1" applyFill="1"/>
    <xf numFmtId="165" fontId="0" fillId="8" borderId="7" xfId="0" applyNumberFormat="1" applyFill="1" applyBorder="1"/>
    <xf numFmtId="165" fontId="0" fillId="5" borderId="5" xfId="0" applyNumberFormat="1" applyFill="1" applyBorder="1" applyAlignment="1"/>
    <xf numFmtId="165" fontId="0" fillId="0" borderId="2" xfId="0" applyNumberFormat="1" applyFill="1" applyBorder="1"/>
    <xf numFmtId="1" fontId="0" fillId="0" borderId="0" xfId="0" applyNumberFormat="1" applyAlignment="1"/>
    <xf numFmtId="0" fontId="0" fillId="0" borderId="0" xfId="0" applyAlignment="1"/>
    <xf numFmtId="166" fontId="0" fillId="0" borderId="0" xfId="1" applyNumberFormat="1" applyFont="1" applyAlignment="1">
      <alignment vertical="center"/>
    </xf>
    <xf numFmtId="0" fontId="0" fillId="0" borderId="0" xfId="0" applyAlignment="1">
      <alignment vertical="center"/>
    </xf>
    <xf numFmtId="1" fontId="0" fillId="0" borderId="0" xfId="0" applyNumberFormat="1" applyAlignment="1">
      <alignment vertical="center"/>
    </xf>
    <xf numFmtId="166" fontId="0" fillId="0" borderId="0" xfId="1" applyNumberFormat="1" applyFont="1" applyFill="1" applyAlignment="1">
      <alignment vertical="center"/>
    </xf>
    <xf numFmtId="0" fontId="0" fillId="4" borderId="3" xfId="0" applyFill="1" applyBorder="1"/>
    <xf numFmtId="0" fontId="0" fillId="0" borderId="0" xfId="0" applyFill="1" applyBorder="1" applyAlignment="1">
      <alignment horizontal="left"/>
    </xf>
    <xf numFmtId="0" fontId="20" fillId="0" borderId="6" xfId="0" applyFont="1" applyBorder="1" applyAlignment="1">
      <alignment horizontal="center" wrapText="1"/>
    </xf>
    <xf numFmtId="9" fontId="0" fillId="0" borderId="5" xfId="0" applyNumberFormat="1" applyBorder="1"/>
    <xf numFmtId="165" fontId="0" fillId="0" borderId="4" xfId="0" applyNumberFormat="1" applyBorder="1"/>
    <xf numFmtId="165" fontId="0" fillId="0" borderId="3" xfId="0" applyNumberFormat="1" applyBorder="1"/>
    <xf numFmtId="165" fontId="0" fillId="0" borderId="6" xfId="0" applyNumberFormat="1" applyBorder="1"/>
    <xf numFmtId="0" fontId="0" fillId="0" borderId="1" xfId="0" applyBorder="1" applyAlignment="1">
      <alignment wrapText="1"/>
    </xf>
    <xf numFmtId="0" fontId="0" fillId="8" borderId="1" xfId="0" applyFill="1" applyBorder="1" applyAlignment="1">
      <alignment horizontal="center"/>
    </xf>
    <xf numFmtId="0" fontId="0" fillId="0" borderId="13" xfId="0" applyFill="1" applyBorder="1" applyAlignment="1">
      <alignment horizontal="center"/>
    </xf>
    <xf numFmtId="0" fontId="0" fillId="0" borderId="0" xfId="0" applyFill="1" applyBorder="1" applyAlignment="1"/>
    <xf numFmtId="165" fontId="0" fillId="5" borderId="1" xfId="0" applyNumberFormat="1" applyFill="1" applyBorder="1" applyAlignment="1"/>
    <xf numFmtId="170" fontId="0" fillId="9" borderId="6" xfId="0" applyNumberFormat="1" applyFill="1" applyBorder="1" applyAlignment="1">
      <alignment horizontal="center"/>
    </xf>
    <xf numFmtId="0" fontId="0" fillId="8" borderId="4" xfId="0" applyFill="1" applyBorder="1" applyAlignment="1">
      <alignment horizontal="center"/>
    </xf>
    <xf numFmtId="0" fontId="0" fillId="8" borderId="4" xfId="0" applyFill="1" applyBorder="1"/>
    <xf numFmtId="0" fontId="0" fillId="8" borderId="0" xfId="0" applyFill="1" applyBorder="1"/>
    <xf numFmtId="165" fontId="0" fillId="8" borderId="1" xfId="0" quotePrefix="1" applyNumberFormat="1" applyFill="1" applyBorder="1" applyAlignment="1">
      <alignment horizontal="center"/>
    </xf>
    <xf numFmtId="0" fontId="0" fillId="8" borderId="1" xfId="0" quotePrefix="1" applyFill="1" applyBorder="1" applyAlignment="1">
      <alignment horizontal="center"/>
    </xf>
    <xf numFmtId="0" fontId="0" fillId="8" borderId="4" xfId="0" quotePrefix="1" applyFill="1" applyBorder="1" applyAlignment="1">
      <alignment horizontal="center"/>
    </xf>
    <xf numFmtId="0" fontId="0" fillId="8" borderId="3" xfId="0" applyFill="1" applyBorder="1" applyAlignment="1">
      <alignment horizontal="center"/>
    </xf>
    <xf numFmtId="0" fontId="0" fillId="8" borderId="14" xfId="0" applyFill="1" applyBorder="1" applyAlignment="1">
      <alignment horizontal="center"/>
    </xf>
    <xf numFmtId="0" fontId="0" fillId="8" borderId="11" xfId="0" applyFill="1" applyBorder="1" applyAlignment="1">
      <alignment horizontal="center"/>
    </xf>
    <xf numFmtId="0" fontId="0" fillId="8" borderId="3" xfId="0" applyFill="1" applyBorder="1"/>
    <xf numFmtId="0" fontId="0" fillId="8" borderId="11" xfId="0" applyFill="1" applyBorder="1"/>
    <xf numFmtId="0" fontId="0" fillId="8" borderId="6" xfId="0" applyFill="1" applyBorder="1" applyAlignment="1">
      <alignment horizontal="center"/>
    </xf>
    <xf numFmtId="0" fontId="0" fillId="8" borderId="12" xfId="0" applyFill="1" applyBorder="1"/>
    <xf numFmtId="0" fontId="0" fillId="0" borderId="13" xfId="0" applyFill="1" applyBorder="1"/>
    <xf numFmtId="0" fontId="0" fillId="8" borderId="6" xfId="0" applyFill="1" applyBorder="1"/>
    <xf numFmtId="0" fontId="0" fillId="8" borderId="6" xfId="0" applyFill="1" applyBorder="1" applyAlignment="1">
      <alignment horizontal="right"/>
    </xf>
    <xf numFmtId="165" fontId="0" fillId="9" borderId="1" xfId="0" applyNumberFormat="1" applyFill="1" applyBorder="1" applyAlignment="1"/>
    <xf numFmtId="170" fontId="0" fillId="0" borderId="13" xfId="0" applyNumberFormat="1" applyFill="1" applyBorder="1" applyAlignment="1">
      <alignment horizontal="center"/>
    </xf>
    <xf numFmtId="165" fontId="0" fillId="0" borderId="13" xfId="0" applyNumberFormat="1" applyFill="1" applyBorder="1" applyAlignment="1">
      <alignment horizontal="center"/>
    </xf>
    <xf numFmtId="4" fontId="0" fillId="9" borderId="6" xfId="0" applyNumberFormat="1" applyFill="1" applyBorder="1" applyAlignment="1">
      <alignment horizontal="center"/>
    </xf>
    <xf numFmtId="4" fontId="0" fillId="9" borderId="1" xfId="0" applyNumberFormat="1" applyFill="1" applyBorder="1" applyAlignment="1"/>
    <xf numFmtId="170" fontId="0" fillId="7" borderId="3" xfId="0" applyNumberFormat="1" applyFill="1" applyBorder="1" applyAlignment="1">
      <alignment horizontal="center"/>
    </xf>
    <xf numFmtId="170" fontId="0" fillId="7" borderId="10" xfId="0" applyNumberFormat="1" applyFill="1" applyBorder="1" applyAlignment="1">
      <alignment horizontal="center"/>
    </xf>
    <xf numFmtId="0" fontId="0" fillId="7" borderId="10" xfId="0" applyFill="1" applyBorder="1" applyAlignment="1">
      <alignment horizontal="center"/>
    </xf>
    <xf numFmtId="165" fontId="0" fillId="7" borderId="10" xfId="0" applyNumberFormat="1" applyFill="1" applyBorder="1" applyAlignment="1">
      <alignment horizontal="center"/>
    </xf>
    <xf numFmtId="4" fontId="0" fillId="7" borderId="3" xfId="0" applyNumberFormat="1" applyFill="1" applyBorder="1" applyAlignment="1">
      <alignment horizontal="center"/>
    </xf>
    <xf numFmtId="3" fontId="0" fillId="9" borderId="6" xfId="0" applyNumberFormat="1" applyFill="1" applyBorder="1" applyAlignment="1">
      <alignment horizontal="center"/>
    </xf>
    <xf numFmtId="3" fontId="0" fillId="9" borderId="1" xfId="0" applyNumberFormat="1" applyFill="1" applyBorder="1" applyAlignment="1"/>
    <xf numFmtId="0" fontId="0" fillId="0" borderId="0" xfId="0" applyFill="1" applyAlignment="1">
      <alignment horizontal="center"/>
    </xf>
    <xf numFmtId="166" fontId="0" fillId="0" borderId="0" xfId="1" applyNumberFormat="1" applyFont="1" applyAlignment="1">
      <alignment horizontal="right" vertical="center"/>
    </xf>
    <xf numFmtId="0" fontId="15" fillId="6" borderId="0" xfId="0" applyFont="1" applyFill="1" applyAlignment="1">
      <alignment horizontal="center"/>
    </xf>
    <xf numFmtId="15" fontId="0" fillId="0" borderId="0" xfId="0" applyNumberFormat="1" applyAlignment="1">
      <alignment horizontal="right"/>
    </xf>
    <xf numFmtId="0" fontId="19" fillId="10" borderId="0" xfId="0" applyFont="1" applyFill="1"/>
    <xf numFmtId="0" fontId="18" fillId="0" borderId="0" xfId="0" applyFont="1"/>
    <xf numFmtId="0" fontId="18" fillId="0" borderId="0" xfId="0" applyFont="1" applyFill="1"/>
    <xf numFmtId="0" fontId="15" fillId="0" borderId="0" xfId="0" applyFont="1" applyFill="1"/>
    <xf numFmtId="0" fontId="0" fillId="0" borderId="14" xfId="0" applyBorder="1"/>
    <xf numFmtId="0" fontId="0" fillId="0" borderId="10" xfId="0" applyBorder="1"/>
    <xf numFmtId="0" fontId="0" fillId="0" borderId="10" xfId="0" applyBorder="1" applyAlignment="1">
      <alignment horizontal="center"/>
    </xf>
    <xf numFmtId="0" fontId="0" fillId="0" borderId="11" xfId="0" applyBorder="1"/>
    <xf numFmtId="0" fontId="0" fillId="0" borderId="0" xfId="0" applyBorder="1" applyAlignment="1">
      <alignment horizontal="center"/>
    </xf>
    <xf numFmtId="0" fontId="0" fillId="0" borderId="15" xfId="0" applyBorder="1"/>
    <xf numFmtId="0" fontId="0" fillId="0" borderId="9" xfId="0" applyBorder="1" applyAlignment="1">
      <alignment horizontal="center"/>
    </xf>
    <xf numFmtId="0" fontId="0" fillId="0" borderId="12" xfId="0" applyBorder="1"/>
    <xf numFmtId="0" fontId="15" fillId="0" borderId="0" xfId="0" applyFont="1" applyFill="1" applyBorder="1"/>
    <xf numFmtId="0" fontId="15" fillId="0" borderId="1" xfId="0" applyFont="1" applyFill="1" applyBorder="1" applyAlignment="1">
      <alignment wrapText="1"/>
    </xf>
    <xf numFmtId="0" fontId="0" fillId="11" borderId="0" xfId="0" applyFill="1"/>
    <xf numFmtId="0" fontId="15" fillId="11" borderId="0" xfId="0" applyFont="1" applyFill="1" applyAlignment="1">
      <alignment horizontal="center"/>
    </xf>
    <xf numFmtId="0" fontId="24" fillId="0" borderId="0" xfId="0" applyFont="1" applyAlignment="1">
      <alignment horizontal="center"/>
    </xf>
    <xf numFmtId="0" fontId="27" fillId="0" borderId="0" xfId="6" applyFont="1"/>
    <xf numFmtId="0" fontId="26" fillId="12" borderId="16" xfId="6" applyFont="1" applyFill="1" applyBorder="1" applyAlignment="1">
      <alignment horizontal="center" wrapText="1"/>
    </xf>
    <xf numFmtId="0" fontId="24" fillId="0" borderId="0" xfId="0" applyFont="1" applyFill="1" applyAlignment="1">
      <alignment vertical="center"/>
    </xf>
    <xf numFmtId="0" fontId="24" fillId="0" borderId="0" xfId="0" applyFont="1" applyBorder="1" applyAlignment="1">
      <alignment vertical="center"/>
    </xf>
    <xf numFmtId="0" fontId="24" fillId="0" borderId="0" xfId="0" applyFont="1" applyFill="1" applyBorder="1" applyAlignment="1">
      <alignment vertical="center"/>
    </xf>
    <xf numFmtId="0" fontId="24" fillId="0" borderId="0" xfId="0" applyFont="1" applyAlignment="1">
      <alignment vertical="center"/>
    </xf>
    <xf numFmtId="0" fontId="24" fillId="0" borderId="0" xfId="0" applyFont="1"/>
    <xf numFmtId="0" fontId="0" fillId="0" borderId="0" xfId="0" applyFont="1" applyFill="1" applyBorder="1"/>
    <xf numFmtId="0" fontId="13" fillId="0" borderId="0" xfId="0" applyFont="1" applyFill="1" applyBorder="1"/>
    <xf numFmtId="0" fontId="24" fillId="0" borderId="0" xfId="0" applyFont="1" applyFill="1" applyBorder="1"/>
    <xf numFmtId="0" fontId="29" fillId="0" borderId="0" xfId="6" applyFont="1"/>
    <xf numFmtId="0" fontId="28" fillId="0" borderId="0" xfId="0" applyFont="1"/>
    <xf numFmtId="0" fontId="26" fillId="12" borderId="16" xfId="6" applyFont="1" applyFill="1" applyBorder="1"/>
    <xf numFmtId="0" fontId="13" fillId="0" borderId="0" xfId="0" applyFont="1"/>
    <xf numFmtId="0" fontId="13" fillId="0" borderId="0" xfId="0" applyFont="1" applyAlignment="1">
      <alignment horizontal="center"/>
    </xf>
    <xf numFmtId="0" fontId="0" fillId="13" borderId="17" xfId="0" applyFill="1" applyBorder="1"/>
    <xf numFmtId="0" fontId="0" fillId="13" borderId="18" xfId="0" applyFill="1" applyBorder="1"/>
    <xf numFmtId="0" fontId="0" fillId="13" borderId="19" xfId="0" applyFill="1" applyBorder="1" applyAlignment="1">
      <alignment horizontal="center"/>
    </xf>
    <xf numFmtId="0" fontId="0" fillId="0" borderId="0" xfId="0" applyNumberFormat="1" applyAlignment="1">
      <alignment horizontal="center"/>
    </xf>
    <xf numFmtId="0" fontId="10" fillId="0" borderId="0" xfId="0" applyFont="1"/>
    <xf numFmtId="0" fontId="30" fillId="14" borderId="0" xfId="0" applyFont="1" applyFill="1"/>
    <xf numFmtId="0" fontId="30" fillId="0" borderId="0" xfId="0" applyFont="1" applyFill="1"/>
    <xf numFmtId="9" fontId="0" fillId="0" borderId="0" xfId="0" applyNumberFormat="1" applyFill="1"/>
    <xf numFmtId="0" fontId="0" fillId="13" borderId="0" xfId="0" applyFill="1"/>
    <xf numFmtId="0" fontId="31" fillId="0" borderId="0" xfId="0" applyFont="1"/>
    <xf numFmtId="0" fontId="32" fillId="0" borderId="0" xfId="0" applyFont="1"/>
    <xf numFmtId="0" fontId="32" fillId="0" borderId="0" xfId="0" applyFont="1" applyFill="1"/>
    <xf numFmtId="9" fontId="31" fillId="0" borderId="0" xfId="5" applyFont="1" applyFill="1" applyAlignment="1">
      <alignment horizontal="center"/>
    </xf>
    <xf numFmtId="9" fontId="31" fillId="0" borderId="0" xfId="5" applyFont="1" applyAlignment="1">
      <alignment horizontal="center"/>
    </xf>
    <xf numFmtId="9" fontId="31" fillId="0" borderId="0" xfId="5" applyFont="1" applyAlignment="1">
      <alignment horizontal="right"/>
    </xf>
    <xf numFmtId="0" fontId="31" fillId="0" borderId="0" xfId="0" applyFont="1" applyAlignment="1">
      <alignment horizontal="right"/>
    </xf>
    <xf numFmtId="9" fontId="31" fillId="0" borderId="0" xfId="0" applyNumberFormat="1" applyFont="1" applyAlignment="1">
      <alignment horizontal="right"/>
    </xf>
    <xf numFmtId="9" fontId="31" fillId="0" borderId="0" xfId="5" applyFont="1" applyFill="1" applyAlignment="1">
      <alignment horizontal="right"/>
    </xf>
    <xf numFmtId="166" fontId="0" fillId="0" borderId="0" xfId="1" applyNumberFormat="1" applyFont="1"/>
    <xf numFmtId="0" fontId="0" fillId="11" borderId="6" xfId="0" applyFill="1" applyBorder="1"/>
    <xf numFmtId="164" fontId="0" fillId="0" borderId="0" xfId="5" applyNumberFormat="1" applyFont="1" applyFill="1"/>
    <xf numFmtId="0" fontId="0" fillId="0" borderId="0" xfId="0" applyNumberFormat="1" applyFill="1"/>
    <xf numFmtId="0" fontId="15" fillId="13" borderId="0" xfId="0" applyFont="1" applyFill="1"/>
    <xf numFmtId="0" fontId="0" fillId="11" borderId="0" xfId="0" applyFill="1" applyBorder="1" applyAlignment="1">
      <alignment wrapText="1"/>
    </xf>
    <xf numFmtId="0" fontId="13" fillId="11" borderId="0" xfId="0" applyFont="1" applyFill="1" applyBorder="1" applyAlignment="1">
      <alignment wrapText="1"/>
    </xf>
    <xf numFmtId="0" fontId="0" fillId="11" borderId="0" xfId="0" applyFill="1" applyBorder="1" applyAlignment="1">
      <alignment horizontal="center" wrapText="1"/>
    </xf>
    <xf numFmtId="0" fontId="13" fillId="11" borderId="0" xfId="0" applyFont="1" applyFill="1" applyAlignment="1">
      <alignment wrapText="1"/>
    </xf>
    <xf numFmtId="0" fontId="0" fillId="11" borderId="0" xfId="0" applyFill="1" applyAlignment="1">
      <alignment wrapText="1"/>
    </xf>
    <xf numFmtId="0" fontId="13" fillId="11" borderId="0" xfId="0" applyFont="1" applyFill="1" applyAlignment="1">
      <alignment horizontal="center" wrapText="1"/>
    </xf>
    <xf numFmtId="15" fontId="0" fillId="13" borderId="0" xfId="0" applyNumberFormat="1" applyFill="1" applyAlignment="1">
      <alignment horizontal="left"/>
    </xf>
    <xf numFmtId="0" fontId="0" fillId="11" borderId="0" xfId="0" applyFill="1" applyAlignment="1">
      <alignment horizontal="center" wrapText="1"/>
    </xf>
    <xf numFmtId="0" fontId="0" fillId="11" borderId="3" xfId="0" applyFill="1" applyBorder="1"/>
    <xf numFmtId="0" fontId="0" fillId="11" borderId="1" xfId="0" applyFill="1" applyBorder="1"/>
    <xf numFmtId="0" fontId="0" fillId="11" borderId="1" xfId="0" applyFill="1" applyBorder="1" applyAlignment="1">
      <alignment horizontal="center"/>
    </xf>
    <xf numFmtId="0" fontId="0" fillId="11" borderId="5" xfId="0" applyFill="1" applyBorder="1"/>
    <xf numFmtId="0" fontId="0" fillId="11" borderId="4" xfId="0" applyFill="1" applyBorder="1"/>
    <xf numFmtId="0" fontId="10" fillId="11" borderId="6" xfId="0" applyFont="1" applyFill="1" applyBorder="1"/>
    <xf numFmtId="0" fontId="0" fillId="11" borderId="2" xfId="0" applyFill="1" applyBorder="1" applyAlignment="1">
      <alignment horizontal="center"/>
    </xf>
    <xf numFmtId="0" fontId="0" fillId="11" borderId="2" xfId="0" applyFill="1" applyBorder="1"/>
    <xf numFmtId="9" fontId="31" fillId="0" borderId="0" xfId="5" applyFont="1" applyFill="1"/>
    <xf numFmtId="0" fontId="10" fillId="11" borderId="0" xfId="0" applyFont="1" applyFill="1"/>
    <xf numFmtId="0" fontId="0" fillId="11" borderId="7" xfId="0" applyFill="1" applyBorder="1"/>
    <xf numFmtId="9" fontId="31" fillId="0" borderId="0" xfId="5" applyFont="1"/>
    <xf numFmtId="9" fontId="0" fillId="0" borderId="1" xfId="0" applyNumberFormat="1" applyFill="1" applyBorder="1" applyAlignment="1">
      <alignment horizontal="center"/>
    </xf>
    <xf numFmtId="164" fontId="0" fillId="0" borderId="1" xfId="0" applyNumberFormat="1" applyFill="1" applyBorder="1" applyAlignment="1">
      <alignment horizontal="center"/>
    </xf>
    <xf numFmtId="0" fontId="15" fillId="11" borderId="1" xfId="0" applyFont="1" applyFill="1" applyBorder="1"/>
    <xf numFmtId="0" fontId="0" fillId="11" borderId="1" xfId="0" applyFill="1" applyBorder="1" applyAlignment="1">
      <alignment horizontal="left"/>
    </xf>
    <xf numFmtId="164" fontId="0" fillId="11" borderId="1" xfId="5" applyNumberFormat="1" applyFont="1" applyFill="1" applyBorder="1"/>
    <xf numFmtId="164" fontId="0" fillId="11" borderId="1" xfId="5" applyNumberFormat="1" applyFont="1" applyFill="1" applyBorder="1" applyAlignment="1">
      <alignment horizontal="center"/>
    </xf>
    <xf numFmtId="9" fontId="0" fillId="0" borderId="0" xfId="5" applyFont="1" applyFill="1" applyBorder="1" applyAlignment="1">
      <alignment horizontal="center"/>
    </xf>
    <xf numFmtId="1" fontId="0" fillId="0" borderId="0" xfId="0" applyNumberFormat="1" applyFill="1"/>
    <xf numFmtId="0" fontId="16" fillId="11" borderId="1" xfId="0" applyFont="1" applyFill="1" applyBorder="1"/>
    <xf numFmtId="0" fontId="10" fillId="0" borderId="1" xfId="0" applyFont="1" applyBorder="1"/>
    <xf numFmtId="9" fontId="10" fillId="0" borderId="0" xfId="5" applyFont="1" applyFill="1"/>
    <xf numFmtId="9" fontId="31" fillId="0" borderId="0" xfId="0" applyNumberFormat="1" applyFont="1"/>
    <xf numFmtId="9" fontId="9" fillId="0" borderId="0" xfId="5" applyFont="1"/>
    <xf numFmtId="0" fontId="10" fillId="11" borderId="0" xfId="0" applyFont="1" applyFill="1" applyAlignment="1">
      <alignment horizontal="center" wrapText="1"/>
    </xf>
    <xf numFmtId="0" fontId="10" fillId="0" borderId="0" xfId="0" applyFont="1" applyAlignment="1">
      <alignment horizontal="center"/>
    </xf>
    <xf numFmtId="0" fontId="10" fillId="0" borderId="0" xfId="0" applyFont="1" applyFill="1" applyBorder="1"/>
    <xf numFmtId="9" fontId="8" fillId="0" borderId="0" xfId="5" applyFont="1" applyFill="1" applyAlignment="1">
      <alignment horizontal="center"/>
    </xf>
    <xf numFmtId="9" fontId="8" fillId="0" borderId="0" xfId="5" applyFont="1" applyAlignment="1">
      <alignment horizontal="center"/>
    </xf>
    <xf numFmtId="9" fontId="8" fillId="0" borderId="0" xfId="5" applyFont="1"/>
    <xf numFmtId="9" fontId="10" fillId="0" borderId="0" xfId="5" applyFont="1" applyFill="1" applyAlignment="1">
      <alignment horizontal="center"/>
    </xf>
    <xf numFmtId="9" fontId="10" fillId="0" borderId="0" xfId="5" applyFont="1"/>
    <xf numFmtId="0" fontId="10" fillId="0" borderId="0" xfId="0" applyFont="1" applyFill="1"/>
    <xf numFmtId="9" fontId="7" fillId="0" borderId="0" xfId="5" applyFont="1"/>
    <xf numFmtId="0" fontId="7" fillId="0" borderId="0" xfId="0" applyFont="1"/>
    <xf numFmtId="0" fontId="0" fillId="15" borderId="0" xfId="0" applyFill="1"/>
    <xf numFmtId="9" fontId="10" fillId="0" borderId="0" xfId="5" applyFont="1" applyAlignment="1">
      <alignment horizontal="center"/>
    </xf>
    <xf numFmtId="164" fontId="0" fillId="0" borderId="0" xfId="5" applyNumberFormat="1" applyFont="1"/>
    <xf numFmtId="0" fontId="0" fillId="0" borderId="11" xfId="0" applyBorder="1" applyAlignment="1">
      <alignment horizontal="center"/>
    </xf>
    <xf numFmtId="0" fontId="0" fillId="0" borderId="8" xfId="0" applyBorder="1" applyAlignment="1">
      <alignment horizontal="center"/>
    </xf>
    <xf numFmtId="0" fontId="0" fillId="0" borderId="12" xfId="0" applyBorder="1" applyAlignment="1">
      <alignment horizontal="center"/>
    </xf>
    <xf numFmtId="0" fontId="15" fillId="0" borderId="1" xfId="0" applyFont="1" applyFill="1" applyBorder="1" applyAlignment="1">
      <alignment horizontal="center" wrapText="1"/>
    </xf>
    <xf numFmtId="0" fontId="10" fillId="0" borderId="10" xfId="0" applyFont="1" applyBorder="1"/>
    <xf numFmtId="0" fontId="10" fillId="0" borderId="0" xfId="0" applyFont="1" applyBorder="1"/>
    <xf numFmtId="0" fontId="33" fillId="12" borderId="5" xfId="0" applyFont="1" applyFill="1" applyBorder="1"/>
    <xf numFmtId="0" fontId="0" fillId="16" borderId="1" xfId="0" applyFill="1" applyBorder="1" applyAlignment="1">
      <alignment wrapText="1"/>
    </xf>
    <xf numFmtId="0" fontId="0" fillId="0" borderId="1" xfId="0" applyFill="1" applyBorder="1" applyAlignment="1">
      <alignment wrapText="1"/>
    </xf>
    <xf numFmtId="0" fontId="0" fillId="13" borderId="4" xfId="0" applyFill="1" applyBorder="1" applyAlignment="1">
      <alignment horizontal="left"/>
    </xf>
    <xf numFmtId="0" fontId="0" fillId="13" borderId="1" xfId="0" applyNumberFormat="1" applyFill="1" applyBorder="1"/>
    <xf numFmtId="166" fontId="0" fillId="13" borderId="1" xfId="0" applyNumberFormat="1" applyFill="1" applyBorder="1"/>
    <xf numFmtId="43" fontId="0" fillId="13" borderId="1" xfId="0" applyNumberFormat="1" applyFill="1" applyBorder="1"/>
    <xf numFmtId="1" fontId="0" fillId="13" borderId="1" xfId="0" applyNumberFormat="1" applyFill="1" applyBorder="1"/>
    <xf numFmtId="1" fontId="0" fillId="13" borderId="1" xfId="0" applyNumberFormat="1" applyFill="1" applyBorder="1" applyAlignment="1">
      <alignment horizontal="center" vertical="center"/>
    </xf>
    <xf numFmtId="43" fontId="34" fillId="13" borderId="1" xfId="1" applyFont="1" applyFill="1" applyBorder="1" applyAlignment="1">
      <alignment wrapText="1"/>
    </xf>
    <xf numFmtId="0" fontId="0" fillId="17" borderId="4" xfId="0" applyFill="1" applyBorder="1" applyAlignment="1">
      <alignment horizontal="left"/>
    </xf>
    <xf numFmtId="0" fontId="0" fillId="17" borderId="1" xfId="0" applyNumberFormat="1" applyFill="1" applyBorder="1"/>
    <xf numFmtId="166" fontId="0" fillId="17" borderId="1" xfId="0" applyNumberFormat="1" applyFill="1" applyBorder="1"/>
    <xf numFmtId="43" fontId="0" fillId="17" borderId="1" xfId="0" applyNumberFormat="1" applyFill="1" applyBorder="1"/>
    <xf numFmtId="1" fontId="0" fillId="17" borderId="1" xfId="0" applyNumberFormat="1" applyFill="1" applyBorder="1"/>
    <xf numFmtId="43" fontId="34" fillId="0" borderId="1" xfId="1" applyFont="1" applyBorder="1" applyAlignment="1">
      <alignment wrapText="1"/>
    </xf>
    <xf numFmtId="0" fontId="0" fillId="18" borderId="4" xfId="0" applyFill="1" applyBorder="1" applyAlignment="1">
      <alignment horizontal="left"/>
    </xf>
    <xf numFmtId="0" fontId="0" fillId="18" borderId="1" xfId="0" applyNumberFormat="1" applyFill="1" applyBorder="1"/>
    <xf numFmtId="166" fontId="0" fillId="18" borderId="1" xfId="0" applyNumberFormat="1" applyFill="1" applyBorder="1"/>
    <xf numFmtId="43" fontId="0" fillId="18" borderId="1" xfId="0" applyNumberFormat="1" applyFill="1" applyBorder="1"/>
    <xf numFmtId="1" fontId="0" fillId="18" borderId="1" xfId="0" applyNumberFormat="1" applyFill="1" applyBorder="1"/>
    <xf numFmtId="0" fontId="0" fillId="0" borderId="1" xfId="0" applyBorder="1" applyAlignment="1">
      <alignment horizontal="left"/>
    </xf>
    <xf numFmtId="0" fontId="0" fillId="0" borderId="1" xfId="0" applyNumberFormat="1" applyBorder="1"/>
    <xf numFmtId="166" fontId="0" fillId="0" borderId="1" xfId="0" applyNumberFormat="1" applyBorder="1"/>
    <xf numFmtId="43" fontId="0" fillId="0" borderId="1" xfId="0" applyNumberFormat="1" applyBorder="1"/>
    <xf numFmtId="1" fontId="0" fillId="0" borderId="1" xfId="0" applyNumberFormat="1" applyBorder="1"/>
    <xf numFmtId="0" fontId="0" fillId="19" borderId="4" xfId="0" applyFill="1" applyBorder="1"/>
    <xf numFmtId="0" fontId="0" fillId="19" borderId="1" xfId="0" applyFill="1" applyBorder="1"/>
    <xf numFmtId="166" fontId="0" fillId="19" borderId="1" xfId="1" applyNumberFormat="1" applyFont="1" applyFill="1" applyBorder="1"/>
    <xf numFmtId="43" fontId="0" fillId="19" borderId="1" xfId="1" applyFont="1" applyFill="1" applyBorder="1"/>
    <xf numFmtId="1" fontId="0" fillId="19" borderId="1" xfId="1" applyNumberFormat="1" applyFont="1" applyFill="1" applyBorder="1"/>
    <xf numFmtId="43" fontId="34" fillId="19" borderId="1" xfId="1" applyFont="1" applyFill="1" applyBorder="1" applyAlignment="1">
      <alignment wrapText="1"/>
    </xf>
    <xf numFmtId="0" fontId="0" fillId="20" borderId="4" xfId="0" applyFill="1" applyBorder="1"/>
    <xf numFmtId="0" fontId="0" fillId="20" borderId="1" xfId="0" applyFill="1" applyBorder="1"/>
    <xf numFmtId="166" fontId="0" fillId="20" borderId="1" xfId="1" applyNumberFormat="1" applyFont="1" applyFill="1" applyBorder="1"/>
    <xf numFmtId="43" fontId="0" fillId="20" borderId="1" xfId="1" applyFont="1" applyFill="1" applyBorder="1"/>
    <xf numFmtId="1" fontId="0" fillId="20" borderId="1" xfId="1" applyNumberFormat="1" applyFont="1" applyFill="1" applyBorder="1"/>
    <xf numFmtId="43" fontId="34" fillId="20" borderId="1" xfId="1" applyFont="1" applyFill="1" applyBorder="1" applyAlignment="1">
      <alignment wrapText="1"/>
    </xf>
    <xf numFmtId="0" fontId="0" fillId="21" borderId="4" xfId="0" applyFill="1" applyBorder="1"/>
    <xf numFmtId="0" fontId="0" fillId="21" borderId="1" xfId="0" applyFill="1" applyBorder="1"/>
    <xf numFmtId="166" fontId="0" fillId="21" borderId="1" xfId="1" applyNumberFormat="1" applyFont="1" applyFill="1" applyBorder="1"/>
    <xf numFmtId="43" fontId="0" fillId="21" borderId="1" xfId="1" applyFont="1" applyFill="1" applyBorder="1"/>
    <xf numFmtId="1" fontId="0" fillId="21" borderId="1" xfId="1" applyNumberFormat="1" applyFont="1" applyFill="1" applyBorder="1"/>
    <xf numFmtId="43" fontId="34" fillId="21" borderId="1" xfId="1" applyFont="1" applyFill="1" applyBorder="1" applyAlignment="1">
      <alignment wrapText="1"/>
    </xf>
    <xf numFmtId="0" fontId="0" fillId="22" borderId="4" xfId="0" applyFill="1" applyBorder="1"/>
    <xf numFmtId="0" fontId="0" fillId="22" borderId="1" xfId="0" applyFill="1" applyBorder="1"/>
    <xf numFmtId="166" fontId="0" fillId="22" borderId="1" xfId="1" applyNumberFormat="1" applyFont="1" applyFill="1" applyBorder="1"/>
    <xf numFmtId="43" fontId="0" fillId="22" borderId="1" xfId="1" applyFont="1" applyFill="1" applyBorder="1"/>
    <xf numFmtId="1" fontId="0" fillId="22" borderId="1" xfId="1" applyNumberFormat="1" applyFont="1" applyFill="1" applyBorder="1"/>
    <xf numFmtId="43" fontId="34" fillId="22" borderId="1" xfId="1" applyFont="1" applyFill="1" applyBorder="1" applyAlignment="1">
      <alignment wrapText="1"/>
    </xf>
    <xf numFmtId="166" fontId="0" fillId="0" borderId="1" xfId="1" applyNumberFormat="1" applyFont="1" applyBorder="1"/>
    <xf numFmtId="43" fontId="0" fillId="0" borderId="1" xfId="1" applyFont="1" applyBorder="1"/>
    <xf numFmtId="1" fontId="0" fillId="0" borderId="1" xfId="1" applyNumberFormat="1" applyFont="1" applyBorder="1"/>
    <xf numFmtId="0" fontId="15" fillId="0" borderId="0" xfId="0" applyFont="1" applyFill="1" applyBorder="1" applyAlignment="1">
      <alignment horizontal="center"/>
    </xf>
    <xf numFmtId="0" fontId="10" fillId="0" borderId="10" xfId="0" applyFont="1" applyBorder="1" applyAlignment="1">
      <alignment horizontal="center"/>
    </xf>
    <xf numFmtId="0" fontId="10" fillId="0" borderId="0" xfId="0" applyFont="1" applyBorder="1" applyAlignment="1">
      <alignment horizontal="center"/>
    </xf>
    <xf numFmtId="0" fontId="33" fillId="12" borderId="1" xfId="0" applyFont="1" applyFill="1" applyBorder="1" applyAlignment="1">
      <alignment horizontal="center" wrapText="1"/>
    </xf>
    <xf numFmtId="0" fontId="10" fillId="11" borderId="1" xfId="0" applyFont="1" applyFill="1" applyBorder="1" applyAlignment="1">
      <alignment horizontal="center"/>
    </xf>
    <xf numFmtId="0" fontId="10" fillId="11" borderId="1" xfId="0" applyFont="1" applyFill="1" applyBorder="1" applyAlignment="1">
      <alignment horizontal="center"/>
    </xf>
    <xf numFmtId="0" fontId="10" fillId="4" borderId="1" xfId="0" applyFont="1" applyFill="1" applyBorder="1" applyAlignment="1">
      <alignment horizontal="center"/>
    </xf>
    <xf numFmtId="0" fontId="35" fillId="23" borderId="0" xfId="0" applyFont="1" applyFill="1"/>
    <xf numFmtId="43" fontId="0" fillId="0" borderId="0" xfId="1" applyFont="1"/>
    <xf numFmtId="166" fontId="0" fillId="11" borderId="0" xfId="0" applyNumberFormat="1" applyFill="1"/>
    <xf numFmtId="9" fontId="0" fillId="11" borderId="0" xfId="5" applyFont="1" applyFill="1"/>
    <xf numFmtId="0" fontId="35" fillId="0" borderId="0" xfId="0" applyFont="1" applyFill="1"/>
    <xf numFmtId="166" fontId="0" fillId="0" borderId="0" xfId="0" applyNumberFormat="1" applyFill="1"/>
    <xf numFmtId="0" fontId="0" fillId="11" borderId="6" xfId="0" applyFill="1" applyBorder="1" applyAlignment="1">
      <alignment horizontal="center"/>
    </xf>
    <xf numFmtId="0" fontId="0" fillId="11" borderId="15" xfId="0" applyFill="1" applyBorder="1" applyAlignment="1">
      <alignment horizontal="center"/>
    </xf>
    <xf numFmtId="0" fontId="0" fillId="11" borderId="12" xfId="0" applyFill="1" applyBorder="1" applyAlignment="1">
      <alignment horizontal="center"/>
    </xf>
    <xf numFmtId="0" fontId="36" fillId="24" borderId="1" xfId="0" applyFont="1" applyFill="1" applyBorder="1" applyAlignment="1">
      <alignment horizontal="center"/>
    </xf>
    <xf numFmtId="9" fontId="0" fillId="0" borderId="1" xfId="5" applyFont="1" applyBorder="1"/>
    <xf numFmtId="9" fontId="0" fillId="0" borderId="1" xfId="0" applyNumberFormat="1" applyBorder="1"/>
    <xf numFmtId="0" fontId="36" fillId="24" borderId="0" xfId="0" applyFont="1" applyFill="1" applyBorder="1" applyAlignment="1">
      <alignment horizontal="center"/>
    </xf>
    <xf numFmtId="0" fontId="35" fillId="24" borderId="0" xfId="0" applyFont="1" applyFill="1"/>
    <xf numFmtId="9" fontId="10" fillId="0" borderId="0" xfId="5"/>
    <xf numFmtId="164" fontId="10" fillId="0" borderId="0" xfId="5" applyNumberFormat="1"/>
    <xf numFmtId="9" fontId="10" fillId="0" borderId="0" xfId="5" applyNumberFormat="1"/>
    <xf numFmtId="0" fontId="0" fillId="11" borderId="0" xfId="0" applyFill="1" applyBorder="1" applyAlignment="1">
      <alignment horizontal="center"/>
    </xf>
    <xf numFmtId="9" fontId="0" fillId="17" borderId="0" xfId="0" applyNumberFormat="1" applyFill="1"/>
    <xf numFmtId="0" fontId="0" fillId="17" borderId="0" xfId="0" applyFill="1"/>
    <xf numFmtId="9" fontId="39" fillId="0" borderId="1" xfId="5" applyFont="1" applyFill="1" applyBorder="1" applyAlignment="1">
      <alignment horizontal="center"/>
    </xf>
    <xf numFmtId="9" fontId="39" fillId="0" borderId="4" xfId="5" applyFont="1" applyFill="1" applyBorder="1" applyAlignment="1">
      <alignment horizontal="center"/>
    </xf>
    <xf numFmtId="9" fontId="39" fillId="0" borderId="1" xfId="1" applyNumberFormat="1" applyFont="1" applyFill="1" applyBorder="1" applyAlignment="1"/>
    <xf numFmtId="9" fontId="39" fillId="0" borderId="1" xfId="0" applyNumberFormat="1" applyFont="1" applyFill="1" applyBorder="1" applyAlignment="1">
      <alignment horizontal="center"/>
    </xf>
    <xf numFmtId="164" fontId="39" fillId="0" borderId="1" xfId="0" applyNumberFormat="1" applyFont="1" applyFill="1" applyBorder="1" applyAlignment="1">
      <alignment horizontal="center"/>
    </xf>
    <xf numFmtId="9" fontId="39" fillId="11" borderId="1" xfId="5" applyFont="1" applyFill="1" applyBorder="1" applyAlignment="1">
      <alignment horizontal="center"/>
    </xf>
    <xf numFmtId="164" fontId="40" fillId="0" borderId="0" xfId="0" applyNumberFormat="1" applyFont="1" applyFill="1"/>
    <xf numFmtId="164" fontId="33" fillId="25" borderId="0" xfId="0" applyNumberFormat="1" applyFont="1" applyFill="1"/>
    <xf numFmtId="0" fontId="41" fillId="0" borderId="0" xfId="0" applyFont="1"/>
    <xf numFmtId="0" fontId="38" fillId="0" borderId="0" xfId="0" applyFont="1"/>
    <xf numFmtId="9" fontId="38" fillId="0" borderId="0" xfId="0" applyNumberFormat="1" applyFont="1"/>
    <xf numFmtId="9" fontId="30" fillId="0" borderId="0" xfId="0" applyNumberFormat="1" applyFont="1"/>
    <xf numFmtId="9" fontId="10" fillId="11" borderId="1" xfId="5" applyFont="1" applyFill="1" applyBorder="1"/>
    <xf numFmtId="0" fontId="10" fillId="11" borderId="1" xfId="0" applyFont="1" applyFill="1" applyBorder="1"/>
    <xf numFmtId="9" fontId="37" fillId="20" borderId="1" xfId="5" applyFont="1" applyFill="1" applyBorder="1" applyAlignment="1">
      <alignment horizontal="center"/>
    </xf>
    <xf numFmtId="10" fontId="0" fillId="0" borderId="0" xfId="0" applyNumberFormat="1"/>
    <xf numFmtId="0" fontId="0" fillId="0" borderId="0" xfId="0" pivotButton="1"/>
    <xf numFmtId="9" fontId="0" fillId="11" borderId="0" xfId="0" applyNumberFormat="1" applyFill="1"/>
    <xf numFmtId="9" fontId="24" fillId="11" borderId="0" xfId="5" applyFont="1" applyFill="1"/>
    <xf numFmtId="10" fontId="0" fillId="0" borderId="0" xfId="0" applyNumberFormat="1" applyAlignment="1">
      <alignment horizontal="center"/>
    </xf>
    <xf numFmtId="0" fontId="42" fillId="26" borderId="0" xfId="7" applyAlignment="1"/>
    <xf numFmtId="0" fontId="42" fillId="0" borderId="0" xfId="8" applyAlignment="1"/>
    <xf numFmtId="0" fontId="42" fillId="0" borderId="0" xfId="9" applyAlignment="1"/>
    <xf numFmtId="9" fontId="0" fillId="20" borderId="0" xfId="0" applyNumberFormat="1" applyFill="1"/>
    <xf numFmtId="9" fontId="0" fillId="20" borderId="0" xfId="5" applyFont="1" applyFill="1"/>
    <xf numFmtId="9" fontId="0" fillId="27" borderId="0" xfId="0" applyNumberFormat="1" applyFill="1"/>
    <xf numFmtId="9" fontId="0" fillId="27" borderId="0" xfId="5" applyFont="1" applyFill="1"/>
    <xf numFmtId="164" fontId="0" fillId="27" borderId="0" xfId="5" applyNumberFormat="1" applyFont="1" applyFill="1"/>
    <xf numFmtId="0" fontId="30" fillId="11" borderId="0" xfId="0" applyFont="1" applyFill="1" applyAlignment="1">
      <alignment horizontal="center" wrapText="1"/>
    </xf>
    <xf numFmtId="1" fontId="30" fillId="0" borderId="0" xfId="0" applyNumberFormat="1" applyFont="1" applyAlignment="1">
      <alignment horizontal="center"/>
    </xf>
    <xf numFmtId="0" fontId="10" fillId="0" borderId="0" xfId="0" applyFont="1" applyAlignment="1">
      <alignment horizontal="right"/>
    </xf>
    <xf numFmtId="0" fontId="30" fillId="0" borderId="0" xfId="0" applyFont="1"/>
    <xf numFmtId="43" fontId="0" fillId="0" borderId="0" xfId="0" applyNumberFormat="1" applyAlignment="1">
      <alignment wrapText="1"/>
    </xf>
    <xf numFmtId="9" fontId="6" fillId="0" borderId="0" xfId="5" applyFont="1" applyAlignment="1">
      <alignment horizontal="center"/>
    </xf>
    <xf numFmtId="9" fontId="6" fillId="0" borderId="0" xfId="5" applyFont="1" applyFill="1" applyAlignment="1">
      <alignment horizontal="center"/>
    </xf>
    <xf numFmtId="0" fontId="5" fillId="0" borderId="0" xfId="0" applyFont="1"/>
    <xf numFmtId="9" fontId="0" fillId="27" borderId="0" xfId="5" applyNumberFormat="1" applyFont="1" applyFill="1"/>
    <xf numFmtId="9" fontId="10" fillId="0" borderId="0" xfId="0" applyNumberFormat="1" applyFont="1" applyFill="1"/>
    <xf numFmtId="9" fontId="28" fillId="0" borderId="0" xfId="0" applyNumberFormat="1" applyFont="1" applyFill="1"/>
    <xf numFmtId="9" fontId="39" fillId="0" borderId="1" xfId="5" applyFont="1" applyFill="1" applyBorder="1" applyAlignment="1">
      <alignment horizontal="center"/>
    </xf>
    <xf numFmtId="0" fontId="4" fillId="13" borderId="1" xfId="1" applyNumberFormat="1" applyFont="1" applyFill="1" applyBorder="1" applyAlignment="1">
      <alignment horizontal="center"/>
    </xf>
    <xf numFmtId="9" fontId="37" fillId="13" borderId="1" xfId="5" applyFont="1" applyFill="1" applyBorder="1" applyAlignment="1">
      <alignment horizontal="center"/>
    </xf>
    <xf numFmtId="164" fontId="37" fillId="13" borderId="1" xfId="5" applyNumberFormat="1" applyFont="1" applyFill="1" applyBorder="1" applyAlignment="1">
      <alignment horizontal="center"/>
    </xf>
    <xf numFmtId="0" fontId="39" fillId="0" borderId="0" xfId="0" applyFont="1" applyFill="1"/>
    <xf numFmtId="15" fontId="39" fillId="0" borderId="0" xfId="0" applyNumberFormat="1" applyFont="1" applyFill="1"/>
    <xf numFmtId="0" fontId="39" fillId="0" borderId="0" xfId="0" applyFont="1"/>
    <xf numFmtId="0" fontId="45" fillId="0" borderId="0" xfId="4" applyFont="1" applyAlignment="1" applyProtection="1"/>
    <xf numFmtId="15" fontId="39" fillId="0" borderId="0" xfId="0" applyNumberFormat="1" applyFont="1"/>
    <xf numFmtId="169" fontId="39" fillId="0" borderId="0" xfId="0" applyNumberFormat="1" applyFont="1"/>
    <xf numFmtId="0" fontId="39" fillId="0" borderId="0" xfId="4" applyFont="1" applyAlignment="1" applyProtection="1"/>
    <xf numFmtId="166" fontId="24" fillId="0" borderId="0" xfId="1" applyNumberFormat="1" applyFont="1" applyAlignment="1">
      <alignment vertical="center"/>
    </xf>
    <xf numFmtId="0" fontId="46" fillId="0" borderId="0" xfId="0" applyFont="1"/>
    <xf numFmtId="0" fontId="47" fillId="0" borderId="0" xfId="4" applyFont="1" applyAlignment="1" applyProtection="1"/>
    <xf numFmtId="0" fontId="39" fillId="0" borderId="0" xfId="4" applyFont="1" applyFill="1" applyAlignment="1" applyProtection="1"/>
    <xf numFmtId="0" fontId="10" fillId="11" borderId="0" xfId="0" applyFont="1" applyFill="1" applyBorder="1" applyAlignment="1">
      <alignment horizontal="center" wrapText="1"/>
    </xf>
    <xf numFmtId="9" fontId="39" fillId="0" borderId="0" xfId="0" applyNumberFormat="1" applyFont="1" applyFill="1"/>
    <xf numFmtId="9" fontId="10" fillId="13" borderId="4" xfId="5" applyFont="1" applyFill="1" applyBorder="1" applyAlignment="1">
      <alignment horizontal="center"/>
    </xf>
    <xf numFmtId="9" fontId="10" fillId="13" borderId="1" xfId="5" applyFont="1" applyFill="1" applyBorder="1" applyAlignment="1">
      <alignment horizontal="center"/>
    </xf>
    <xf numFmtId="9" fontId="10" fillId="13" borderId="1" xfId="5" applyFont="1" applyFill="1" applyBorder="1" applyAlignment="1">
      <alignment horizontal="center"/>
    </xf>
    <xf numFmtId="9" fontId="31" fillId="0" borderId="1" xfId="5" applyFont="1" applyFill="1" applyBorder="1" applyAlignment="1">
      <alignment horizontal="center"/>
    </xf>
    <xf numFmtId="9" fontId="10" fillId="0" borderId="0" xfId="5" applyFont="1" applyFill="1" applyAlignment="1">
      <alignment horizontal="center" readingOrder="1"/>
    </xf>
    <xf numFmtId="164" fontId="0" fillId="0" borderId="0" xfId="0" applyNumberFormat="1" applyAlignment="1">
      <alignment horizontal="center"/>
    </xf>
    <xf numFmtId="0" fontId="0" fillId="0" borderId="0" xfId="0" applyAlignment="1">
      <alignment horizontal="left"/>
    </xf>
    <xf numFmtId="166" fontId="0" fillId="0" borderId="0" xfId="0" applyNumberFormat="1"/>
    <xf numFmtId="0" fontId="0" fillId="0" borderId="0" xfId="0" applyAlignment="1">
      <alignment horizontal="left" indent="1"/>
    </xf>
    <xf numFmtId="0" fontId="0" fillId="19" borderId="0" xfId="0" applyFill="1"/>
    <xf numFmtId="164" fontId="10" fillId="11" borderId="5" xfId="5" applyNumberFormat="1" applyFont="1" applyFill="1" applyBorder="1" applyAlignment="1">
      <alignment horizontal="center"/>
    </xf>
    <xf numFmtId="164" fontId="10" fillId="11" borderId="5" xfId="5" applyNumberFormat="1" applyFont="1" applyFill="1" applyBorder="1" applyAlignment="1"/>
    <xf numFmtId="0" fontId="10" fillId="11" borderId="3" xfId="0" applyFont="1" applyFill="1" applyBorder="1"/>
    <xf numFmtId="166" fontId="0" fillId="0" borderId="1" xfId="0" applyNumberFormat="1" applyFill="1" applyBorder="1"/>
    <xf numFmtId="0" fontId="10" fillId="0" borderId="1" xfId="0" applyFont="1" applyFill="1" applyBorder="1"/>
    <xf numFmtId="164" fontId="39" fillId="0" borderId="5" xfId="5" applyNumberFormat="1" applyFont="1" applyFill="1" applyBorder="1" applyAlignment="1"/>
    <xf numFmtId="164" fontId="39" fillId="0" borderId="13" xfId="5" applyNumberFormat="1" applyFont="1" applyFill="1" applyBorder="1" applyAlignment="1"/>
    <xf numFmtId="164" fontId="39" fillId="0" borderId="4" xfId="5" applyNumberFormat="1" applyFont="1" applyFill="1" applyBorder="1" applyAlignment="1"/>
    <xf numFmtId="9" fontId="10" fillId="13" borderId="1" xfId="5" applyFont="1" applyFill="1" applyBorder="1" applyAlignment="1">
      <alignment horizontal="center"/>
    </xf>
    <xf numFmtId="168" fontId="10" fillId="13" borderId="1" xfId="1" applyNumberFormat="1" applyFont="1" applyFill="1" applyBorder="1" applyAlignment="1">
      <alignment horizontal="center"/>
    </xf>
    <xf numFmtId="0" fontId="10" fillId="11" borderId="1" xfId="0" applyFont="1" applyFill="1" applyBorder="1" applyAlignment="1">
      <alignment horizontal="center"/>
    </xf>
    <xf numFmtId="9" fontId="3" fillId="0" borderId="0" xfId="5" applyFont="1" applyFill="1" applyAlignment="1">
      <alignment horizontal="center"/>
    </xf>
    <xf numFmtId="9" fontId="0" fillId="14" borderId="0" xfId="0" applyNumberFormat="1" applyFill="1"/>
    <xf numFmtId="9" fontId="10" fillId="13" borderId="1" xfId="5" applyFont="1" applyFill="1" applyBorder="1" applyAlignment="1">
      <alignment horizontal="center"/>
    </xf>
    <xf numFmtId="9" fontId="0" fillId="14" borderId="1" xfId="5" applyFont="1" applyFill="1" applyBorder="1"/>
    <xf numFmtId="0" fontId="10" fillId="0" borderId="1" xfId="0" applyFont="1" applyBorder="1" applyAlignment="1">
      <alignment horizontal="center"/>
    </xf>
    <xf numFmtId="0" fontId="15" fillId="19" borderId="0" xfId="0" applyFont="1" applyFill="1"/>
    <xf numFmtId="3" fontId="0" fillId="0" borderId="0" xfId="0" applyNumberFormat="1"/>
    <xf numFmtId="167" fontId="0" fillId="0" borderId="0" xfId="1" applyNumberFormat="1" applyFont="1"/>
    <xf numFmtId="0" fontId="0" fillId="29" borderId="1" xfId="0" applyFill="1" applyBorder="1"/>
    <xf numFmtId="0" fontId="10" fillId="29" borderId="1" xfId="0" applyFont="1" applyFill="1" applyBorder="1" applyAlignment="1">
      <alignment horizontal="center"/>
    </xf>
    <xf numFmtId="0" fontId="0" fillId="29" borderId="1" xfId="0" applyFill="1" applyBorder="1" applyAlignment="1">
      <alignment horizontal="center"/>
    </xf>
    <xf numFmtId="9" fontId="0" fillId="0" borderId="1" xfId="5" applyFont="1" applyFill="1" applyBorder="1" applyAlignment="1">
      <alignment horizontal="center"/>
    </xf>
    <xf numFmtId="0" fontId="48" fillId="30" borderId="0" xfId="0" applyFont="1" applyFill="1"/>
    <xf numFmtId="0" fontId="48" fillId="30" borderId="20" xfId="0" applyFont="1" applyFill="1" applyBorder="1" applyAlignment="1">
      <alignment horizontal="center"/>
    </xf>
    <xf numFmtId="0" fontId="48" fillId="30" borderId="20" xfId="0" applyFont="1" applyFill="1" applyBorder="1" applyAlignment="1">
      <alignment horizontal="center" wrapText="1"/>
    </xf>
    <xf numFmtId="0" fontId="49" fillId="0" borderId="0" xfId="0" applyFont="1"/>
    <xf numFmtId="9" fontId="49" fillId="0" borderId="0" xfId="0" applyNumberFormat="1" applyFont="1" applyAlignment="1">
      <alignment horizontal="right"/>
    </xf>
    <xf numFmtId="0" fontId="48" fillId="30" borderId="21" xfId="0" applyFont="1" applyFill="1" applyBorder="1"/>
    <xf numFmtId="9" fontId="48" fillId="30" borderId="21" xfId="0" applyNumberFormat="1" applyFont="1" applyFill="1" applyBorder="1" applyAlignment="1">
      <alignment horizontal="right"/>
    </xf>
    <xf numFmtId="0" fontId="50" fillId="31" borderId="0" xfId="0" applyFont="1" applyFill="1"/>
    <xf numFmtId="0" fontId="50" fillId="31" borderId="22" xfId="0" applyFont="1" applyFill="1" applyBorder="1"/>
    <xf numFmtId="0" fontId="50" fillId="0" borderId="22" xfId="0" applyFont="1" applyBorder="1" applyAlignment="1">
      <alignment horizontal="left"/>
    </xf>
    <xf numFmtId="166" fontId="50" fillId="0" borderId="22" xfId="0" applyNumberFormat="1" applyFont="1" applyBorder="1"/>
    <xf numFmtId="0" fontId="0" fillId="13" borderId="0" xfId="0" applyFill="1" applyAlignment="1">
      <alignment horizontal="left" indent="1"/>
    </xf>
    <xf numFmtId="166" fontId="0" fillId="13" borderId="0" xfId="0" applyNumberFormat="1" applyFill="1"/>
    <xf numFmtId="9" fontId="0" fillId="13" borderId="0" xfId="5" applyFont="1" applyFill="1"/>
    <xf numFmtId="0" fontId="0" fillId="32" borderId="0" xfId="0" applyFill="1" applyAlignment="1">
      <alignment horizontal="left" indent="1"/>
    </xf>
    <xf numFmtId="166" fontId="0" fillId="32" borderId="0" xfId="0" applyNumberFormat="1" applyFill="1"/>
    <xf numFmtId="9" fontId="0" fillId="32" borderId="0" xfId="5" applyFont="1" applyFill="1"/>
    <xf numFmtId="0" fontId="0" fillId="32" borderId="0" xfId="0" applyFill="1"/>
    <xf numFmtId="9" fontId="0" fillId="13" borderId="0" xfId="0" applyNumberFormat="1" applyFill="1"/>
    <xf numFmtId="0" fontId="50" fillId="31" borderId="23" xfId="0" applyFont="1" applyFill="1" applyBorder="1" applyAlignment="1">
      <alignment horizontal="left"/>
    </xf>
    <xf numFmtId="166" fontId="50" fillId="31" borderId="23" xfId="0" applyNumberFormat="1" applyFont="1" applyFill="1" applyBorder="1"/>
    <xf numFmtId="10" fontId="0" fillId="16" borderId="0" xfId="0" applyNumberFormat="1" applyFill="1"/>
    <xf numFmtId="0" fontId="35" fillId="12" borderId="0" xfId="0" applyFont="1" applyFill="1"/>
    <xf numFmtId="0" fontId="35" fillId="12" borderId="0" xfId="0" applyFont="1" applyFill="1" applyAlignment="1">
      <alignment horizontal="center"/>
    </xf>
    <xf numFmtId="0" fontId="33" fillId="12" borderId="0" xfId="0" applyFont="1" applyFill="1"/>
    <xf numFmtId="166" fontId="33" fillId="12" borderId="0" xfId="1" applyNumberFormat="1" applyFont="1" applyFill="1"/>
    <xf numFmtId="9" fontId="2" fillId="0" borderId="0" xfId="5" applyNumberFormat="1" applyFont="1"/>
    <xf numFmtId="0" fontId="0" fillId="27" borderId="0" xfId="10" applyFont="1" applyFill="1"/>
    <xf numFmtId="0" fontId="2" fillId="27" borderId="0" xfId="10" applyFont="1" applyFill="1"/>
    <xf numFmtId="166" fontId="0" fillId="27" borderId="0" xfId="11" applyNumberFormat="1" applyFont="1" applyFill="1"/>
    <xf numFmtId="166" fontId="2" fillId="27" borderId="0" xfId="11" applyNumberFormat="1" applyFont="1" applyFill="1"/>
    <xf numFmtId="166" fontId="2" fillId="0" borderId="0" xfId="11" applyNumberFormat="1" applyFont="1"/>
    <xf numFmtId="164" fontId="2" fillId="0" borderId="0" xfId="5" applyNumberFormat="1" applyFont="1"/>
    <xf numFmtId="9" fontId="10" fillId="13" borderId="1" xfId="5" applyNumberFormat="1" applyFont="1" applyFill="1" applyBorder="1" applyAlignment="1">
      <alignment horizontal="center"/>
    </xf>
    <xf numFmtId="9" fontId="2" fillId="0" borderId="0" xfId="5" applyNumberFormat="1" applyFont="1" applyFill="1" applyBorder="1"/>
    <xf numFmtId="164" fontId="2" fillId="0" borderId="0" xfId="5" applyNumberFormat="1" applyFont="1" applyFill="1" applyBorder="1"/>
    <xf numFmtId="9" fontId="10" fillId="13" borderId="1" xfId="5" applyFont="1" applyFill="1" applyBorder="1" applyAlignment="1">
      <alignment horizontal="center"/>
    </xf>
    <xf numFmtId="0" fontId="0" fillId="0" borderId="0" xfId="0">
      <alignment readingOrder="1"/>
    </xf>
    <xf numFmtId="0" fontId="24" fillId="0" borderId="0" xfId="0" applyFont="1">
      <alignment readingOrder="1"/>
    </xf>
    <xf numFmtId="166" fontId="0" fillId="0" borderId="0" xfId="1" applyNumberFormat="1" applyFont="1" applyFill="1"/>
    <xf numFmtId="0" fontId="15" fillId="27" borderId="0" xfId="0" applyFont="1" applyFill="1"/>
    <xf numFmtId="0" fontId="0" fillId="27" borderId="0" xfId="0" applyFill="1"/>
    <xf numFmtId="0" fontId="0" fillId="0" borderId="9" xfId="0" applyFill="1" applyBorder="1"/>
    <xf numFmtId="166" fontId="0" fillId="0" borderId="9" xfId="1" applyNumberFormat="1" applyFont="1" applyFill="1" applyBorder="1"/>
    <xf numFmtId="0" fontId="10" fillId="13" borderId="0" xfId="0" applyFont="1" applyFill="1"/>
    <xf numFmtId="0" fontId="31" fillId="0" borderId="0" xfId="4" applyFont="1" applyAlignment="1" applyProtection="1"/>
    <xf numFmtId="0" fontId="15" fillId="11" borderId="0" xfId="0" applyFont="1" applyFill="1" applyAlignment="1">
      <alignment horizontal="left"/>
    </xf>
    <xf numFmtId="0" fontId="10" fillId="11" borderId="0" xfId="0" applyFont="1" applyFill="1" applyAlignment="1">
      <alignment horizontal="center"/>
    </xf>
    <xf numFmtId="1" fontId="15" fillId="11" borderId="0" xfId="0" applyNumberFormat="1" applyFont="1" applyFill="1" applyAlignment="1"/>
    <xf numFmtId="0" fontId="10" fillId="11" borderId="0" xfId="0" applyFont="1" applyFill="1" applyAlignment="1"/>
    <xf numFmtId="1" fontId="10" fillId="11" borderId="0" xfId="0" applyNumberFormat="1" applyFont="1" applyFill="1" applyAlignment="1"/>
    <xf numFmtId="0" fontId="0" fillId="14" borderId="0" xfId="0" applyFill="1"/>
    <xf numFmtId="0" fontId="24" fillId="14" borderId="0" xfId="0" applyFont="1" applyFill="1"/>
    <xf numFmtId="0" fontId="10" fillId="21" borderId="0" xfId="0" applyFont="1" applyFill="1"/>
    <xf numFmtId="15" fontId="17" fillId="28" borderId="0" xfId="0" applyNumberFormat="1" applyFont="1" applyFill="1"/>
    <xf numFmtId="0" fontId="0" fillId="28" borderId="0" xfId="0" applyFill="1"/>
    <xf numFmtId="172" fontId="24" fillId="0" borderId="0" xfId="0" applyNumberFormat="1" applyFont="1" applyAlignment="1">
      <alignment horizontal="left"/>
    </xf>
    <xf numFmtId="0" fontId="51" fillId="0" borderId="0" xfId="0" applyFont="1"/>
    <xf numFmtId="0" fontId="24" fillId="0" borderId="0" xfId="0" applyFont="1" applyBorder="1"/>
    <xf numFmtId="9" fontId="3" fillId="0" borderId="0" xfId="5" applyFont="1" applyFill="1"/>
    <xf numFmtId="9" fontId="10" fillId="20" borderId="0" xfId="0" applyNumberFormat="1" applyFont="1" applyFill="1"/>
    <xf numFmtId="9" fontId="10" fillId="13" borderId="1" xfId="5" applyFont="1" applyFill="1" applyBorder="1" applyAlignment="1">
      <alignment horizontal="center"/>
    </xf>
    <xf numFmtId="167" fontId="0" fillId="0" borderId="0" xfId="1" applyNumberFormat="1" applyFont="1" applyAlignment="1">
      <alignment horizontal="right" vertical="center"/>
    </xf>
    <xf numFmtId="166" fontId="31" fillId="0" borderId="0" xfId="1" applyNumberFormat="1" applyFont="1"/>
    <xf numFmtId="9" fontId="0" fillId="0" borderId="0" xfId="5" applyFont="1" applyFill="1" applyBorder="1"/>
    <xf numFmtId="9" fontId="39" fillId="0" borderId="3" xfId="5" applyFont="1" applyFill="1" applyBorder="1" applyAlignment="1">
      <alignment horizontal="center"/>
    </xf>
    <xf numFmtId="9" fontId="10" fillId="13" borderId="6" xfId="5" applyFont="1" applyFill="1" applyBorder="1" applyAlignment="1">
      <alignment horizontal="center"/>
    </xf>
    <xf numFmtId="9" fontId="10" fillId="13" borderId="12" xfId="5" applyFont="1" applyFill="1" applyBorder="1" applyAlignment="1">
      <alignment horizontal="center"/>
    </xf>
    <xf numFmtId="9" fontId="0" fillId="13" borderId="1" xfId="5" applyFont="1" applyFill="1" applyBorder="1" applyAlignment="1">
      <alignment horizontal="center"/>
    </xf>
    <xf numFmtId="9" fontId="1" fillId="0" borderId="0" xfId="5" applyFont="1" applyAlignment="1">
      <alignment horizontal="center"/>
    </xf>
    <xf numFmtId="9" fontId="0" fillId="0" borderId="0" xfId="5" applyFont="1" applyFill="1" applyAlignment="1">
      <alignment horizontal="center"/>
    </xf>
    <xf numFmtId="165" fontId="0" fillId="0" borderId="0" xfId="0" applyNumberFormat="1" applyAlignment="1">
      <alignment wrapText="1"/>
    </xf>
    <xf numFmtId="9" fontId="10" fillId="13" borderId="1" xfId="5" applyFont="1" applyFill="1" applyBorder="1"/>
    <xf numFmtId="9" fontId="0" fillId="0" borderId="0" xfId="0" applyNumberFormat="1" applyFill="1" applyBorder="1"/>
    <xf numFmtId="0" fontId="27" fillId="0" borderId="0" xfId="6" applyFont="1" applyFill="1"/>
    <xf numFmtId="177" fontId="0" fillId="0" borderId="0" xfId="0" applyNumberFormat="1"/>
    <xf numFmtId="0" fontId="0" fillId="0" borderId="0" xfId="0" applyAlignment="1">
      <alignment horizontal="center" vertical="center"/>
    </xf>
    <xf numFmtId="0" fontId="0" fillId="3" borderId="2" xfId="0" applyFill="1" applyBorder="1" applyAlignment="1">
      <alignment wrapText="1"/>
    </xf>
    <xf numFmtId="169" fontId="10" fillId="0" borderId="0" xfId="0" applyNumberFormat="1" applyFont="1"/>
    <xf numFmtId="177" fontId="10" fillId="0" borderId="0" xfId="0" applyNumberFormat="1" applyFont="1"/>
    <xf numFmtId="166" fontId="10" fillId="0" borderId="0" xfId="1" applyNumberFormat="1" applyFont="1" applyAlignment="1">
      <alignment horizontal="right" vertical="center"/>
    </xf>
    <xf numFmtId="166" fontId="10" fillId="0" borderId="0" xfId="1" applyNumberFormat="1" applyFont="1" applyAlignment="1">
      <alignment vertical="center"/>
    </xf>
    <xf numFmtId="166" fontId="10" fillId="0" borderId="0" xfId="1" applyNumberFormat="1" applyFont="1" applyAlignment="1">
      <alignment horizontal="right"/>
    </xf>
    <xf numFmtId="0" fontId="10" fillId="0" borderId="0" xfId="0" applyFont="1" applyAlignment="1">
      <alignment wrapText="1"/>
    </xf>
    <xf numFmtId="0" fontId="10" fillId="0" borderId="0" xfId="0" applyFont="1" applyAlignment="1">
      <alignment horizontal="center" vertical="center"/>
    </xf>
    <xf numFmtId="9" fontId="39" fillId="0" borderId="1" xfId="5" applyFont="1" applyFill="1" applyBorder="1" applyAlignment="1">
      <alignment horizontal="center"/>
    </xf>
    <xf numFmtId="9" fontId="10" fillId="29" borderId="1" xfId="5" applyFont="1" applyFill="1" applyBorder="1" applyAlignment="1">
      <alignment horizontal="center"/>
    </xf>
    <xf numFmtId="0" fontId="10" fillId="0" borderId="0" xfId="4" applyFont="1" applyFill="1" applyAlignment="1" applyProtection="1"/>
    <xf numFmtId="15" fontId="10" fillId="0" borderId="0" xfId="0" applyNumberFormat="1" applyFont="1"/>
    <xf numFmtId="0" fontId="10" fillId="29" borderId="1" xfId="0" applyFont="1" applyFill="1" applyBorder="1"/>
    <xf numFmtId="9" fontId="10" fillId="29" borderId="1" xfId="0" applyNumberFormat="1" applyFont="1" applyFill="1" applyBorder="1" applyAlignment="1">
      <alignment horizontal="center"/>
    </xf>
    <xf numFmtId="0" fontId="10" fillId="0" borderId="0" xfId="4" applyFont="1" applyAlignment="1" applyProtection="1"/>
    <xf numFmtId="0" fontId="0" fillId="11" borderId="1" xfId="0" applyFill="1" applyBorder="1" applyAlignment="1">
      <alignment horizontal="center"/>
    </xf>
    <xf numFmtId="0" fontId="0" fillId="11" borderId="5" xfId="0" applyFill="1" applyBorder="1" applyAlignment="1">
      <alignment horizontal="center"/>
    </xf>
    <xf numFmtId="0" fontId="0" fillId="11" borderId="4" xfId="0" applyFill="1" applyBorder="1" applyAlignment="1">
      <alignment horizontal="center"/>
    </xf>
    <xf numFmtId="0" fontId="0" fillId="11" borderId="6" xfId="0" applyFill="1" applyBorder="1" applyAlignment="1">
      <alignment horizontal="center"/>
    </xf>
    <xf numFmtId="0" fontId="0" fillId="11" borderId="15" xfId="0" applyFill="1" applyBorder="1" applyAlignment="1">
      <alignment horizontal="center"/>
    </xf>
    <xf numFmtId="0" fontId="0" fillId="11" borderId="12" xfId="0" applyFill="1" applyBorder="1" applyAlignment="1">
      <alignment horizontal="center"/>
    </xf>
    <xf numFmtId="0" fontId="10" fillId="11" borderId="1" xfId="0" applyFont="1" applyFill="1" applyBorder="1" applyAlignment="1">
      <alignment horizontal="center"/>
    </xf>
    <xf numFmtId="0" fontId="0" fillId="0" borderId="14" xfId="0" applyBorder="1" applyAlignment="1">
      <alignment horizontal="center" vertical="center" textRotation="90"/>
    </xf>
    <xf numFmtId="0" fontId="0" fillId="0" borderId="7" xfId="0" applyBorder="1" applyAlignment="1">
      <alignment horizontal="center" vertical="center" textRotation="90"/>
    </xf>
    <xf numFmtId="0" fontId="0" fillId="0" borderId="15" xfId="0" applyBorder="1" applyAlignment="1">
      <alignment horizontal="center" vertical="center" textRotation="90"/>
    </xf>
    <xf numFmtId="0" fontId="0" fillId="4" borderId="1" xfId="0" applyFill="1" applyBorder="1" applyAlignment="1">
      <alignment horizontal="center"/>
    </xf>
    <xf numFmtId="0" fontId="0" fillId="4" borderId="5" xfId="0" applyFill="1" applyBorder="1" applyAlignment="1">
      <alignment horizontal="center"/>
    </xf>
    <xf numFmtId="0" fontId="0" fillId="4" borderId="4" xfId="0" applyFill="1" applyBorder="1" applyAlignment="1">
      <alignment horizontal="center"/>
    </xf>
    <xf numFmtId="9" fontId="39" fillId="0" borderId="4" xfId="5" applyFont="1" applyFill="1" applyBorder="1" applyAlignment="1">
      <alignment horizontal="center"/>
    </xf>
    <xf numFmtId="9" fontId="39" fillId="0" borderId="1" xfId="5" applyFont="1" applyFill="1" applyBorder="1" applyAlignment="1">
      <alignment horizontal="center"/>
    </xf>
    <xf numFmtId="9" fontId="39" fillId="0" borderId="5" xfId="5" applyFont="1" applyFill="1" applyBorder="1" applyAlignment="1">
      <alignment horizontal="center"/>
    </xf>
    <xf numFmtId="9" fontId="10" fillId="13" borderId="1" xfId="5" applyFont="1" applyFill="1" applyBorder="1" applyAlignment="1">
      <alignment horizontal="center"/>
    </xf>
    <xf numFmtId="164" fontId="10" fillId="11" borderId="5" xfId="5" applyNumberFormat="1" applyFont="1" applyFill="1" applyBorder="1" applyAlignment="1">
      <alignment horizontal="center"/>
    </xf>
    <xf numFmtId="164" fontId="10" fillId="11" borderId="13" xfId="5" applyNumberFormat="1" applyFont="1" applyFill="1" applyBorder="1" applyAlignment="1">
      <alignment horizontal="center"/>
    </xf>
    <xf numFmtId="164" fontId="10" fillId="11" borderId="4" xfId="5" applyNumberFormat="1" applyFont="1" applyFill="1" applyBorder="1" applyAlignment="1">
      <alignment horizontal="center"/>
    </xf>
    <xf numFmtId="9" fontId="39" fillId="11" borderId="1" xfId="5" applyFont="1" applyFill="1" applyBorder="1" applyAlignment="1">
      <alignment horizontal="center"/>
    </xf>
    <xf numFmtId="0" fontId="10" fillId="11" borderId="5" xfId="0" applyFont="1" applyFill="1" applyBorder="1" applyAlignment="1">
      <alignment horizontal="center"/>
    </xf>
    <xf numFmtId="0" fontId="10" fillId="11" borderId="4" xfId="0" applyFont="1" applyFill="1" applyBorder="1" applyAlignment="1">
      <alignment horizontal="center"/>
    </xf>
    <xf numFmtId="9" fontId="39" fillId="11" borderId="5" xfId="5" applyFont="1" applyFill="1" applyBorder="1" applyAlignment="1">
      <alignment horizontal="center"/>
    </xf>
    <xf numFmtId="9" fontId="39" fillId="11" borderId="4" xfId="5" applyFont="1" applyFill="1" applyBorder="1" applyAlignment="1">
      <alignment horizontal="center"/>
    </xf>
    <xf numFmtId="9" fontId="39" fillId="0" borderId="1" xfId="5" applyNumberFormat="1" applyFont="1" applyFill="1" applyBorder="1" applyAlignment="1">
      <alignment horizontal="center"/>
    </xf>
    <xf numFmtId="164" fontId="0" fillId="11" borderId="1" xfId="5" applyNumberFormat="1" applyFont="1" applyFill="1" applyBorder="1" applyAlignment="1">
      <alignment horizontal="center"/>
    </xf>
    <xf numFmtId="9" fontId="10" fillId="13" borderId="5" xfId="5" applyFont="1" applyFill="1" applyBorder="1" applyAlignment="1">
      <alignment horizontal="center"/>
    </xf>
    <xf numFmtId="9" fontId="10" fillId="13" borderId="13" xfId="5" applyFont="1" applyFill="1" applyBorder="1" applyAlignment="1">
      <alignment horizontal="center"/>
    </xf>
    <xf numFmtId="9" fontId="10" fillId="13" borderId="4" xfId="5" applyFont="1" applyFill="1" applyBorder="1" applyAlignment="1">
      <alignment horizontal="center"/>
    </xf>
    <xf numFmtId="9" fontId="10" fillId="13" borderId="12" xfId="5" applyFont="1" applyFill="1" applyBorder="1" applyAlignment="1">
      <alignment horizontal="center"/>
    </xf>
    <xf numFmtId="9" fontId="10" fillId="13" borderId="6" xfId="5" applyFont="1" applyFill="1" applyBorder="1" applyAlignment="1">
      <alignment horizontal="center"/>
    </xf>
    <xf numFmtId="9" fontId="10" fillId="13" borderId="15" xfId="5" applyFont="1" applyFill="1" applyBorder="1" applyAlignment="1">
      <alignment horizontal="center"/>
    </xf>
    <xf numFmtId="9" fontId="39" fillId="0" borderId="3" xfId="5" applyFont="1" applyFill="1" applyBorder="1" applyAlignment="1">
      <alignment horizontal="center"/>
    </xf>
    <xf numFmtId="9" fontId="49" fillId="0" borderId="0" xfId="0" applyNumberFormat="1" applyFont="1" applyAlignment="1">
      <alignment horizontal="right"/>
    </xf>
    <xf numFmtId="0" fontId="48" fillId="30" borderId="0" xfId="0" applyFont="1" applyFill="1"/>
    <xf numFmtId="0" fontId="0" fillId="4" borderId="13" xfId="0" applyFill="1" applyBorder="1" applyAlignment="1">
      <alignment horizontal="center"/>
    </xf>
    <xf numFmtId="0" fontId="15" fillId="0" borderId="5" xfId="0" applyFont="1" applyFill="1" applyBorder="1" applyAlignment="1">
      <alignment horizontal="center"/>
    </xf>
    <xf numFmtId="0" fontId="15" fillId="0" borderId="13" xfId="0" applyFont="1" applyFill="1" applyBorder="1" applyAlignment="1">
      <alignment horizontal="center"/>
    </xf>
    <xf numFmtId="0" fontId="15" fillId="0" borderId="4" xfId="0" applyFont="1" applyFill="1" applyBorder="1" applyAlignment="1">
      <alignment horizontal="center"/>
    </xf>
    <xf numFmtId="2" fontId="0" fillId="17" borderId="3" xfId="0" applyNumberFormat="1" applyFill="1" applyBorder="1" applyAlignment="1">
      <alignment horizontal="center" vertical="center"/>
    </xf>
    <xf numFmtId="2" fontId="0" fillId="17" borderId="6" xfId="0" applyNumberFormat="1" applyFill="1" applyBorder="1" applyAlignment="1">
      <alignment horizontal="center" vertical="center"/>
    </xf>
    <xf numFmtId="1" fontId="0" fillId="17" borderId="3" xfId="0" applyNumberFormat="1" applyFill="1" applyBorder="1" applyAlignment="1">
      <alignment horizontal="center" vertical="center"/>
    </xf>
    <xf numFmtId="1" fontId="0" fillId="17" borderId="6" xfId="0" applyNumberFormat="1" applyFill="1" applyBorder="1" applyAlignment="1">
      <alignment horizontal="center" vertical="center"/>
    </xf>
    <xf numFmtId="2" fontId="0" fillId="18" borderId="3" xfId="0" applyNumberFormat="1" applyFill="1" applyBorder="1" applyAlignment="1">
      <alignment horizontal="center" vertical="center"/>
    </xf>
    <xf numFmtId="2" fontId="0" fillId="18" borderId="6" xfId="0" applyNumberFormat="1" applyFill="1" applyBorder="1" applyAlignment="1">
      <alignment horizontal="center" vertical="center"/>
    </xf>
    <xf numFmtId="1" fontId="0" fillId="18" borderId="3" xfId="0" applyNumberFormat="1" applyFill="1" applyBorder="1" applyAlignment="1">
      <alignment horizontal="center" vertical="center"/>
    </xf>
    <xf numFmtId="1" fontId="0" fillId="18" borderId="6" xfId="0" applyNumberFormat="1" applyFill="1" applyBorder="1" applyAlignment="1">
      <alignment horizontal="center" vertical="center"/>
    </xf>
    <xf numFmtId="170" fontId="0" fillId="9" borderId="6" xfId="0" applyNumberFormat="1" applyFill="1" applyBorder="1" applyAlignment="1">
      <alignment horizontal="center"/>
    </xf>
    <xf numFmtId="0" fontId="0" fillId="9" borderId="6" xfId="0" applyFill="1" applyBorder="1" applyAlignment="1">
      <alignment horizontal="center"/>
    </xf>
    <xf numFmtId="3" fontId="0" fillId="9" borderId="6" xfId="0" applyNumberFormat="1" applyFill="1" applyBorder="1" applyAlignment="1">
      <alignment horizontal="center"/>
    </xf>
    <xf numFmtId="3" fontId="0" fillId="9" borderId="15" xfId="0" applyNumberFormat="1" applyFill="1" applyBorder="1" applyAlignment="1">
      <alignment horizontal="center"/>
    </xf>
    <xf numFmtId="3" fontId="0" fillId="9" borderId="9" xfId="0" applyNumberFormat="1" applyFill="1" applyBorder="1" applyAlignment="1">
      <alignment horizontal="center"/>
    </xf>
    <xf numFmtId="3" fontId="0" fillId="9" borderId="12" xfId="0" applyNumberFormat="1" applyFill="1" applyBorder="1" applyAlignment="1">
      <alignment horizontal="center"/>
    </xf>
    <xf numFmtId="4" fontId="0" fillId="7" borderId="3" xfId="0" applyNumberFormat="1" applyFill="1" applyBorder="1" applyAlignment="1">
      <alignment horizontal="center"/>
    </xf>
    <xf numFmtId="4" fontId="0" fillId="7" borderId="14" xfId="0" applyNumberFormat="1" applyFill="1" applyBorder="1" applyAlignment="1">
      <alignment horizontal="center"/>
    </xf>
    <xf numFmtId="4" fontId="0" fillId="7" borderId="10" xfId="0" applyNumberFormat="1" applyFill="1" applyBorder="1" applyAlignment="1">
      <alignment horizontal="center"/>
    </xf>
    <xf numFmtId="4" fontId="0" fillId="7" borderId="11" xfId="0" applyNumberFormat="1" applyFill="1" applyBorder="1" applyAlignment="1">
      <alignment horizontal="center"/>
    </xf>
    <xf numFmtId="4" fontId="0" fillId="9" borderId="6" xfId="0" applyNumberFormat="1" applyFill="1" applyBorder="1" applyAlignment="1">
      <alignment horizontal="center"/>
    </xf>
    <xf numFmtId="4" fontId="0" fillId="9" borderId="15" xfId="0" applyNumberFormat="1" applyFill="1" applyBorder="1" applyAlignment="1">
      <alignment horizontal="center"/>
    </xf>
    <xf numFmtId="4" fontId="0" fillId="9" borderId="9" xfId="0" applyNumberFormat="1" applyFill="1" applyBorder="1" applyAlignment="1">
      <alignment horizontal="center"/>
    </xf>
    <xf numFmtId="4" fontId="0" fillId="9" borderId="12" xfId="0" applyNumberFormat="1" applyFill="1" applyBorder="1" applyAlignment="1">
      <alignment horizontal="center"/>
    </xf>
    <xf numFmtId="9" fontId="0" fillId="0" borderId="5" xfId="5" applyFont="1" applyFill="1" applyBorder="1" applyAlignment="1">
      <alignment horizontal="center"/>
    </xf>
    <xf numFmtId="9" fontId="0" fillId="0" borderId="4" xfId="5" applyFont="1" applyFill="1" applyBorder="1" applyAlignment="1">
      <alignment horizontal="center"/>
    </xf>
    <xf numFmtId="165" fontId="0" fillId="5" borderId="5" xfId="1" applyNumberFormat="1" applyFont="1" applyFill="1" applyBorder="1" applyAlignment="1">
      <alignment horizontal="center"/>
    </xf>
    <xf numFmtId="165" fontId="0" fillId="5" borderId="13" xfId="1" applyNumberFormat="1" applyFont="1" applyFill="1" applyBorder="1" applyAlignment="1">
      <alignment horizontal="center"/>
    </xf>
    <xf numFmtId="165" fontId="0" fillId="5" borderId="4" xfId="1" applyNumberFormat="1" applyFont="1" applyFill="1" applyBorder="1" applyAlignment="1">
      <alignment horizontal="center"/>
    </xf>
    <xf numFmtId="165" fontId="0" fillId="5" borderId="1" xfId="1" applyNumberFormat="1" applyFont="1" applyFill="1" applyBorder="1" applyAlignment="1">
      <alignment horizontal="center"/>
    </xf>
    <xf numFmtId="9" fontId="0" fillId="0" borderId="5" xfId="5" applyFont="1" applyBorder="1" applyAlignment="1">
      <alignment horizontal="center"/>
    </xf>
    <xf numFmtId="9" fontId="0" fillId="0" borderId="4" xfId="5" applyFont="1" applyBorder="1" applyAlignment="1">
      <alignment horizontal="center"/>
    </xf>
    <xf numFmtId="9" fontId="0" fillId="0" borderId="13" xfId="5" applyFont="1" applyFill="1" applyBorder="1" applyAlignment="1">
      <alignment horizontal="center"/>
    </xf>
    <xf numFmtId="170" fontId="0" fillId="9" borderId="15" xfId="0" applyNumberFormat="1" applyFill="1" applyBorder="1" applyAlignment="1">
      <alignment horizontal="center"/>
    </xf>
    <xf numFmtId="170" fontId="0" fillId="9" borderId="9" xfId="0" applyNumberFormat="1" applyFill="1" applyBorder="1" applyAlignment="1">
      <alignment horizontal="center"/>
    </xf>
    <xf numFmtId="170" fontId="0" fillId="9" borderId="12" xfId="0" applyNumberFormat="1" applyFill="1" applyBorder="1" applyAlignment="1">
      <alignment horizontal="center"/>
    </xf>
    <xf numFmtId="9" fontId="0" fillId="0" borderId="1" xfId="5" applyFont="1" applyBorder="1" applyAlignment="1">
      <alignment horizontal="center"/>
    </xf>
    <xf numFmtId="0" fontId="0" fillId="8" borderId="5" xfId="0" applyFill="1" applyBorder="1" applyAlignment="1">
      <alignment horizontal="center"/>
    </xf>
    <xf numFmtId="0" fontId="0" fillId="8" borderId="4" xfId="0" applyFill="1" applyBorder="1" applyAlignment="1">
      <alignment horizontal="center"/>
    </xf>
    <xf numFmtId="165" fontId="0" fillId="5" borderId="1" xfId="0" applyNumberFormat="1" applyFill="1" applyBorder="1" applyAlignment="1">
      <alignment horizontal="center"/>
    </xf>
    <xf numFmtId="0" fontId="0" fillId="8" borderId="14" xfId="0" applyFill="1" applyBorder="1" applyAlignment="1">
      <alignment horizontal="center"/>
    </xf>
    <xf numFmtId="0" fontId="0" fillId="8" borderId="11" xfId="0" applyFill="1" applyBorder="1" applyAlignment="1">
      <alignment horizontal="center"/>
    </xf>
    <xf numFmtId="165" fontId="0" fillId="8" borderId="15" xfId="0" applyNumberFormat="1" applyFill="1" applyBorder="1" applyAlignment="1">
      <alignment horizontal="center"/>
    </xf>
    <xf numFmtId="165" fontId="0" fillId="8" borderId="12" xfId="0" applyNumberFormat="1" applyFill="1" applyBorder="1" applyAlignment="1">
      <alignment horizontal="center"/>
    </xf>
    <xf numFmtId="0" fontId="0" fillId="8" borderId="6" xfId="0" applyFill="1" applyBorder="1" applyAlignment="1">
      <alignment horizontal="center"/>
    </xf>
    <xf numFmtId="0" fontId="0" fillId="8" borderId="3" xfId="0" applyFill="1" applyBorder="1" applyAlignment="1">
      <alignment horizontal="center"/>
    </xf>
    <xf numFmtId="0" fontId="0" fillId="8" borderId="10" xfId="0" applyFill="1" applyBorder="1" applyAlignment="1">
      <alignment horizontal="center"/>
    </xf>
    <xf numFmtId="0" fontId="0" fillId="8" borderId="1" xfId="0" applyFill="1" applyBorder="1" applyAlignment="1">
      <alignment horizontal="center"/>
    </xf>
    <xf numFmtId="16" fontId="0" fillId="8" borderId="1" xfId="0" quotePrefix="1" applyNumberFormat="1" applyFill="1" applyBorder="1" applyAlignment="1">
      <alignment horizontal="center"/>
    </xf>
    <xf numFmtId="16" fontId="0" fillId="8" borderId="1" xfId="0" applyNumberFormat="1" applyFill="1" applyBorder="1" applyAlignment="1">
      <alignment horizontal="center"/>
    </xf>
    <xf numFmtId="0" fontId="0" fillId="8" borderId="1" xfId="0" quotePrefix="1" applyFill="1" applyBorder="1" applyAlignment="1">
      <alignment horizontal="center"/>
    </xf>
    <xf numFmtId="165" fontId="0" fillId="8" borderId="1" xfId="0" applyNumberFormat="1" applyFill="1" applyBorder="1" applyAlignment="1">
      <alignment horizontal="center"/>
    </xf>
    <xf numFmtId="0" fontId="0" fillId="8" borderId="13" xfId="0" applyFill="1" applyBorder="1" applyAlignment="1">
      <alignment horizontal="center"/>
    </xf>
    <xf numFmtId="0" fontId="20" fillId="0" borderId="1" xfId="0" applyFont="1" applyBorder="1" applyAlignment="1">
      <alignment horizontal="center"/>
    </xf>
    <xf numFmtId="0" fontId="20" fillId="0" borderId="5" xfId="0" applyFont="1" applyBorder="1" applyAlignment="1">
      <alignment horizontal="center"/>
    </xf>
    <xf numFmtId="0" fontId="20" fillId="0" borderId="5" xfId="0" applyFont="1" applyBorder="1" applyAlignment="1">
      <alignment horizontal="center" wrapText="1"/>
    </xf>
    <xf numFmtId="0" fontId="20" fillId="0" borderId="13" xfId="0" applyFont="1" applyBorder="1" applyAlignment="1">
      <alignment horizontal="center"/>
    </xf>
    <xf numFmtId="0" fontId="20" fillId="0" borderId="4" xfId="0" applyFont="1" applyBorder="1" applyAlignment="1">
      <alignment horizontal="center"/>
    </xf>
    <xf numFmtId="0" fontId="20" fillId="0" borderId="13" xfId="0" applyFont="1" applyBorder="1" applyAlignment="1">
      <alignment horizontal="center" wrapText="1"/>
    </xf>
    <xf numFmtId="170" fontId="0" fillId="7" borderId="3" xfId="0" applyNumberFormat="1" applyFill="1" applyBorder="1" applyAlignment="1">
      <alignment horizontal="center"/>
    </xf>
    <xf numFmtId="0" fontId="0" fillId="7" borderId="3" xfId="0" applyFill="1" applyBorder="1" applyAlignment="1">
      <alignment horizontal="center"/>
    </xf>
    <xf numFmtId="170" fontId="0" fillId="7" borderId="14" xfId="0" applyNumberFormat="1" applyFill="1" applyBorder="1" applyAlignment="1">
      <alignment horizontal="center"/>
    </xf>
    <xf numFmtId="170" fontId="0" fillId="7" borderId="10" xfId="0" applyNumberFormat="1" applyFill="1" applyBorder="1" applyAlignment="1">
      <alignment horizontal="center"/>
    </xf>
    <xf numFmtId="170" fontId="0" fillId="7" borderId="11" xfId="0" applyNumberFormat="1" applyFill="1" applyBorder="1" applyAlignment="1">
      <alignment horizontal="center"/>
    </xf>
    <xf numFmtId="165" fontId="0" fillId="7" borderId="3" xfId="0" applyNumberFormat="1" applyFill="1" applyBorder="1" applyAlignment="1">
      <alignment horizontal="center"/>
    </xf>
    <xf numFmtId="165" fontId="0" fillId="8" borderId="1" xfId="0" quotePrefix="1" applyNumberFormat="1" applyFill="1" applyBorder="1" applyAlignment="1">
      <alignment horizontal="center"/>
    </xf>
    <xf numFmtId="165" fontId="0" fillId="8" borderId="15" xfId="0" quotePrefix="1" applyNumberFormat="1" applyFill="1" applyBorder="1" applyAlignment="1">
      <alignment horizontal="center"/>
    </xf>
    <xf numFmtId="165" fontId="0" fillId="8" borderId="9" xfId="0" quotePrefix="1" applyNumberFormat="1" applyFill="1" applyBorder="1" applyAlignment="1">
      <alignment horizontal="center"/>
    </xf>
    <xf numFmtId="165" fontId="0" fillId="8" borderId="12" xfId="0" quotePrefix="1" applyNumberFormat="1" applyFill="1" applyBorder="1" applyAlignment="1">
      <alignment horizontal="center"/>
    </xf>
  </cellXfs>
  <cellStyles count="256">
    <cellStyle name="_x0010_“+ˆÉ•?pý¤" xfId="12"/>
    <cellStyle name="20% - Accent1 2" xfId="13"/>
    <cellStyle name="20% - Accent1 3" xfId="14"/>
    <cellStyle name="20% - Accent1 4" xfId="15"/>
    <cellStyle name="20% - Accent2 2" xfId="16"/>
    <cellStyle name="20% - Accent2 3" xfId="17"/>
    <cellStyle name="20% - Accent2 4" xfId="18"/>
    <cellStyle name="20% - Accent3 2" xfId="19"/>
    <cellStyle name="20% - Accent3 3" xfId="20"/>
    <cellStyle name="20% - Accent3 4" xfId="21"/>
    <cellStyle name="20% - Accent4 2" xfId="22"/>
    <cellStyle name="20% - Accent4 3" xfId="23"/>
    <cellStyle name="20% - Accent4 4" xfId="24"/>
    <cellStyle name="20% - Accent5 2" xfId="25"/>
    <cellStyle name="20% - Accent5 3" xfId="26"/>
    <cellStyle name="20% - Accent5 4" xfId="27"/>
    <cellStyle name="20% - Accent6 2" xfId="28"/>
    <cellStyle name="20% - Accent6 3" xfId="29"/>
    <cellStyle name="20% - Accent6 4" xfId="30"/>
    <cellStyle name="40% - Accent1 2" xfId="31"/>
    <cellStyle name="40% - Accent1 3" xfId="32"/>
    <cellStyle name="40% - Accent1 4" xfId="33"/>
    <cellStyle name="40% - Accent2 2" xfId="34"/>
    <cellStyle name="40% - Accent2 3" xfId="35"/>
    <cellStyle name="40% - Accent2 4" xfId="36"/>
    <cellStyle name="40% - Accent3 2" xfId="37"/>
    <cellStyle name="40% - Accent3 3" xfId="38"/>
    <cellStyle name="40% - Accent3 4" xfId="39"/>
    <cellStyle name="40% - Accent4 2" xfId="40"/>
    <cellStyle name="40% - Accent4 3" xfId="41"/>
    <cellStyle name="40% - Accent4 4" xfId="42"/>
    <cellStyle name="40% - Accent5 2" xfId="43"/>
    <cellStyle name="40% - Accent5 3" xfId="44"/>
    <cellStyle name="40% - Accent5 4" xfId="45"/>
    <cellStyle name="40% - Accent6 2" xfId="46"/>
    <cellStyle name="40% - Accent6 3" xfId="47"/>
    <cellStyle name="40% - Accent6 4" xfId="48"/>
    <cellStyle name="60% - Accent1 2" xfId="49"/>
    <cellStyle name="60% - Accent1 3" xfId="50"/>
    <cellStyle name="60% - Accent1 4" xfId="51"/>
    <cellStyle name="60% - Accent2 2" xfId="52"/>
    <cellStyle name="60% - Accent2 3" xfId="53"/>
    <cellStyle name="60% - Accent2 4" xfId="54"/>
    <cellStyle name="60% - Accent3 2" xfId="55"/>
    <cellStyle name="60% - Accent3 3" xfId="56"/>
    <cellStyle name="60% - Accent3 4" xfId="57"/>
    <cellStyle name="60% - Accent4 2" xfId="58"/>
    <cellStyle name="60% - Accent4 3" xfId="59"/>
    <cellStyle name="60% - Accent4 4" xfId="60"/>
    <cellStyle name="60% - Accent5 2" xfId="61"/>
    <cellStyle name="60% - Accent5 3" xfId="62"/>
    <cellStyle name="60% - Accent5 4" xfId="63"/>
    <cellStyle name="60% - Accent6 2" xfId="64"/>
    <cellStyle name="60% - Accent6 3" xfId="65"/>
    <cellStyle name="60% - Accent6 4" xfId="66"/>
    <cellStyle name="Accent1 2" xfId="67"/>
    <cellStyle name="Accent1 3" xfId="68"/>
    <cellStyle name="Accent1 4" xfId="69"/>
    <cellStyle name="Accent2 2" xfId="70"/>
    <cellStyle name="Accent2 3" xfId="71"/>
    <cellStyle name="Accent2 4" xfId="72"/>
    <cellStyle name="Accent3 2" xfId="73"/>
    <cellStyle name="Accent3 3" xfId="74"/>
    <cellStyle name="Accent3 4" xfId="75"/>
    <cellStyle name="Accent4 2" xfId="76"/>
    <cellStyle name="Accent4 3" xfId="77"/>
    <cellStyle name="Accent4 4" xfId="78"/>
    <cellStyle name="Accent5 2" xfId="79"/>
    <cellStyle name="Accent5 3" xfId="80"/>
    <cellStyle name="Accent5 4" xfId="81"/>
    <cellStyle name="Accent6 2" xfId="82"/>
    <cellStyle name="Accent6 3" xfId="83"/>
    <cellStyle name="Accent6 4" xfId="84"/>
    <cellStyle name="Bad 2" xfId="85"/>
    <cellStyle name="Bad 3" xfId="86"/>
    <cellStyle name="Bad 4" xfId="87"/>
    <cellStyle name="Calculation 2" xfId="88"/>
    <cellStyle name="Calculation 3" xfId="89"/>
    <cellStyle name="Calculation 4" xfId="90"/>
    <cellStyle name="Check Cell 2" xfId="91"/>
    <cellStyle name="Check Cell 3" xfId="92"/>
    <cellStyle name="Check Cell 4" xfId="93"/>
    <cellStyle name="Comma" xfId="1" builtinId="3"/>
    <cellStyle name="Comma 10" xfId="94"/>
    <cellStyle name="Comma 11" xfId="95"/>
    <cellStyle name="Comma 12" xfId="96"/>
    <cellStyle name="Comma 13" xfId="97"/>
    <cellStyle name="Comma 14" xfId="98"/>
    <cellStyle name="Comma 15" xfId="99"/>
    <cellStyle name="Comma 16" xfId="100"/>
    <cellStyle name="Comma 17" xfId="101"/>
    <cellStyle name="Comma 18" xfId="102"/>
    <cellStyle name="Comma 19" xfId="103"/>
    <cellStyle name="Comma 2" xfId="104"/>
    <cellStyle name="Comma 2 2" xfId="105"/>
    <cellStyle name="Comma 29" xfId="106"/>
    <cellStyle name="Comma 3" xfId="11"/>
    <cellStyle name="Comma 3 2" xfId="107"/>
    <cellStyle name="Comma 4" xfId="108"/>
    <cellStyle name="Comma 4 2" xfId="109"/>
    <cellStyle name="Comma 5" xfId="110"/>
    <cellStyle name="Comma 6" xfId="111"/>
    <cellStyle name="Comma 7" xfId="112"/>
    <cellStyle name="Comma 8" xfId="113"/>
    <cellStyle name="Comma 9" xfId="114"/>
    <cellStyle name="Comma0" xfId="115"/>
    <cellStyle name="Currency 2" xfId="116"/>
    <cellStyle name="Currency 2 2" xfId="117"/>
    <cellStyle name="Currency 3" xfId="118"/>
    <cellStyle name="Currency 3 2" xfId="119"/>
    <cellStyle name="Currency 4" xfId="120"/>
    <cellStyle name="Currency 5" xfId="121"/>
    <cellStyle name="Currency 6" xfId="122"/>
    <cellStyle name="Currency0" xfId="123"/>
    <cellStyle name="Data Field" xfId="2"/>
    <cellStyle name="Data Field 2" xfId="124"/>
    <cellStyle name="Data Field 3" xfId="125"/>
    <cellStyle name="Data Field 4" xfId="126"/>
    <cellStyle name="Data Field 5" xfId="127"/>
    <cellStyle name="Data Field 6" xfId="128"/>
    <cellStyle name="Data Field 7" xfId="129"/>
    <cellStyle name="Data Field 8" xfId="130"/>
    <cellStyle name="Data Name" xfId="3"/>
    <cellStyle name="Data Name 2" xfId="131"/>
    <cellStyle name="Data Name 3" xfId="132"/>
    <cellStyle name="Data Name 4" xfId="133"/>
    <cellStyle name="Data Name 5" xfId="134"/>
    <cellStyle name="Data Name 6" xfId="135"/>
    <cellStyle name="Data Name 7" xfId="136"/>
    <cellStyle name="Data Name 8" xfId="137"/>
    <cellStyle name="Date" xfId="138"/>
    <cellStyle name="Date/Time" xfId="139"/>
    <cellStyle name="Explanatory Text 2" xfId="140"/>
    <cellStyle name="Explanatory Text 3" xfId="141"/>
    <cellStyle name="Explanatory Text 4" xfId="142"/>
    <cellStyle name="Fixed" xfId="143"/>
    <cellStyle name="General" xfId="144"/>
    <cellStyle name="Good 2" xfId="145"/>
    <cellStyle name="Good 3" xfId="146"/>
    <cellStyle name="Good 4" xfId="147"/>
    <cellStyle name="Heading" xfId="148"/>
    <cellStyle name="Heading 1 2" xfId="149"/>
    <cellStyle name="Heading 1 3" xfId="150"/>
    <cellStyle name="Heading 1 4" xfId="151"/>
    <cellStyle name="Heading 2 2" xfId="152"/>
    <cellStyle name="Heading 2 3" xfId="153"/>
    <cellStyle name="Heading 2 4" xfId="154"/>
    <cellStyle name="Heading 2 5" xfId="155"/>
    <cellStyle name="Heading 2 6" xfId="156"/>
    <cellStyle name="Heading 2 7" xfId="157"/>
    <cellStyle name="Heading 2 8" xfId="158"/>
    <cellStyle name="Heading 2 9" xfId="159"/>
    <cellStyle name="Heading 3 2" xfId="160"/>
    <cellStyle name="Heading 3 3" xfId="161"/>
    <cellStyle name="Heading 3 4" xfId="162"/>
    <cellStyle name="Heading 4 2" xfId="163"/>
    <cellStyle name="Heading 4 3" xfId="164"/>
    <cellStyle name="Heading 4 4" xfId="165"/>
    <cellStyle name="Hyperlink" xfId="4" builtinId="8"/>
    <cellStyle name="Hyperlink 2" xfId="166"/>
    <cellStyle name="Hyperlink 3" xfId="167"/>
    <cellStyle name="Input 2" xfId="168"/>
    <cellStyle name="Input 3" xfId="169"/>
    <cellStyle name="Input 4" xfId="170"/>
    <cellStyle name="InputText" xfId="171"/>
    <cellStyle name="inputyear" xfId="172"/>
    <cellStyle name="Linked Cell 2" xfId="173"/>
    <cellStyle name="Linked Cell 3" xfId="174"/>
    <cellStyle name="Linked Cell 4" xfId="175"/>
    <cellStyle name="Lists" xfId="176"/>
    <cellStyle name="Marathon" xfId="177"/>
    <cellStyle name="Marathon 2" xfId="178"/>
    <cellStyle name="Neutral 2" xfId="179"/>
    <cellStyle name="Neutral 3" xfId="180"/>
    <cellStyle name="Neutral 4" xfId="181"/>
    <cellStyle name="nONE" xfId="182"/>
    <cellStyle name="nONE 2" xfId="183"/>
    <cellStyle name="nONE 3" xfId="184"/>
    <cellStyle name="nONE 4" xfId="185"/>
    <cellStyle name="nONE 5" xfId="186"/>
    <cellStyle name="nONE 6" xfId="187"/>
    <cellStyle name="nONE 7" xfId="188"/>
    <cellStyle name="nONE 8" xfId="189"/>
    <cellStyle name="Normal" xfId="0" builtinId="0"/>
    <cellStyle name="Normal 10" xfId="190"/>
    <cellStyle name="Normal 11" xfId="191"/>
    <cellStyle name="Normal 11 2" xfId="192"/>
    <cellStyle name="Normal 12" xfId="193"/>
    <cellStyle name="Normal 12 2" xfId="194"/>
    <cellStyle name="Normal 13" xfId="195"/>
    <cellStyle name="Normal 14" xfId="196"/>
    <cellStyle name="Normal 15" xfId="197"/>
    <cellStyle name="Normal 16" xfId="198"/>
    <cellStyle name="Normal 17" xfId="199"/>
    <cellStyle name="Normal 18" xfId="200"/>
    <cellStyle name="Normal 19" xfId="201"/>
    <cellStyle name="Normal 2" xfId="202"/>
    <cellStyle name="Normal 2 2" xfId="203"/>
    <cellStyle name="Normal 2 3" xfId="204"/>
    <cellStyle name="Normal 2 5" xfId="205"/>
    <cellStyle name="Normal 20" xfId="206"/>
    <cellStyle name="Normal 3" xfId="207"/>
    <cellStyle name="Normal 3 2" xfId="208"/>
    <cellStyle name="Normal 3 3" xfId="6"/>
    <cellStyle name="Normal 32" xfId="209"/>
    <cellStyle name="Normal 33" xfId="210"/>
    <cellStyle name="Normal 34" xfId="211"/>
    <cellStyle name="Normal 4" xfId="10"/>
    <cellStyle name="Normal 4 2" xfId="212"/>
    <cellStyle name="Normal 4 3" xfId="213"/>
    <cellStyle name="Normal 4 4" xfId="214"/>
    <cellStyle name="Normal 4 5" xfId="215"/>
    <cellStyle name="Normal 4 6" xfId="216"/>
    <cellStyle name="Normal 4 7" xfId="217"/>
    <cellStyle name="Normal 4 8" xfId="218"/>
    <cellStyle name="Normal 45" xfId="219"/>
    <cellStyle name="Normal 46" xfId="220"/>
    <cellStyle name="Normal 5" xfId="221"/>
    <cellStyle name="Normal 5 2" xfId="222"/>
    <cellStyle name="Normal 6" xfId="223"/>
    <cellStyle name="Normal 6 2" xfId="224"/>
    <cellStyle name="Normal 7" xfId="225"/>
    <cellStyle name="Normal 8" xfId="226"/>
    <cellStyle name="Normal 9" xfId="227"/>
    <cellStyle name="Note 2" xfId="228"/>
    <cellStyle name="Note 3" xfId="229"/>
    <cellStyle name="Note 4" xfId="230"/>
    <cellStyle name="Note 5" xfId="231"/>
    <cellStyle name="Note 6" xfId="232"/>
    <cellStyle name="Note 7" xfId="233"/>
    <cellStyle name="Note 8" xfId="234"/>
    <cellStyle name="Output 2" xfId="235"/>
    <cellStyle name="Output 3" xfId="236"/>
    <cellStyle name="Output 4" xfId="237"/>
    <cellStyle name="Percent" xfId="5" builtinId="5"/>
    <cellStyle name="Percent 2" xfId="238"/>
    <cellStyle name="Percent 2 2" xfId="239"/>
    <cellStyle name="Percent 3" xfId="240"/>
    <cellStyle name="Percent 3 2" xfId="241"/>
    <cellStyle name="Percent 4" xfId="242"/>
    <cellStyle name="Style 1" xfId="243"/>
    <cellStyle name="Title 2" xfId="244"/>
    <cellStyle name="Title 3" xfId="245"/>
    <cellStyle name="Title 4" xfId="246"/>
    <cellStyle name="Total 2" xfId="247"/>
    <cellStyle name="Total 3" xfId="248"/>
    <cellStyle name="Total 4" xfId="249"/>
    <cellStyle name="TRANSMISSION RELIABILITY PORTION OF PROJECT" xfId="250"/>
    <cellStyle name="Warning Text 2" xfId="251"/>
    <cellStyle name="Warning Text 3" xfId="252"/>
    <cellStyle name="Warning Text 4" xfId="253"/>
    <cellStyle name="XLConnect.Header" xfId="7"/>
    <cellStyle name="XLConnect.Numeric" xfId="9"/>
    <cellStyle name="XLConnect.String" xfId="8"/>
    <cellStyle name="표준_ENERGY CONSUMP" xfId="254"/>
    <cellStyle name="常规_海外市场服务网站资料操作BOM" xfId="25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E0E0D4"/>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CACEAE"/>
      <rgbColor rgb="00CC99FF"/>
      <rgbColor rgb="00EBDC9B"/>
      <rgbColor rgb="003366FF"/>
      <rgbColor rgb="0033CCCC"/>
      <rgbColor rgb="0099CC00"/>
      <rgbColor rgb="00E9C55F"/>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66"/>
    </mruColors>
  </colors>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5.xml"/><Relationship Id="rId39" Type="http://schemas.openxmlformats.org/officeDocument/2006/relationships/externalLink" Target="externalLinks/externalLink18.xml"/><Relationship Id="rId21" Type="http://schemas.openxmlformats.org/officeDocument/2006/relationships/worksheet" Target="worksheets/sheet21.xml"/><Relationship Id="rId34" Type="http://schemas.openxmlformats.org/officeDocument/2006/relationships/externalLink" Target="externalLinks/externalLink13.xml"/><Relationship Id="rId42" Type="http://schemas.openxmlformats.org/officeDocument/2006/relationships/externalLink" Target="externalLinks/externalLink21.xml"/><Relationship Id="rId47" Type="http://schemas.openxmlformats.org/officeDocument/2006/relationships/externalLink" Target="externalLinks/externalLink26.xml"/><Relationship Id="rId50" Type="http://schemas.openxmlformats.org/officeDocument/2006/relationships/externalLink" Target="externalLinks/externalLink29.xml"/><Relationship Id="rId55" Type="http://schemas.openxmlformats.org/officeDocument/2006/relationships/externalLink" Target="externalLinks/externalLink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4.xml"/><Relationship Id="rId33" Type="http://schemas.openxmlformats.org/officeDocument/2006/relationships/externalLink" Target="externalLinks/externalLink12.xml"/><Relationship Id="rId38" Type="http://schemas.openxmlformats.org/officeDocument/2006/relationships/externalLink" Target="externalLinks/externalLink17.xml"/><Relationship Id="rId46" Type="http://schemas.openxmlformats.org/officeDocument/2006/relationships/externalLink" Target="externalLinks/externalLink25.xml"/><Relationship Id="rId59"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8.xml"/><Relationship Id="rId41" Type="http://schemas.openxmlformats.org/officeDocument/2006/relationships/externalLink" Target="externalLinks/externalLink20.xml"/><Relationship Id="rId54" Type="http://schemas.openxmlformats.org/officeDocument/2006/relationships/externalLink" Target="externalLinks/externalLink3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3.xml"/><Relationship Id="rId32" Type="http://schemas.openxmlformats.org/officeDocument/2006/relationships/externalLink" Target="externalLinks/externalLink11.xml"/><Relationship Id="rId37" Type="http://schemas.openxmlformats.org/officeDocument/2006/relationships/externalLink" Target="externalLinks/externalLink16.xml"/><Relationship Id="rId40" Type="http://schemas.openxmlformats.org/officeDocument/2006/relationships/externalLink" Target="externalLinks/externalLink19.xml"/><Relationship Id="rId45" Type="http://schemas.openxmlformats.org/officeDocument/2006/relationships/externalLink" Target="externalLinks/externalLink24.xml"/><Relationship Id="rId53" Type="http://schemas.openxmlformats.org/officeDocument/2006/relationships/externalLink" Target="externalLinks/externalLink32.xml"/><Relationship Id="rId58"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2.xml"/><Relationship Id="rId28" Type="http://schemas.openxmlformats.org/officeDocument/2006/relationships/externalLink" Target="externalLinks/externalLink7.xml"/><Relationship Id="rId36" Type="http://schemas.openxmlformats.org/officeDocument/2006/relationships/externalLink" Target="externalLinks/externalLink15.xml"/><Relationship Id="rId49" Type="http://schemas.openxmlformats.org/officeDocument/2006/relationships/externalLink" Target="externalLinks/externalLink28.xml"/><Relationship Id="rId57"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0.xml"/><Relationship Id="rId44" Type="http://schemas.openxmlformats.org/officeDocument/2006/relationships/externalLink" Target="externalLinks/externalLink23.xml"/><Relationship Id="rId52" Type="http://schemas.openxmlformats.org/officeDocument/2006/relationships/externalLink" Target="externalLinks/externalLink31.xml"/><Relationship Id="rId6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externalLink" Target="externalLinks/externalLink6.xml"/><Relationship Id="rId30" Type="http://schemas.openxmlformats.org/officeDocument/2006/relationships/externalLink" Target="externalLinks/externalLink9.xml"/><Relationship Id="rId35" Type="http://schemas.openxmlformats.org/officeDocument/2006/relationships/externalLink" Target="externalLinks/externalLink14.xml"/><Relationship Id="rId43" Type="http://schemas.openxmlformats.org/officeDocument/2006/relationships/externalLink" Target="externalLinks/externalLink22.xml"/><Relationship Id="rId48" Type="http://schemas.openxmlformats.org/officeDocument/2006/relationships/externalLink" Target="externalLinks/externalLink27.xml"/><Relationship Id="rId56"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externalLink" Target="externalLinks/externalLink30.xml"/><Relationship Id="rId3" Type="http://schemas.openxmlformats.org/officeDocument/2006/relationships/worksheet" Target="worksheets/sheet3.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b="1" i="0" u="none" strike="noStrike" baseline="0">
                <a:solidFill>
                  <a:srgbClr val="000000"/>
                </a:solidFill>
                <a:latin typeface="Arial"/>
                <a:ea typeface="Arial"/>
                <a:cs typeface="Arial"/>
              </a:defRPr>
            </a:pPr>
            <a:r>
              <a:rPr lang="en-US"/>
              <a:t>Achievability Ramp Rates</a:t>
            </a:r>
          </a:p>
        </c:rich>
      </c:tx>
      <c:layout>
        <c:manualLayout>
          <c:xMode val="edge"/>
          <c:yMode val="edge"/>
          <c:x val="0.36338840841616132"/>
          <c:y val="3.14606741573034E-2"/>
        </c:manualLayout>
      </c:layout>
      <c:spPr>
        <a:noFill/>
        <a:ln w="25400">
          <a:noFill/>
        </a:ln>
      </c:spPr>
    </c:title>
    <c:plotArea>
      <c:layout>
        <c:manualLayout>
          <c:layoutTarget val="inner"/>
          <c:xMode val="edge"/>
          <c:yMode val="edge"/>
          <c:x val="0.15710403472938494"/>
          <c:y val="0.16404512382058004"/>
          <c:w val="0.59699533197165056"/>
          <c:h val="0.66067488223634963"/>
        </c:manualLayout>
      </c:layout>
      <c:lineChart>
        <c:grouping val="standard"/>
        <c:ser>
          <c:idx val="0"/>
          <c:order val="0"/>
          <c:tx>
            <c:strRef>
              <c:f>ACHIEV!$C$1</c:f>
              <c:strCache>
                <c:ptCount val="1"/>
                <c:pt idx="0">
                  <c:v>Retro12Med</c:v>
                </c:pt>
              </c:strCache>
            </c:strRef>
          </c:tx>
          <c:spPr>
            <a:ln w="38100">
              <a:solidFill>
                <a:srgbClr val="000000"/>
              </a:solidFill>
              <a:prstDash val="solid"/>
            </a:ln>
          </c:spPr>
          <c:marker>
            <c:symbol val="none"/>
          </c:marker>
          <c:val>
            <c:numRef>
              <c:f>ACHIEV!$D$1:$W$1</c:f>
              <c:numCache>
                <c:formatCode>0%</c:formatCode>
                <c:ptCount val="20"/>
                <c:pt idx="0">
                  <c:v>0.10937459468255628</c:v>
                </c:pt>
                <c:pt idx="1">
                  <c:v>0.10937459468255628</c:v>
                </c:pt>
                <c:pt idx="2">
                  <c:v>0.10937459468255628</c:v>
                </c:pt>
                <c:pt idx="3">
                  <c:v>0.10937459468255628</c:v>
                </c:pt>
                <c:pt idx="4">
                  <c:v>0.10937459468255628</c:v>
                </c:pt>
                <c:pt idx="5">
                  <c:v>9.8437135214300656E-2</c:v>
                </c:pt>
                <c:pt idx="6">
                  <c:v>7.874970817144053E-2</c:v>
                </c:pt>
                <c:pt idx="7">
                  <c:v>6.2999766537152418E-2</c:v>
                </c:pt>
                <c:pt idx="8">
                  <c:v>5.0399813229721938E-2</c:v>
                </c:pt>
                <c:pt idx="9">
                  <c:v>4.0319850583777551E-2</c:v>
                </c:pt>
                <c:pt idx="10">
                  <c:v>3.225588046702204E-2</c:v>
                </c:pt>
                <c:pt idx="11">
                  <c:v>2.5804704373617631E-2</c:v>
                </c:pt>
                <c:pt idx="12">
                  <c:v>2.0643763498894106E-2</c:v>
                </c:pt>
                <c:pt idx="13">
                  <c:v>1.6515010799115284E-2</c:v>
                </c:pt>
                <c:pt idx="14">
                  <c:v>1.3212008639292228E-2</c:v>
                </c:pt>
                <c:pt idx="15">
                  <c:v>1.0569606911433781E-2</c:v>
                </c:pt>
                <c:pt idx="16">
                  <c:v>7.2092823794611682E-5</c:v>
                </c:pt>
                <c:pt idx="17">
                  <c:v>2.5747437069512102E-5</c:v>
                </c:pt>
                <c:pt idx="18">
                  <c:v>8.7775353646568632E-6</c:v>
                </c:pt>
                <c:pt idx="19">
                  <c:v>2.8622397928446119E-6</c:v>
                </c:pt>
              </c:numCache>
            </c:numRef>
          </c:val>
        </c:ser>
        <c:ser>
          <c:idx val="1"/>
          <c:order val="1"/>
          <c:tx>
            <c:strRef>
              <c:f>ACHIEV!$C$2</c:f>
              <c:strCache>
                <c:ptCount val="1"/>
                <c:pt idx="0">
                  <c:v>Retro5Med</c:v>
                </c:pt>
              </c:strCache>
            </c:strRef>
          </c:tx>
          <c:spPr>
            <a:ln w="38100">
              <a:solidFill>
                <a:srgbClr val="00FF00"/>
              </a:solidFill>
              <a:prstDash val="solid"/>
            </a:ln>
          </c:spPr>
          <c:marker>
            <c:symbol val="none"/>
          </c:marker>
          <c:val>
            <c:numRef>
              <c:f>ACHIEV!$D$2:$W$2</c:f>
              <c:numCache>
                <c:formatCode>0%</c:formatCode>
                <c:ptCount val="20"/>
                <c:pt idx="0">
                  <c:v>4.2999999999999997E-2</c:v>
                </c:pt>
                <c:pt idx="1">
                  <c:v>5.279714228027832E-2</c:v>
                </c:pt>
                <c:pt idx="2">
                  <c:v>6.4608251467478173E-2</c:v>
                </c:pt>
                <c:pt idx="3">
                  <c:v>7.4999999999999997E-2</c:v>
                </c:pt>
                <c:pt idx="4">
                  <c:v>8.5546997470333563E-2</c:v>
                </c:pt>
                <c:pt idx="5">
                  <c:v>0.10001472303820647</c:v>
                </c:pt>
                <c:pt idx="6">
                  <c:v>0.10971770435235073</c:v>
                </c:pt>
                <c:pt idx="7">
                  <c:v>0.11208438511970376</c:v>
                </c:pt>
                <c:pt idx="8">
                  <c:v>0.10562608162722853</c:v>
                </c:pt>
                <c:pt idx="9">
                  <c:v>9.0794563997872335E-2</c:v>
                </c:pt>
                <c:pt idx="10">
                  <c:v>7.0260666991849297E-2</c:v>
                </c:pt>
                <c:pt idx="11">
                  <c:v>4.8218360404944538E-2</c:v>
                </c:pt>
                <c:pt idx="12">
                  <c:v>2.8854234614640095E-2</c:v>
                </c:pt>
                <c:pt idx="13">
                  <c:v>1.4773964924806759E-2</c:v>
                </c:pt>
                <c:pt idx="14">
                  <c:v>6.3385343681182649E-3</c:v>
                </c:pt>
                <c:pt idx="15">
                  <c:v>2.2268577196306039E-3</c:v>
                </c:pt>
                <c:pt idx="16">
                  <c:v>6.2471001963848583E-4</c:v>
                </c:pt>
                <c:pt idx="17">
                  <c:v>1.3615841889635938E-4</c:v>
                </c:pt>
                <c:pt idx="18">
                  <c:v>2.2380636622298944E-5</c:v>
                </c:pt>
                <c:pt idx="19">
                  <c:v>2.68643837586513E-6</c:v>
                </c:pt>
              </c:numCache>
            </c:numRef>
          </c:val>
        </c:ser>
        <c:ser>
          <c:idx val="2"/>
          <c:order val="2"/>
          <c:tx>
            <c:strRef>
              <c:f>ACHIEV!$C$3</c:f>
              <c:strCache>
                <c:ptCount val="1"/>
                <c:pt idx="0">
                  <c:v>Retro1Slow</c:v>
                </c:pt>
              </c:strCache>
            </c:strRef>
          </c:tx>
          <c:spPr>
            <a:ln w="38100">
              <a:solidFill>
                <a:srgbClr val="FFFF00"/>
              </a:solidFill>
              <a:prstDash val="solid"/>
            </a:ln>
          </c:spPr>
          <c:marker>
            <c:symbol val="none"/>
          </c:marker>
          <c:val>
            <c:numRef>
              <c:f>ACHIEV!$D$3:$W$3</c:f>
              <c:numCache>
                <c:formatCode>0%</c:formatCode>
                <c:ptCount val="20"/>
                <c:pt idx="0">
                  <c:v>2.5643970768378654E-3</c:v>
                </c:pt>
                <c:pt idx="1">
                  <c:v>5.1260615529385989E-3</c:v>
                </c:pt>
                <c:pt idx="2">
                  <c:v>9.1015544176433795E-3</c:v>
                </c:pt>
                <c:pt idx="3">
                  <c:v>1.4804925730045659E-2</c:v>
                </c:pt>
                <c:pt idx="4">
                  <c:v>2.2471809420486211E-2</c:v>
                </c:pt>
                <c:pt idx="5">
                  <c:v>3.2184432813882391E-2</c:v>
                </c:pt>
                <c:pt idx="6">
                  <c:v>4.3779667172004086E-2</c:v>
                </c:pt>
                <c:pt idx="7">
                  <c:v>5.675426075474499E-2</c:v>
                </c:pt>
                <c:pt idx="8">
                  <c:v>7.0195239068707532E-2</c:v>
                </c:pt>
                <c:pt idx="9">
                  <c:v>8.2776861842756788E-2</c:v>
                </c:pt>
                <c:pt idx="10">
                  <c:v>9.2870259507494834E-2</c:v>
                </c:pt>
                <c:pt idx="11">
                  <c:v>9.8796470678915727E-2</c:v>
                </c:pt>
                <c:pt idx="12">
                  <c:v>9.9208932889988999E-2</c:v>
                </c:pt>
                <c:pt idx="13">
                  <c:v>9.3521150494244254E-2</c:v>
                </c:pt>
                <c:pt idx="14">
                  <c:v>8.2226007896862296E-2</c:v>
                </c:pt>
                <c:pt idx="15">
                  <c:v>6.6933566027365665E-2</c:v>
                </c:pt>
                <c:pt idx="16">
                  <c:v>5.0029565143448806E-2</c:v>
                </c:pt>
                <c:pt idx="17">
                  <c:v>3.402486521893211E-2</c:v>
                </c:pt>
                <c:pt idx="18">
                  <c:v>2.0846059340774659E-2</c:v>
                </c:pt>
                <c:pt idx="19">
                  <c:v>0.01</c:v>
                </c:pt>
              </c:numCache>
            </c:numRef>
          </c:val>
        </c:ser>
        <c:ser>
          <c:idx val="3"/>
          <c:order val="3"/>
          <c:tx>
            <c:strRef>
              <c:f>ACHIEV!$C$4</c:f>
              <c:strCache>
                <c:ptCount val="1"/>
                <c:pt idx="0">
                  <c:v>Retro50Fast</c:v>
                </c:pt>
              </c:strCache>
            </c:strRef>
          </c:tx>
          <c:spPr>
            <a:ln w="38100">
              <a:solidFill>
                <a:srgbClr val="FF0000"/>
              </a:solidFill>
              <a:prstDash val="solid"/>
            </a:ln>
          </c:spPr>
          <c:marker>
            <c:symbol val="none"/>
          </c:marker>
          <c:val>
            <c:numRef>
              <c:f>ACHIEV!$D$4:$W$4</c:f>
              <c:numCache>
                <c:formatCode>0%</c:formatCode>
                <c:ptCount val="20"/>
                <c:pt idx="0">
                  <c:v>0.45</c:v>
                </c:pt>
                <c:pt idx="1">
                  <c:v>0.21</c:v>
                </c:pt>
                <c:pt idx="2">
                  <c:v>0.14000000000000001</c:v>
                </c:pt>
                <c:pt idx="3">
                  <c:v>0.09</c:v>
                </c:pt>
                <c:pt idx="4">
                  <c:v>5.9540362609726505E-2</c:v>
                </c:pt>
                <c:pt idx="5">
                  <c:v>2.9770181304863419E-2</c:v>
                </c:pt>
                <c:pt idx="6">
                  <c:v>1.3231191691050248E-2</c:v>
                </c:pt>
                <c:pt idx="7">
                  <c:v>5.2924766764202991E-3</c:v>
                </c:pt>
                <c:pt idx="8">
                  <c:v>1.9245369732436846E-3</c:v>
                </c:pt>
                <c:pt idx="9">
                  <c:v>6.415123244144505E-4</c:v>
                </c:pt>
                <c:pt idx="10">
                  <c:v>1.9738840751215569E-4</c:v>
                </c:pt>
                <c:pt idx="11">
                  <c:v>5.6396687860615913E-5</c:v>
                </c:pt>
                <c:pt idx="12">
                  <c:v>1.5039116763038152E-5</c:v>
                </c:pt>
                <c:pt idx="13">
                  <c:v>3.7597791905374933E-6</c:v>
                </c:pt>
                <c:pt idx="14">
                  <c:v>8.8465392733549919E-7</c:v>
                </c:pt>
                <c:pt idx="15">
                  <c:v>1.9658976146974538E-7</c:v>
                </c:pt>
                <c:pt idx="16">
                  <c:v>4.13873183502389E-8</c:v>
                </c:pt>
                <c:pt idx="17">
                  <c:v>8.2774636034343985E-9</c:v>
                </c:pt>
                <c:pt idx="18">
                  <c:v>1.5766598027155965E-9</c:v>
                </c:pt>
                <c:pt idx="19">
                  <c:v>2.8666535811794347E-10</c:v>
                </c:pt>
              </c:numCache>
            </c:numRef>
          </c:val>
        </c:ser>
        <c:ser>
          <c:idx val="4"/>
          <c:order val="4"/>
          <c:tx>
            <c:strRef>
              <c:f>ACHIEV!$C$9</c:f>
              <c:strCache>
                <c:ptCount val="1"/>
                <c:pt idx="0">
                  <c:v>LO12Med</c:v>
                </c:pt>
              </c:strCache>
            </c:strRef>
          </c:tx>
          <c:spPr>
            <a:ln w="38100">
              <a:solidFill>
                <a:srgbClr val="FF0000"/>
              </a:solidFill>
              <a:prstDash val="lgDash"/>
            </a:ln>
          </c:spPr>
          <c:marker>
            <c:symbol val="none"/>
          </c:marker>
          <c:val>
            <c:numRef>
              <c:f>ACHIEV!$D$9:$W$9</c:f>
              <c:numCache>
                <c:formatCode>0%</c:formatCode>
                <c:ptCount val="20"/>
                <c:pt idx="0">
                  <c:v>0.10937459468255628</c:v>
                </c:pt>
                <c:pt idx="1">
                  <c:v>0.21874918936511256</c:v>
                </c:pt>
                <c:pt idx="2">
                  <c:v>0.32812378404766884</c:v>
                </c:pt>
                <c:pt idx="3">
                  <c:v>0.43749837873022512</c:v>
                </c:pt>
                <c:pt idx="4">
                  <c:v>0.5468729734127814</c:v>
                </c:pt>
                <c:pt idx="5">
                  <c:v>0.64531010862708205</c:v>
                </c:pt>
                <c:pt idx="6">
                  <c:v>0.7240598167985226</c:v>
                </c:pt>
                <c:pt idx="7">
                  <c:v>0.78705958333567505</c:v>
                </c:pt>
                <c:pt idx="8">
                  <c:v>0.83745939656539703</c:v>
                </c:pt>
                <c:pt idx="9">
                  <c:v>0.87777924714917455</c:v>
                </c:pt>
                <c:pt idx="10">
                  <c:v>0.91003512761619654</c:v>
                </c:pt>
                <c:pt idx="11">
                  <c:v>0.93583983198981413</c:v>
                </c:pt>
                <c:pt idx="12">
                  <c:v>0.9564835954887082</c:v>
                </c:pt>
                <c:pt idx="13">
                  <c:v>0.97299860628782353</c:v>
                </c:pt>
                <c:pt idx="14">
                  <c:v>0.9862106149271157</c:v>
                </c:pt>
                <c:pt idx="15">
                  <c:v>0.99678022183854953</c:v>
                </c:pt>
                <c:pt idx="16">
                  <c:v>0.99685231466234414</c:v>
                </c:pt>
                <c:pt idx="17">
                  <c:v>0.99687806209941365</c:v>
                </c:pt>
                <c:pt idx="18">
                  <c:v>0.99688683963477831</c:v>
                </c:pt>
                <c:pt idx="19">
                  <c:v>0.99688970187457115</c:v>
                </c:pt>
              </c:numCache>
            </c:numRef>
          </c:val>
        </c:ser>
        <c:ser>
          <c:idx val="5"/>
          <c:order val="5"/>
          <c:tx>
            <c:strRef>
              <c:f>ACHIEV!$C$10</c:f>
              <c:strCache>
                <c:ptCount val="1"/>
                <c:pt idx="0">
                  <c:v>LO5Med</c:v>
                </c:pt>
              </c:strCache>
            </c:strRef>
          </c:tx>
          <c:spPr>
            <a:ln w="38100">
              <a:solidFill>
                <a:srgbClr val="FFFF00"/>
              </a:solidFill>
              <a:prstDash val="lgDash"/>
            </a:ln>
          </c:spPr>
          <c:marker>
            <c:symbol val="none"/>
          </c:marker>
          <c:val>
            <c:numRef>
              <c:f>ACHIEV!$D$10:$W$10</c:f>
              <c:numCache>
                <c:formatCode>0%</c:formatCode>
                <c:ptCount val="20"/>
                <c:pt idx="0">
                  <c:v>4.2999999999999997E-2</c:v>
                </c:pt>
                <c:pt idx="1">
                  <c:v>9.5797142280278316E-2</c:v>
                </c:pt>
                <c:pt idx="2">
                  <c:v>0.16040539374775648</c:v>
                </c:pt>
                <c:pt idx="3">
                  <c:v>0.23540539374775649</c:v>
                </c:pt>
                <c:pt idx="4">
                  <c:v>0.32095239121809005</c:v>
                </c:pt>
                <c:pt idx="5">
                  <c:v>0.42096711425629652</c:v>
                </c:pt>
                <c:pt idx="6">
                  <c:v>0.53068481860864725</c:v>
                </c:pt>
                <c:pt idx="7">
                  <c:v>0.642769203728351</c:v>
                </c:pt>
                <c:pt idx="8">
                  <c:v>0.74839528535557953</c:v>
                </c:pt>
                <c:pt idx="9">
                  <c:v>0.83918984935345187</c:v>
                </c:pt>
                <c:pt idx="10">
                  <c:v>0.90945051634530116</c:v>
                </c:pt>
                <c:pt idx="11">
                  <c:v>0.9576688767502457</c:v>
                </c:pt>
                <c:pt idx="12">
                  <c:v>0.9865231113648858</c:v>
                </c:pt>
                <c:pt idx="13">
                  <c:v>1.0012970762896924</c:v>
                </c:pt>
                <c:pt idx="14">
                  <c:v>1.0076356106578106</c:v>
                </c:pt>
                <c:pt idx="15">
                  <c:v>1.0098624683774413</c:v>
                </c:pt>
                <c:pt idx="16">
                  <c:v>1.0104871783970797</c:v>
                </c:pt>
                <c:pt idx="17">
                  <c:v>1.010623336815976</c:v>
                </c:pt>
                <c:pt idx="18">
                  <c:v>1.0106457174525985</c:v>
                </c:pt>
                <c:pt idx="19">
                  <c:v>1.0106484038909742</c:v>
                </c:pt>
              </c:numCache>
            </c:numRef>
          </c:val>
        </c:ser>
        <c:ser>
          <c:idx val="6"/>
          <c:order val="6"/>
          <c:tx>
            <c:strRef>
              <c:f>ACHIEV!$C$11</c:f>
              <c:strCache>
                <c:ptCount val="1"/>
                <c:pt idx="0">
                  <c:v>LO1Slow</c:v>
                </c:pt>
              </c:strCache>
            </c:strRef>
          </c:tx>
          <c:spPr>
            <a:ln w="38100">
              <a:solidFill>
                <a:srgbClr val="3366FF"/>
              </a:solidFill>
              <a:prstDash val="solid"/>
            </a:ln>
          </c:spPr>
          <c:marker>
            <c:symbol val="none"/>
          </c:marker>
          <c:val>
            <c:numRef>
              <c:f>ACHIEV!$D$11:$W$11</c:f>
              <c:numCache>
                <c:formatCode>0%</c:formatCode>
                <c:ptCount val="20"/>
                <c:pt idx="0">
                  <c:v>2.5643970768378654E-3</c:v>
                </c:pt>
                <c:pt idx="1">
                  <c:v>7.6904586297764643E-3</c:v>
                </c:pt>
                <c:pt idx="2">
                  <c:v>1.6792013047419844E-2</c:v>
                </c:pt>
                <c:pt idx="3">
                  <c:v>3.15969387774655E-2</c:v>
                </c:pt>
                <c:pt idx="4">
                  <c:v>5.406874819795171E-2</c:v>
                </c:pt>
                <c:pt idx="5">
                  <c:v>8.6253181011834101E-2</c:v>
                </c:pt>
                <c:pt idx="6">
                  <c:v>0.1300328481838382</c:v>
                </c:pt>
                <c:pt idx="7">
                  <c:v>0.18678710893858319</c:v>
                </c:pt>
                <c:pt idx="8">
                  <c:v>0.2569823480072907</c:v>
                </c:pt>
                <c:pt idx="9">
                  <c:v>0.33975920985004748</c:v>
                </c:pt>
                <c:pt idx="10">
                  <c:v>0.43262946935754232</c:v>
                </c:pt>
                <c:pt idx="11">
                  <c:v>0.53142594003645804</c:v>
                </c:pt>
                <c:pt idx="12">
                  <c:v>0.63063487292644704</c:v>
                </c:pt>
                <c:pt idx="13">
                  <c:v>0.7241560234206913</c:v>
                </c:pt>
                <c:pt idx="14">
                  <c:v>0.80638203131755359</c:v>
                </c:pt>
                <c:pt idx="15">
                  <c:v>0.87331559734491926</c:v>
                </c:pt>
                <c:pt idx="16">
                  <c:v>0.92334516248836807</c:v>
                </c:pt>
                <c:pt idx="17">
                  <c:v>0.95737002770730018</c:v>
                </c:pt>
                <c:pt idx="18">
                  <c:v>0.97821608704807483</c:v>
                </c:pt>
                <c:pt idx="19">
                  <c:v>0.98821608704807484</c:v>
                </c:pt>
              </c:numCache>
            </c:numRef>
          </c:val>
        </c:ser>
        <c:marker val="1"/>
        <c:axId val="164152064"/>
        <c:axId val="164153984"/>
      </c:lineChart>
      <c:catAx>
        <c:axId val="164152064"/>
        <c:scaling>
          <c:orientation val="minMax"/>
        </c:scaling>
        <c:axPos val="b"/>
        <c:title>
          <c:tx>
            <c:rich>
              <a:bodyPr/>
              <a:lstStyle/>
              <a:p>
                <a:pPr>
                  <a:defRPr sz="1125" b="1" i="0" u="none" strike="noStrike" baseline="0">
                    <a:solidFill>
                      <a:srgbClr val="000000"/>
                    </a:solidFill>
                    <a:latin typeface="Arial"/>
                    <a:ea typeface="Arial"/>
                    <a:cs typeface="Arial"/>
                  </a:defRPr>
                </a:pPr>
                <a:r>
                  <a:rPr lang="en-US"/>
                  <a:t>Year</a:t>
                </a:r>
              </a:p>
            </c:rich>
          </c:tx>
          <c:layout>
            <c:manualLayout>
              <c:xMode val="edge"/>
              <c:yMode val="edge"/>
              <c:x val="0.43032844255123842"/>
              <c:y val="0.90337173021911665"/>
            </c:manualLayout>
          </c:layout>
          <c:spPr>
            <a:noFill/>
            <a:ln w="25400">
              <a:noFill/>
            </a:ln>
          </c:spPr>
        </c:title>
        <c:numFmt formatCode="General" sourceLinked="1"/>
        <c:tickLblPos val="nextTo"/>
        <c:spPr>
          <a:ln w="3175">
            <a:solidFill>
              <a:srgbClr val="000000"/>
            </a:solidFill>
            <a:prstDash val="solid"/>
          </a:ln>
        </c:spPr>
        <c:txPr>
          <a:bodyPr rot="0" vert="horz"/>
          <a:lstStyle/>
          <a:p>
            <a:pPr>
              <a:defRPr sz="1125" b="0" i="0" u="none" strike="noStrike" baseline="0">
                <a:solidFill>
                  <a:srgbClr val="000000"/>
                </a:solidFill>
                <a:latin typeface="Arial"/>
                <a:ea typeface="Arial"/>
                <a:cs typeface="Arial"/>
              </a:defRPr>
            </a:pPr>
            <a:endParaRPr lang="en-US"/>
          </a:p>
        </c:txPr>
        <c:crossAx val="164153984"/>
        <c:crosses val="autoZero"/>
        <c:auto val="1"/>
        <c:lblAlgn val="ctr"/>
        <c:lblOffset val="100"/>
        <c:tickLblSkip val="1"/>
        <c:tickMarkSkip val="1"/>
      </c:catAx>
      <c:valAx>
        <c:axId val="164153984"/>
        <c:scaling>
          <c:orientation val="minMax"/>
          <c:max val="1"/>
        </c:scaling>
        <c:axPos val="l"/>
        <c:majorGridlines>
          <c:spPr>
            <a:ln w="3175">
              <a:solidFill>
                <a:srgbClr val="000000"/>
              </a:solidFill>
              <a:prstDash val="solid"/>
            </a:ln>
          </c:spPr>
        </c:majorGridlines>
        <c:title>
          <c:tx>
            <c:strRef>
              <c:f>ACHIEV!$AC$10</c:f>
              <c:strCache>
                <c:ptCount val="1"/>
                <c:pt idx="0">
                  <c:v>Fraction of Annual Applicable Measure Stock Achievable</c:v>
                </c:pt>
              </c:strCache>
            </c:strRef>
          </c:tx>
          <c:layout>
            <c:manualLayout>
              <c:xMode val="edge"/>
              <c:yMode val="edge"/>
              <c:x val="2.1857923497267812E-2"/>
              <c:y val="0.18651708985815896"/>
            </c:manualLayout>
          </c:layout>
          <c:spPr>
            <a:noFill/>
            <a:ln w="25400">
              <a:noFill/>
            </a:ln>
          </c:spPr>
          <c:txPr>
            <a:bodyPr/>
            <a:lstStyle/>
            <a:p>
              <a:pPr>
                <a:defRPr sz="1125" b="1" i="0" u="none" strike="noStrike" baseline="0">
                  <a:solidFill>
                    <a:srgbClr val="000000"/>
                  </a:solidFill>
                  <a:latin typeface="Arial"/>
                  <a:ea typeface="Arial"/>
                  <a:cs typeface="Arial"/>
                </a:defRPr>
              </a:pPr>
              <a:endParaRPr lang="en-US"/>
            </a:p>
          </c:txPr>
        </c:title>
        <c:numFmt formatCode="0%" sourceLinked="1"/>
        <c:tickLblPos val="nextTo"/>
        <c:spPr>
          <a:ln w="3175">
            <a:solidFill>
              <a:srgbClr val="000000"/>
            </a:solidFill>
            <a:prstDash val="solid"/>
          </a:ln>
        </c:spPr>
        <c:txPr>
          <a:bodyPr rot="0" vert="horz"/>
          <a:lstStyle/>
          <a:p>
            <a:pPr>
              <a:defRPr sz="1125" b="0" i="0" u="none" strike="noStrike" baseline="0">
                <a:solidFill>
                  <a:srgbClr val="000000"/>
                </a:solidFill>
                <a:latin typeface="Arial"/>
                <a:ea typeface="Arial"/>
                <a:cs typeface="Arial"/>
              </a:defRPr>
            </a:pPr>
            <a:endParaRPr lang="en-US"/>
          </a:p>
        </c:txPr>
        <c:crossAx val="164152064"/>
        <c:crosses val="autoZero"/>
        <c:crossBetween val="between"/>
      </c:valAx>
      <c:spPr>
        <a:solidFill>
          <a:srgbClr val="C0C0C0"/>
        </a:solidFill>
        <a:ln w="12700">
          <a:solidFill>
            <a:srgbClr val="808080"/>
          </a:solidFill>
          <a:prstDash val="solid"/>
        </a:ln>
      </c:spPr>
    </c:plotArea>
    <c:legend>
      <c:legendPos val="r"/>
      <c:layout>
        <c:manualLayout>
          <c:xMode val="edge"/>
          <c:yMode val="edge"/>
          <c:x val="0.78961849031166187"/>
          <c:y val="0.31235978648737622"/>
          <c:w val="0.18989099723190594"/>
          <c:h val="0.36404541567135568"/>
        </c:manualLayout>
      </c:layout>
      <c:spPr>
        <a:solidFill>
          <a:srgbClr val="FFFFFF"/>
        </a:solidFill>
        <a:ln w="3175">
          <a:solidFill>
            <a:srgbClr val="000000"/>
          </a:solidFill>
          <a:prstDash val="solid"/>
        </a:ln>
      </c:spPr>
      <c:txPr>
        <a:bodyPr/>
        <a:lstStyle/>
        <a:p>
          <a:pPr>
            <a:defRPr sz="103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125"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US"/>
  <c:chart>
    <c:plotArea>
      <c:layout/>
      <c:lineChart>
        <c:grouping val="standard"/>
        <c:ser>
          <c:idx val="0"/>
          <c:order val="0"/>
          <c:tx>
            <c:strRef>
              <c:f>ACHIEV!$C$1</c:f>
              <c:strCache>
                <c:ptCount val="1"/>
                <c:pt idx="0">
                  <c:v>Retro12Med</c:v>
                </c:pt>
              </c:strCache>
            </c:strRef>
          </c:tx>
          <c:marker>
            <c:symbol val="none"/>
          </c:marker>
          <c:val>
            <c:numRef>
              <c:f>ACHIEV!$D$1:$W$1</c:f>
              <c:numCache>
                <c:formatCode>0%</c:formatCode>
                <c:ptCount val="20"/>
                <c:pt idx="0">
                  <c:v>0.10937459468255628</c:v>
                </c:pt>
                <c:pt idx="1">
                  <c:v>0.10937459468255628</c:v>
                </c:pt>
                <c:pt idx="2">
                  <c:v>0.10937459468255628</c:v>
                </c:pt>
                <c:pt idx="3">
                  <c:v>0.10937459468255628</c:v>
                </c:pt>
                <c:pt idx="4">
                  <c:v>0.10937459468255628</c:v>
                </c:pt>
                <c:pt idx="5">
                  <c:v>9.8437135214300656E-2</c:v>
                </c:pt>
                <c:pt idx="6">
                  <c:v>7.874970817144053E-2</c:v>
                </c:pt>
                <c:pt idx="7">
                  <c:v>6.2999766537152418E-2</c:v>
                </c:pt>
                <c:pt idx="8">
                  <c:v>5.0399813229721938E-2</c:v>
                </c:pt>
                <c:pt idx="9">
                  <c:v>4.0319850583777551E-2</c:v>
                </c:pt>
                <c:pt idx="10">
                  <c:v>3.225588046702204E-2</c:v>
                </c:pt>
                <c:pt idx="11">
                  <c:v>2.5804704373617631E-2</c:v>
                </c:pt>
                <c:pt idx="12">
                  <c:v>2.0643763498894106E-2</c:v>
                </c:pt>
                <c:pt idx="13">
                  <c:v>1.6515010799115284E-2</c:v>
                </c:pt>
                <c:pt idx="14">
                  <c:v>1.3212008639292228E-2</c:v>
                </c:pt>
                <c:pt idx="15">
                  <c:v>1.0569606911433781E-2</c:v>
                </c:pt>
                <c:pt idx="16">
                  <c:v>7.2092823794611682E-5</c:v>
                </c:pt>
                <c:pt idx="17">
                  <c:v>2.5747437069512102E-5</c:v>
                </c:pt>
                <c:pt idx="18">
                  <c:v>8.7775353646568632E-6</c:v>
                </c:pt>
                <c:pt idx="19">
                  <c:v>2.8622397928446119E-6</c:v>
                </c:pt>
              </c:numCache>
            </c:numRef>
          </c:val>
        </c:ser>
        <c:ser>
          <c:idx val="1"/>
          <c:order val="1"/>
          <c:tx>
            <c:strRef>
              <c:f>ACHIEV!$C$2</c:f>
              <c:strCache>
                <c:ptCount val="1"/>
                <c:pt idx="0">
                  <c:v>Retro5Med</c:v>
                </c:pt>
              </c:strCache>
            </c:strRef>
          </c:tx>
          <c:marker>
            <c:symbol val="none"/>
          </c:marker>
          <c:val>
            <c:numRef>
              <c:f>ACHIEV!$D$2:$W$2</c:f>
              <c:numCache>
                <c:formatCode>0%</c:formatCode>
                <c:ptCount val="20"/>
                <c:pt idx="0">
                  <c:v>4.2999999999999997E-2</c:v>
                </c:pt>
                <c:pt idx="1">
                  <c:v>5.279714228027832E-2</c:v>
                </c:pt>
                <c:pt idx="2">
                  <c:v>6.4608251467478173E-2</c:v>
                </c:pt>
                <c:pt idx="3">
                  <c:v>7.4999999999999997E-2</c:v>
                </c:pt>
                <c:pt idx="4">
                  <c:v>8.5546997470333563E-2</c:v>
                </c:pt>
                <c:pt idx="5">
                  <c:v>0.10001472303820647</c:v>
                </c:pt>
                <c:pt idx="6">
                  <c:v>0.10971770435235073</c:v>
                </c:pt>
                <c:pt idx="7">
                  <c:v>0.11208438511970376</c:v>
                </c:pt>
                <c:pt idx="8">
                  <c:v>0.10562608162722853</c:v>
                </c:pt>
                <c:pt idx="9">
                  <c:v>9.0794563997872335E-2</c:v>
                </c:pt>
                <c:pt idx="10">
                  <c:v>7.0260666991849297E-2</c:v>
                </c:pt>
                <c:pt idx="11">
                  <c:v>4.8218360404944538E-2</c:v>
                </c:pt>
                <c:pt idx="12">
                  <c:v>2.8854234614640095E-2</c:v>
                </c:pt>
                <c:pt idx="13">
                  <c:v>1.4773964924806759E-2</c:v>
                </c:pt>
                <c:pt idx="14">
                  <c:v>6.3385343681182649E-3</c:v>
                </c:pt>
                <c:pt idx="15">
                  <c:v>2.2268577196306039E-3</c:v>
                </c:pt>
                <c:pt idx="16">
                  <c:v>6.2471001963848583E-4</c:v>
                </c:pt>
                <c:pt idx="17">
                  <c:v>1.3615841889635938E-4</c:v>
                </c:pt>
                <c:pt idx="18">
                  <c:v>2.2380636622298944E-5</c:v>
                </c:pt>
                <c:pt idx="19">
                  <c:v>2.68643837586513E-6</c:v>
                </c:pt>
              </c:numCache>
            </c:numRef>
          </c:val>
        </c:ser>
        <c:ser>
          <c:idx val="2"/>
          <c:order val="2"/>
          <c:tx>
            <c:strRef>
              <c:f>ACHIEV!$C$3</c:f>
              <c:strCache>
                <c:ptCount val="1"/>
                <c:pt idx="0">
                  <c:v>Retro1Slow</c:v>
                </c:pt>
              </c:strCache>
            </c:strRef>
          </c:tx>
          <c:marker>
            <c:symbol val="none"/>
          </c:marker>
          <c:val>
            <c:numRef>
              <c:f>ACHIEV!$D$3:$W$3</c:f>
              <c:numCache>
                <c:formatCode>0%</c:formatCode>
                <c:ptCount val="20"/>
                <c:pt idx="0">
                  <c:v>2.5643970768378654E-3</c:v>
                </c:pt>
                <c:pt idx="1">
                  <c:v>5.1260615529385989E-3</c:v>
                </c:pt>
                <c:pt idx="2">
                  <c:v>9.1015544176433795E-3</c:v>
                </c:pt>
                <c:pt idx="3">
                  <c:v>1.4804925730045659E-2</c:v>
                </c:pt>
                <c:pt idx="4">
                  <c:v>2.2471809420486211E-2</c:v>
                </c:pt>
                <c:pt idx="5">
                  <c:v>3.2184432813882391E-2</c:v>
                </c:pt>
                <c:pt idx="6">
                  <c:v>4.3779667172004086E-2</c:v>
                </c:pt>
                <c:pt idx="7">
                  <c:v>5.675426075474499E-2</c:v>
                </c:pt>
                <c:pt idx="8">
                  <c:v>7.0195239068707532E-2</c:v>
                </c:pt>
                <c:pt idx="9">
                  <c:v>8.2776861842756788E-2</c:v>
                </c:pt>
                <c:pt idx="10">
                  <c:v>9.2870259507494834E-2</c:v>
                </c:pt>
                <c:pt idx="11">
                  <c:v>9.8796470678915727E-2</c:v>
                </c:pt>
                <c:pt idx="12">
                  <c:v>9.9208932889988999E-2</c:v>
                </c:pt>
                <c:pt idx="13">
                  <c:v>9.3521150494244254E-2</c:v>
                </c:pt>
                <c:pt idx="14">
                  <c:v>8.2226007896862296E-2</c:v>
                </c:pt>
                <c:pt idx="15">
                  <c:v>6.6933566027365665E-2</c:v>
                </c:pt>
                <c:pt idx="16">
                  <c:v>5.0029565143448806E-2</c:v>
                </c:pt>
                <c:pt idx="17">
                  <c:v>3.402486521893211E-2</c:v>
                </c:pt>
                <c:pt idx="18">
                  <c:v>2.0846059340774659E-2</c:v>
                </c:pt>
                <c:pt idx="19">
                  <c:v>0.01</c:v>
                </c:pt>
              </c:numCache>
            </c:numRef>
          </c:val>
        </c:ser>
        <c:ser>
          <c:idx val="3"/>
          <c:order val="3"/>
          <c:tx>
            <c:strRef>
              <c:f>ACHIEV!$C$4</c:f>
              <c:strCache>
                <c:ptCount val="1"/>
                <c:pt idx="0">
                  <c:v>Retro50Fast</c:v>
                </c:pt>
              </c:strCache>
            </c:strRef>
          </c:tx>
          <c:marker>
            <c:symbol val="none"/>
          </c:marker>
          <c:val>
            <c:numRef>
              <c:f>ACHIEV!$D$4:$W$4</c:f>
              <c:numCache>
                <c:formatCode>0%</c:formatCode>
                <c:ptCount val="20"/>
                <c:pt idx="0">
                  <c:v>0.45</c:v>
                </c:pt>
                <c:pt idx="1">
                  <c:v>0.21</c:v>
                </c:pt>
                <c:pt idx="2">
                  <c:v>0.14000000000000001</c:v>
                </c:pt>
                <c:pt idx="3">
                  <c:v>0.09</c:v>
                </c:pt>
                <c:pt idx="4">
                  <c:v>5.9540362609726505E-2</c:v>
                </c:pt>
                <c:pt idx="5">
                  <c:v>2.9770181304863419E-2</c:v>
                </c:pt>
                <c:pt idx="6">
                  <c:v>1.3231191691050248E-2</c:v>
                </c:pt>
                <c:pt idx="7">
                  <c:v>5.2924766764202991E-3</c:v>
                </c:pt>
                <c:pt idx="8">
                  <c:v>1.9245369732436846E-3</c:v>
                </c:pt>
                <c:pt idx="9">
                  <c:v>6.415123244144505E-4</c:v>
                </c:pt>
                <c:pt idx="10">
                  <c:v>1.9738840751215569E-4</c:v>
                </c:pt>
                <c:pt idx="11">
                  <c:v>5.6396687860615913E-5</c:v>
                </c:pt>
                <c:pt idx="12">
                  <c:v>1.5039116763038152E-5</c:v>
                </c:pt>
                <c:pt idx="13">
                  <c:v>3.7597791905374933E-6</c:v>
                </c:pt>
                <c:pt idx="14">
                  <c:v>8.8465392733549919E-7</c:v>
                </c:pt>
                <c:pt idx="15">
                  <c:v>1.9658976146974538E-7</c:v>
                </c:pt>
                <c:pt idx="16">
                  <c:v>4.13873183502389E-8</c:v>
                </c:pt>
                <c:pt idx="17">
                  <c:v>8.2774636034343985E-9</c:v>
                </c:pt>
                <c:pt idx="18">
                  <c:v>1.5766598027155965E-9</c:v>
                </c:pt>
                <c:pt idx="19">
                  <c:v>2.8666535811794347E-10</c:v>
                </c:pt>
              </c:numCache>
            </c:numRef>
          </c:val>
        </c:ser>
        <c:ser>
          <c:idx val="4"/>
          <c:order val="4"/>
          <c:tx>
            <c:strRef>
              <c:f>ACHIEV!$C$5</c:f>
              <c:strCache>
                <c:ptCount val="1"/>
                <c:pt idx="0">
                  <c:v>Retro20Fast</c:v>
                </c:pt>
              </c:strCache>
            </c:strRef>
          </c:tx>
          <c:marker>
            <c:symbol val="none"/>
          </c:marker>
          <c:val>
            <c:numRef>
              <c:f>ACHIEV!$D$5:$W$5</c:f>
              <c:numCache>
                <c:formatCode>0%</c:formatCode>
                <c:ptCount val="20"/>
                <c:pt idx="0">
                  <c:v>0.22119921692859512</c:v>
                </c:pt>
                <c:pt idx="1">
                  <c:v>0.15504311102289431</c:v>
                </c:pt>
                <c:pt idx="2">
                  <c:v>0.10733128557729499</c:v>
                </c:pt>
                <c:pt idx="3">
                  <c:v>8.3589689255657879E-2</c:v>
                </c:pt>
                <c:pt idx="4">
                  <c:v>7.3237179880126971E-2</c:v>
                </c:pt>
                <c:pt idx="5">
                  <c:v>6.3374636711760357E-2</c:v>
                </c:pt>
                <c:pt idx="6">
                  <c:v>5.4291838367783084E-2</c:v>
                </c:pt>
                <c:pt idx="7">
                  <c:v>4.612639225659896E-2</c:v>
                </c:pt>
                <c:pt idx="8">
                  <c:v>3.8916876277172864E-2</c:v>
                </c:pt>
                <c:pt idx="9">
                  <c:v>3.2639916313151704E-2</c:v>
                </c:pt>
                <c:pt idx="10">
                  <c:v>2.7235706125786907E-2</c:v>
                </c:pt>
                <c:pt idx="11">
                  <c:v>2.1211189258265428E-2</c:v>
                </c:pt>
                <c:pt idx="12">
                  <c:v>1.6519290804212883E-2</c:v>
                </c:pt>
                <c:pt idx="13">
                  <c:v>1.2865236614105324E-2</c:v>
                </c:pt>
                <c:pt idx="14">
                  <c:v>1.0019456349464106E-2</c:v>
                </c:pt>
                <c:pt idx="15">
                  <c:v>7.8031604509122832E-3</c:v>
                </c:pt>
                <c:pt idx="16">
                  <c:v>6.077107469602494E-3</c:v>
                </c:pt>
                <c:pt idx="17">
                  <c:v>4.7328560561354371E-3</c:v>
                </c:pt>
                <c:pt idx="18">
                  <c:v>3.6859520026825132E-3</c:v>
                </c:pt>
                <c:pt idx="19">
                  <c:v>2.8706223060526725E-3</c:v>
                </c:pt>
              </c:numCache>
            </c:numRef>
          </c:val>
        </c:ser>
        <c:ser>
          <c:idx val="5"/>
          <c:order val="5"/>
          <c:tx>
            <c:strRef>
              <c:f>ACHIEV!$C$6</c:f>
              <c:strCache>
                <c:ptCount val="1"/>
                <c:pt idx="0">
                  <c:v>RetroEven20</c:v>
                </c:pt>
              </c:strCache>
            </c:strRef>
          </c:tx>
          <c:marker>
            <c:symbol val="none"/>
          </c:marker>
          <c:val>
            <c:numRef>
              <c:f>ACHIEV!$D$6:$W$6</c:f>
              <c:numCache>
                <c:formatCode>0%</c:formatCode>
                <c:ptCount val="20"/>
                <c:pt idx="0">
                  <c:v>0.05</c:v>
                </c:pt>
                <c:pt idx="1">
                  <c:v>0.05</c:v>
                </c:pt>
                <c:pt idx="2">
                  <c:v>0.05</c:v>
                </c:pt>
                <c:pt idx="3">
                  <c:v>0.05</c:v>
                </c:pt>
                <c:pt idx="4">
                  <c:v>0.05</c:v>
                </c:pt>
                <c:pt idx="5">
                  <c:v>0.05</c:v>
                </c:pt>
                <c:pt idx="6">
                  <c:v>0.05</c:v>
                </c:pt>
                <c:pt idx="7">
                  <c:v>0.05</c:v>
                </c:pt>
                <c:pt idx="8">
                  <c:v>0.05</c:v>
                </c:pt>
                <c:pt idx="9">
                  <c:v>0.05</c:v>
                </c:pt>
                <c:pt idx="10">
                  <c:v>0.05</c:v>
                </c:pt>
                <c:pt idx="11">
                  <c:v>0.05</c:v>
                </c:pt>
                <c:pt idx="12">
                  <c:v>0.05</c:v>
                </c:pt>
                <c:pt idx="13">
                  <c:v>0.05</c:v>
                </c:pt>
                <c:pt idx="14">
                  <c:v>0.05</c:v>
                </c:pt>
                <c:pt idx="15">
                  <c:v>0.05</c:v>
                </c:pt>
                <c:pt idx="16">
                  <c:v>0.05</c:v>
                </c:pt>
                <c:pt idx="17">
                  <c:v>0.05</c:v>
                </c:pt>
                <c:pt idx="18">
                  <c:v>0.05</c:v>
                </c:pt>
                <c:pt idx="19">
                  <c:v>0.05</c:v>
                </c:pt>
              </c:numCache>
            </c:numRef>
          </c:val>
        </c:ser>
        <c:ser>
          <c:idx val="6"/>
          <c:order val="6"/>
          <c:tx>
            <c:strRef>
              <c:f>ACHIEV!$C$7</c:f>
              <c:strCache>
                <c:ptCount val="1"/>
                <c:pt idx="0">
                  <c:v>RetroMax60</c:v>
                </c:pt>
              </c:strCache>
            </c:strRef>
          </c:tx>
          <c:marker>
            <c:symbol val="none"/>
          </c:marker>
          <c:val>
            <c:numRef>
              <c:f>ACHIEV!$D$7:$W$7</c:f>
              <c:numCache>
                <c:formatCode>0%</c:formatCode>
                <c:ptCount val="20"/>
                <c:pt idx="0">
                  <c:v>0.01</c:v>
                </c:pt>
                <c:pt idx="1">
                  <c:v>1.9799999999999998E-2</c:v>
                </c:pt>
                <c:pt idx="2">
                  <c:v>2.9106E-2</c:v>
                </c:pt>
                <c:pt idx="3">
                  <c:v>3.7643759999999998E-2</c:v>
                </c:pt>
                <c:pt idx="4">
                  <c:v>4.5172511999999984E-2</c:v>
                </c:pt>
                <c:pt idx="5">
                  <c:v>4.8635737920000005E-2</c:v>
                </c:pt>
                <c:pt idx="6">
                  <c:v>4.587971277120001E-2</c:v>
                </c:pt>
                <c:pt idx="7">
                  <c:v>4.3279862380832007E-2</c:v>
                </c:pt>
                <c:pt idx="8">
                  <c:v>4.0827336845918161E-2</c:v>
                </c:pt>
                <c:pt idx="9">
                  <c:v>3.8513787757982809E-2</c:v>
                </c:pt>
                <c:pt idx="10">
                  <c:v>3.6331339785030448E-2</c:v>
                </c:pt>
                <c:pt idx="11">
                  <c:v>3.4272563863878724E-2</c:v>
                </c:pt>
                <c:pt idx="12">
                  <c:v>3.2330451911592284E-2</c:v>
                </c:pt>
                <c:pt idx="13">
                  <c:v>3.0498392969935395E-2</c:v>
                </c:pt>
                <c:pt idx="14">
                  <c:v>2.8770150701639075E-2</c:v>
                </c:pt>
                <c:pt idx="15">
                  <c:v>2.7139842161879479E-2</c:v>
                </c:pt>
                <c:pt idx="16">
                  <c:v>2.5601917772706373E-2</c:v>
                </c:pt>
                <c:pt idx="17">
                  <c:v>2.4151142432252914E-2</c:v>
                </c:pt>
                <c:pt idx="18">
                  <c:v>2.2782577694425266E-2</c:v>
                </c:pt>
                <c:pt idx="19">
                  <c:v>2.1491564958407872E-2</c:v>
                </c:pt>
              </c:numCache>
            </c:numRef>
          </c:val>
        </c:ser>
        <c:ser>
          <c:idx val="7"/>
          <c:order val="7"/>
          <c:tx>
            <c:strRef>
              <c:f>ACHIEV!$C$8</c:f>
              <c:strCache>
                <c:ptCount val="1"/>
                <c:pt idx="0">
                  <c:v>Retro3Slow</c:v>
                </c:pt>
              </c:strCache>
            </c:strRef>
          </c:tx>
          <c:marker>
            <c:symbol val="none"/>
          </c:marker>
          <c:val>
            <c:numRef>
              <c:f>ACHIEV!$D$8:$W$8</c:f>
              <c:numCache>
                <c:formatCode>0%</c:formatCode>
                <c:ptCount val="20"/>
                <c:pt idx="0">
                  <c:v>5.5320496977002724E-3</c:v>
                </c:pt>
                <c:pt idx="1">
                  <c:v>8.6958686465615706E-3</c:v>
                </c:pt>
                <c:pt idx="2">
                  <c:v>1.7391737293123145E-2</c:v>
                </c:pt>
                <c:pt idx="3">
                  <c:v>3.0435540262965514E-2</c:v>
                </c:pt>
                <c:pt idx="4">
                  <c:v>4.7344173742390784E-2</c:v>
                </c:pt>
                <c:pt idx="5">
                  <c:v>6.6281843239347063E-2</c:v>
                </c:pt>
                <c:pt idx="6">
                  <c:v>8.4358709577350838E-2</c:v>
                </c:pt>
                <c:pt idx="7">
                  <c:v>9.8418494506909315E-2</c:v>
                </c:pt>
                <c:pt idx="8">
                  <c:v>0.10598914793051767</c:v>
                </c:pt>
                <c:pt idx="9">
                  <c:v>0.10598914793051767</c:v>
                </c:pt>
                <c:pt idx="10">
                  <c:v>9.8923204735149928E-2</c:v>
                </c:pt>
                <c:pt idx="11">
                  <c:v>8.655780414325609E-2</c:v>
                </c:pt>
                <c:pt idx="12">
                  <c:v>7.1282897529740263E-2</c:v>
                </c:pt>
                <c:pt idx="13">
                  <c:v>5.5442253634242489E-2</c:v>
                </c:pt>
                <c:pt idx="14">
                  <c:v>4.0852186888389319E-2</c:v>
                </c:pt>
                <c:pt idx="15">
                  <c:v>2.8596530821872412E-2</c:v>
                </c:pt>
                <c:pt idx="16">
                  <c:v>1.9064353881248275E-2</c:v>
                </c:pt>
                <c:pt idx="17">
                  <c:v>1.2131861560794377E-2</c:v>
                </c:pt>
                <c:pt idx="18">
                  <c:v>7.3846113848314854E-3</c:v>
                </c:pt>
                <c:pt idx="19">
                  <c:v>4.3076899744848296E-3</c:v>
                </c:pt>
              </c:numCache>
            </c:numRef>
          </c:val>
        </c:ser>
        <c:marker val="1"/>
        <c:axId val="58593664"/>
        <c:axId val="58595200"/>
      </c:lineChart>
      <c:catAx>
        <c:axId val="58593664"/>
        <c:scaling>
          <c:orientation val="minMax"/>
        </c:scaling>
        <c:axPos val="b"/>
        <c:tickLblPos val="nextTo"/>
        <c:crossAx val="58595200"/>
        <c:crosses val="autoZero"/>
        <c:auto val="1"/>
        <c:lblAlgn val="ctr"/>
        <c:lblOffset val="100"/>
      </c:catAx>
      <c:valAx>
        <c:axId val="58595200"/>
        <c:scaling>
          <c:orientation val="minMax"/>
          <c:max val="0.2"/>
        </c:scaling>
        <c:axPos val="l"/>
        <c:majorGridlines/>
        <c:numFmt formatCode="0%" sourceLinked="1"/>
        <c:tickLblPos val="nextTo"/>
        <c:crossAx val="58593664"/>
        <c:crosses val="autoZero"/>
        <c:crossBetween val="between"/>
      </c:valAx>
    </c:plotArea>
    <c:legend>
      <c:legendPos val="r"/>
      <c:layout/>
    </c:legend>
    <c:plotVisOnly val="1"/>
  </c:chart>
  <c:printSettings>
    <c:headerFooter/>
    <c:pageMargins b="0.75000000000000899" l="0.70000000000000062" r="0.70000000000000062" t="0.75000000000000899"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US"/>
  <c:chart>
    <c:plotArea>
      <c:layout/>
      <c:lineChart>
        <c:grouping val="standard"/>
        <c:ser>
          <c:idx val="0"/>
          <c:order val="0"/>
          <c:tx>
            <c:strRef>
              <c:f>ACHIEV!$C$9</c:f>
              <c:strCache>
                <c:ptCount val="1"/>
                <c:pt idx="0">
                  <c:v>LO12Med</c:v>
                </c:pt>
              </c:strCache>
            </c:strRef>
          </c:tx>
          <c:marker>
            <c:symbol val="none"/>
          </c:marker>
          <c:val>
            <c:numRef>
              <c:f>ACHIEV!$D$9:$W$9</c:f>
              <c:numCache>
                <c:formatCode>0%</c:formatCode>
                <c:ptCount val="20"/>
                <c:pt idx="0">
                  <c:v>0.10937459468255628</c:v>
                </c:pt>
                <c:pt idx="1">
                  <c:v>0.21874918936511256</c:v>
                </c:pt>
                <c:pt idx="2">
                  <c:v>0.32812378404766884</c:v>
                </c:pt>
                <c:pt idx="3">
                  <c:v>0.43749837873022512</c:v>
                </c:pt>
                <c:pt idx="4">
                  <c:v>0.5468729734127814</c:v>
                </c:pt>
                <c:pt idx="5">
                  <c:v>0.64531010862708205</c:v>
                </c:pt>
                <c:pt idx="6">
                  <c:v>0.7240598167985226</c:v>
                </c:pt>
                <c:pt idx="7">
                  <c:v>0.78705958333567505</c:v>
                </c:pt>
                <c:pt idx="8">
                  <c:v>0.83745939656539703</c:v>
                </c:pt>
                <c:pt idx="9">
                  <c:v>0.87777924714917455</c:v>
                </c:pt>
                <c:pt idx="10">
                  <c:v>0.91003512761619654</c:v>
                </c:pt>
                <c:pt idx="11">
                  <c:v>0.93583983198981413</c:v>
                </c:pt>
                <c:pt idx="12">
                  <c:v>0.9564835954887082</c:v>
                </c:pt>
                <c:pt idx="13">
                  <c:v>0.97299860628782353</c:v>
                </c:pt>
                <c:pt idx="14">
                  <c:v>0.9862106149271157</c:v>
                </c:pt>
                <c:pt idx="15">
                  <c:v>0.99678022183854953</c:v>
                </c:pt>
                <c:pt idx="16">
                  <c:v>0.99685231466234414</c:v>
                </c:pt>
                <c:pt idx="17">
                  <c:v>0.99687806209941365</c:v>
                </c:pt>
                <c:pt idx="18">
                  <c:v>0.99688683963477831</c:v>
                </c:pt>
                <c:pt idx="19">
                  <c:v>0.99688970187457115</c:v>
                </c:pt>
              </c:numCache>
            </c:numRef>
          </c:val>
        </c:ser>
        <c:ser>
          <c:idx val="1"/>
          <c:order val="1"/>
          <c:tx>
            <c:strRef>
              <c:f>ACHIEV!$C$10</c:f>
              <c:strCache>
                <c:ptCount val="1"/>
                <c:pt idx="0">
                  <c:v>LO5Med</c:v>
                </c:pt>
              </c:strCache>
            </c:strRef>
          </c:tx>
          <c:marker>
            <c:symbol val="none"/>
          </c:marker>
          <c:val>
            <c:numRef>
              <c:f>ACHIEV!$D$10:$W$10</c:f>
              <c:numCache>
                <c:formatCode>0%</c:formatCode>
                <c:ptCount val="20"/>
                <c:pt idx="0">
                  <c:v>4.2999999999999997E-2</c:v>
                </c:pt>
                <c:pt idx="1">
                  <c:v>9.5797142280278316E-2</c:v>
                </c:pt>
                <c:pt idx="2">
                  <c:v>0.16040539374775648</c:v>
                </c:pt>
                <c:pt idx="3">
                  <c:v>0.23540539374775649</c:v>
                </c:pt>
                <c:pt idx="4">
                  <c:v>0.32095239121809005</c:v>
                </c:pt>
                <c:pt idx="5">
                  <c:v>0.42096711425629652</c:v>
                </c:pt>
                <c:pt idx="6">
                  <c:v>0.53068481860864725</c:v>
                </c:pt>
                <c:pt idx="7">
                  <c:v>0.642769203728351</c:v>
                </c:pt>
                <c:pt idx="8">
                  <c:v>0.74839528535557953</c:v>
                </c:pt>
                <c:pt idx="9">
                  <c:v>0.83918984935345187</c:v>
                </c:pt>
                <c:pt idx="10">
                  <c:v>0.90945051634530116</c:v>
                </c:pt>
                <c:pt idx="11">
                  <c:v>0.9576688767502457</c:v>
                </c:pt>
                <c:pt idx="12">
                  <c:v>0.9865231113648858</c:v>
                </c:pt>
                <c:pt idx="13">
                  <c:v>1.0012970762896924</c:v>
                </c:pt>
                <c:pt idx="14">
                  <c:v>1.0076356106578106</c:v>
                </c:pt>
                <c:pt idx="15">
                  <c:v>1.0098624683774413</c:v>
                </c:pt>
                <c:pt idx="16">
                  <c:v>1.0104871783970797</c:v>
                </c:pt>
                <c:pt idx="17">
                  <c:v>1.010623336815976</c:v>
                </c:pt>
                <c:pt idx="18">
                  <c:v>1.0106457174525985</c:v>
                </c:pt>
                <c:pt idx="19">
                  <c:v>1.0106484038909742</c:v>
                </c:pt>
              </c:numCache>
            </c:numRef>
          </c:val>
        </c:ser>
        <c:ser>
          <c:idx val="2"/>
          <c:order val="2"/>
          <c:tx>
            <c:strRef>
              <c:f>ACHIEV!$C$11</c:f>
              <c:strCache>
                <c:ptCount val="1"/>
                <c:pt idx="0">
                  <c:v>LO1Slow</c:v>
                </c:pt>
              </c:strCache>
            </c:strRef>
          </c:tx>
          <c:marker>
            <c:symbol val="none"/>
          </c:marker>
          <c:val>
            <c:numRef>
              <c:f>ACHIEV!$D$11:$W$11</c:f>
              <c:numCache>
                <c:formatCode>0%</c:formatCode>
                <c:ptCount val="20"/>
                <c:pt idx="0">
                  <c:v>2.5643970768378654E-3</c:v>
                </c:pt>
                <c:pt idx="1">
                  <c:v>7.6904586297764643E-3</c:v>
                </c:pt>
                <c:pt idx="2">
                  <c:v>1.6792013047419844E-2</c:v>
                </c:pt>
                <c:pt idx="3">
                  <c:v>3.15969387774655E-2</c:v>
                </c:pt>
                <c:pt idx="4">
                  <c:v>5.406874819795171E-2</c:v>
                </c:pt>
                <c:pt idx="5">
                  <c:v>8.6253181011834101E-2</c:v>
                </c:pt>
                <c:pt idx="6">
                  <c:v>0.1300328481838382</c:v>
                </c:pt>
                <c:pt idx="7">
                  <c:v>0.18678710893858319</c:v>
                </c:pt>
                <c:pt idx="8">
                  <c:v>0.2569823480072907</c:v>
                </c:pt>
                <c:pt idx="9">
                  <c:v>0.33975920985004748</c:v>
                </c:pt>
                <c:pt idx="10">
                  <c:v>0.43262946935754232</c:v>
                </c:pt>
                <c:pt idx="11">
                  <c:v>0.53142594003645804</c:v>
                </c:pt>
                <c:pt idx="12">
                  <c:v>0.63063487292644704</c:v>
                </c:pt>
                <c:pt idx="13">
                  <c:v>0.7241560234206913</c:v>
                </c:pt>
                <c:pt idx="14">
                  <c:v>0.80638203131755359</c:v>
                </c:pt>
                <c:pt idx="15">
                  <c:v>0.87331559734491926</c:v>
                </c:pt>
                <c:pt idx="16">
                  <c:v>0.92334516248836807</c:v>
                </c:pt>
                <c:pt idx="17">
                  <c:v>0.95737002770730018</c:v>
                </c:pt>
                <c:pt idx="18">
                  <c:v>0.97821608704807483</c:v>
                </c:pt>
                <c:pt idx="19">
                  <c:v>0.98821608704807484</c:v>
                </c:pt>
              </c:numCache>
            </c:numRef>
          </c:val>
        </c:ser>
        <c:ser>
          <c:idx val="3"/>
          <c:order val="3"/>
          <c:tx>
            <c:strRef>
              <c:f>ACHIEV!$C$12</c:f>
              <c:strCache>
                <c:ptCount val="1"/>
                <c:pt idx="0">
                  <c:v>LO50Fast</c:v>
                </c:pt>
              </c:strCache>
            </c:strRef>
          </c:tx>
          <c:marker>
            <c:symbol val="none"/>
          </c:marker>
          <c:val>
            <c:numRef>
              <c:f>ACHIEV!$D$12:$W$12</c:f>
              <c:numCache>
                <c:formatCode>0%</c:formatCode>
                <c:ptCount val="20"/>
                <c:pt idx="0">
                  <c:v>0.45</c:v>
                </c:pt>
                <c:pt idx="1">
                  <c:v>0.66</c:v>
                </c:pt>
                <c:pt idx="2">
                  <c:v>0.8</c:v>
                </c:pt>
                <c:pt idx="3">
                  <c:v>0.89</c:v>
                </c:pt>
                <c:pt idx="4">
                  <c:v>0.94954036260972652</c:v>
                </c:pt>
                <c:pt idx="5">
                  <c:v>0.97931054391458994</c:v>
                </c:pt>
                <c:pt idx="6">
                  <c:v>0.99254173560564019</c:v>
                </c:pt>
                <c:pt idx="7">
                  <c:v>0.99783421228206048</c:v>
                </c:pt>
                <c:pt idx="8">
                  <c:v>0.99975874925530417</c:v>
                </c:pt>
                <c:pt idx="9">
                  <c:v>1.0004002615797187</c:v>
                </c:pt>
                <c:pt idx="10">
                  <c:v>1.0005976499872309</c:v>
                </c:pt>
                <c:pt idx="11">
                  <c:v>1.0006540466750915</c:v>
                </c:pt>
                <c:pt idx="12">
                  <c:v>1.0006690857918545</c:v>
                </c:pt>
                <c:pt idx="13">
                  <c:v>1.000672845571045</c:v>
                </c:pt>
                <c:pt idx="14">
                  <c:v>1.0006737302249724</c:v>
                </c:pt>
                <c:pt idx="15">
                  <c:v>1.0006739268147338</c:v>
                </c:pt>
                <c:pt idx="16">
                  <c:v>1.0006739682020522</c:v>
                </c:pt>
                <c:pt idx="17">
                  <c:v>1.0006739764795158</c:v>
                </c:pt>
                <c:pt idx="18">
                  <c:v>1.0006739780561755</c:v>
                </c:pt>
                <c:pt idx="19">
                  <c:v>1.0006739783428409</c:v>
                </c:pt>
              </c:numCache>
            </c:numRef>
          </c:val>
        </c:ser>
        <c:ser>
          <c:idx val="4"/>
          <c:order val="4"/>
          <c:tx>
            <c:strRef>
              <c:f>ACHIEV!$C$13</c:f>
              <c:strCache>
                <c:ptCount val="1"/>
                <c:pt idx="0">
                  <c:v>LO20Fast</c:v>
                </c:pt>
              </c:strCache>
            </c:strRef>
          </c:tx>
          <c:marker>
            <c:symbol val="none"/>
          </c:marker>
          <c:val>
            <c:numRef>
              <c:f>ACHIEV!$D$13:$W$13</c:f>
              <c:numCache>
                <c:formatCode>0%</c:formatCode>
                <c:ptCount val="20"/>
                <c:pt idx="0">
                  <c:v>0.22119921692859512</c:v>
                </c:pt>
                <c:pt idx="1">
                  <c:v>0.37624232795148943</c:v>
                </c:pt>
                <c:pt idx="2">
                  <c:v>0.48357361352878442</c:v>
                </c:pt>
                <c:pt idx="3">
                  <c:v>0.56716330278444227</c:v>
                </c:pt>
                <c:pt idx="4">
                  <c:v>0.64040048266456928</c:v>
                </c:pt>
                <c:pt idx="5">
                  <c:v>0.70377511937632964</c:v>
                </c:pt>
                <c:pt idx="6">
                  <c:v>0.7580669577441127</c:v>
                </c:pt>
                <c:pt idx="7">
                  <c:v>0.80419335000071168</c:v>
                </c:pt>
                <c:pt idx="8">
                  <c:v>0.84311022627788457</c:v>
                </c:pt>
                <c:pt idx="9">
                  <c:v>0.87575014259103623</c:v>
                </c:pt>
                <c:pt idx="10">
                  <c:v>0.90298584871682319</c:v>
                </c:pt>
                <c:pt idx="11">
                  <c:v>0.92419703797508856</c:v>
                </c:pt>
                <c:pt idx="12">
                  <c:v>0.94071632877930145</c:v>
                </c:pt>
                <c:pt idx="13">
                  <c:v>0.95358156539340677</c:v>
                </c:pt>
                <c:pt idx="14">
                  <c:v>0.96360102174287088</c:v>
                </c:pt>
                <c:pt idx="15">
                  <c:v>0.97140418219378311</c:v>
                </c:pt>
                <c:pt idx="16">
                  <c:v>0.97748128966338554</c:v>
                </c:pt>
                <c:pt idx="17">
                  <c:v>0.98221414571952104</c:v>
                </c:pt>
                <c:pt idx="18">
                  <c:v>0.98590009772220355</c:v>
                </c:pt>
                <c:pt idx="19">
                  <c:v>0.98877072002825628</c:v>
                </c:pt>
              </c:numCache>
            </c:numRef>
          </c:val>
        </c:ser>
        <c:ser>
          <c:idx val="5"/>
          <c:order val="5"/>
          <c:tx>
            <c:strRef>
              <c:f>ACHIEV!$C$14</c:f>
              <c:strCache>
                <c:ptCount val="1"/>
                <c:pt idx="0">
                  <c:v>LOEven20</c:v>
                </c:pt>
              </c:strCache>
            </c:strRef>
          </c:tx>
          <c:marker>
            <c:symbol val="none"/>
          </c:marker>
          <c:val>
            <c:numRef>
              <c:f>ACHIEV!$D$14:$W$14</c:f>
              <c:numCache>
                <c:formatCode>0.0%</c:formatCode>
                <c:ptCount val="20"/>
                <c:pt idx="0">
                  <c:v>0.05</c:v>
                </c:pt>
                <c:pt idx="1">
                  <c:v>0.1</c:v>
                </c:pt>
                <c:pt idx="2">
                  <c:v>0.15000000000000002</c:v>
                </c:pt>
                <c:pt idx="3">
                  <c:v>0.2</c:v>
                </c:pt>
                <c:pt idx="4">
                  <c:v>0.25</c:v>
                </c:pt>
                <c:pt idx="5" formatCode="0%">
                  <c:v>0.3</c:v>
                </c:pt>
                <c:pt idx="6" formatCode="0%">
                  <c:v>0.35</c:v>
                </c:pt>
                <c:pt idx="7" formatCode="0%">
                  <c:v>0.39999999999999997</c:v>
                </c:pt>
                <c:pt idx="8" formatCode="0%">
                  <c:v>0.44999999999999996</c:v>
                </c:pt>
                <c:pt idx="9" formatCode="0%">
                  <c:v>0.49999999999999994</c:v>
                </c:pt>
                <c:pt idx="10" formatCode="0%">
                  <c:v>0.54999999999999993</c:v>
                </c:pt>
                <c:pt idx="11" formatCode="0%">
                  <c:v>0.6</c:v>
                </c:pt>
                <c:pt idx="12" formatCode="0%">
                  <c:v>0.65</c:v>
                </c:pt>
                <c:pt idx="13" formatCode="0%">
                  <c:v>0.70000000000000007</c:v>
                </c:pt>
                <c:pt idx="14" formatCode="0%">
                  <c:v>0.75000000000000011</c:v>
                </c:pt>
                <c:pt idx="15" formatCode="0%">
                  <c:v>0.80000000000000016</c:v>
                </c:pt>
                <c:pt idx="16" formatCode="0%">
                  <c:v>0.8500000000000002</c:v>
                </c:pt>
                <c:pt idx="17" formatCode="0%">
                  <c:v>0.90000000000000024</c:v>
                </c:pt>
                <c:pt idx="18" formatCode="0%">
                  <c:v>0.95000000000000029</c:v>
                </c:pt>
                <c:pt idx="19" formatCode="0%">
                  <c:v>1.0000000000000002</c:v>
                </c:pt>
              </c:numCache>
            </c:numRef>
          </c:val>
        </c:ser>
        <c:ser>
          <c:idx val="6"/>
          <c:order val="6"/>
          <c:tx>
            <c:strRef>
              <c:f>ACHIEV!$C$15</c:f>
              <c:strCache>
                <c:ptCount val="1"/>
                <c:pt idx="0">
                  <c:v>LOMax60</c:v>
                </c:pt>
              </c:strCache>
            </c:strRef>
          </c:tx>
          <c:marker>
            <c:symbol val="none"/>
          </c:marker>
          <c:val>
            <c:numRef>
              <c:f>ACHIEV!$D$15:$W$15</c:f>
              <c:numCache>
                <c:formatCode>0.0%</c:formatCode>
                <c:ptCount val="20"/>
                <c:pt idx="0">
                  <c:v>0.01</c:v>
                </c:pt>
                <c:pt idx="1">
                  <c:v>2.98E-2</c:v>
                </c:pt>
                <c:pt idx="2">
                  <c:v>5.8906E-2</c:v>
                </c:pt>
                <c:pt idx="3">
                  <c:v>9.6549759999999998E-2</c:v>
                </c:pt>
                <c:pt idx="4">
                  <c:v>0.14172227199999998</c:v>
                </c:pt>
                <c:pt idx="5" formatCode="0%">
                  <c:v>0.19035800991999999</c:v>
                </c:pt>
                <c:pt idx="6" formatCode="0%">
                  <c:v>0.2362377226912</c:v>
                </c:pt>
                <c:pt idx="7" formatCode="0%">
                  <c:v>0.279517585072032</c:v>
                </c:pt>
                <c:pt idx="8" formatCode="0%">
                  <c:v>0.32034492191795017</c:v>
                </c:pt>
                <c:pt idx="9" formatCode="0%">
                  <c:v>0.35885870967593297</c:v>
                </c:pt>
                <c:pt idx="10" formatCode="0%">
                  <c:v>0.39519004946096342</c:v>
                </c:pt>
                <c:pt idx="11" formatCode="0%">
                  <c:v>0.42946261332484215</c:v>
                </c:pt>
                <c:pt idx="12" formatCode="0%">
                  <c:v>0.46179306523643443</c:v>
                </c:pt>
                <c:pt idx="13" formatCode="0%">
                  <c:v>0.49229145820636983</c:v>
                </c:pt>
                <c:pt idx="14" formatCode="0%">
                  <c:v>0.5210616089080089</c:v>
                </c:pt>
                <c:pt idx="15" formatCode="0%">
                  <c:v>0.54820145106988838</c:v>
                </c:pt>
                <c:pt idx="16" formatCode="0%">
                  <c:v>0.57380336884259475</c:v>
                </c:pt>
                <c:pt idx="17" formatCode="0%">
                  <c:v>0.59795451127484767</c:v>
                </c:pt>
                <c:pt idx="18" formatCode="0%">
                  <c:v>0.62073708896927293</c:v>
                </c:pt>
                <c:pt idx="19" formatCode="0%">
                  <c:v>0.6422286539276808</c:v>
                </c:pt>
              </c:numCache>
            </c:numRef>
          </c:val>
        </c:ser>
        <c:ser>
          <c:idx val="7"/>
          <c:order val="7"/>
          <c:tx>
            <c:strRef>
              <c:f>ACHIEV!$C$16</c:f>
              <c:strCache>
                <c:ptCount val="1"/>
                <c:pt idx="0">
                  <c:v>LO3Slow</c:v>
                </c:pt>
              </c:strCache>
            </c:strRef>
          </c:tx>
          <c:marker>
            <c:symbol val="none"/>
          </c:marker>
          <c:val>
            <c:numRef>
              <c:f>ACHIEV!$D$16:$W$16</c:f>
              <c:numCache>
                <c:formatCode>0.0%</c:formatCode>
                <c:ptCount val="20"/>
                <c:pt idx="0">
                  <c:v>5.5320496977002724E-3</c:v>
                </c:pt>
                <c:pt idx="1">
                  <c:v>1.4227918344261844E-2</c:v>
                </c:pt>
                <c:pt idx="2">
                  <c:v>3.1619655637384989E-2</c:v>
                </c:pt>
                <c:pt idx="3">
                  <c:v>6.2055195900350503E-2</c:v>
                </c:pt>
                <c:pt idx="4">
                  <c:v>0.10939936964274129</c:v>
                </c:pt>
                <c:pt idx="5" formatCode="0%">
                  <c:v>0.17568121288208835</c:v>
                </c:pt>
                <c:pt idx="6" formatCode="0%">
                  <c:v>0.26003992245943919</c:v>
                </c:pt>
                <c:pt idx="7" formatCode="0%">
                  <c:v>0.3584584169663485</c:v>
                </c:pt>
                <c:pt idx="8" formatCode="0%">
                  <c:v>0.46444756489686617</c:v>
                </c:pt>
                <c:pt idx="9" formatCode="0%">
                  <c:v>0.57043671282738384</c:v>
                </c:pt>
                <c:pt idx="10" formatCode="0%">
                  <c:v>0.66935991756253377</c:v>
                </c:pt>
                <c:pt idx="11" formatCode="0%">
                  <c:v>0.75591772170578986</c:v>
                </c:pt>
                <c:pt idx="12" formatCode="0%">
                  <c:v>0.82720061923553012</c:v>
                </c:pt>
                <c:pt idx="13" formatCode="0%">
                  <c:v>0.88264287286977261</c:v>
                </c:pt>
                <c:pt idx="14" formatCode="0%">
                  <c:v>0.92349505975816193</c:v>
                </c:pt>
                <c:pt idx="15" formatCode="0%">
                  <c:v>0.95209159058003434</c:v>
                </c:pt>
                <c:pt idx="16" formatCode="0%">
                  <c:v>0.97115594446128262</c:v>
                </c:pt>
                <c:pt idx="17" formatCode="0%">
                  <c:v>0.98328780602207699</c:v>
                </c:pt>
                <c:pt idx="18" formatCode="0%">
                  <c:v>0.99067241740690848</c:v>
                </c:pt>
                <c:pt idx="19" formatCode="0%">
                  <c:v>0.99498010738139331</c:v>
                </c:pt>
              </c:numCache>
            </c:numRef>
          </c:val>
        </c:ser>
        <c:marker val="1"/>
        <c:axId val="58616448"/>
        <c:axId val="58638720"/>
      </c:lineChart>
      <c:catAx>
        <c:axId val="58616448"/>
        <c:scaling>
          <c:orientation val="minMax"/>
        </c:scaling>
        <c:axPos val="b"/>
        <c:tickLblPos val="nextTo"/>
        <c:crossAx val="58638720"/>
        <c:crosses val="autoZero"/>
        <c:auto val="1"/>
        <c:lblAlgn val="ctr"/>
        <c:lblOffset val="100"/>
      </c:catAx>
      <c:valAx>
        <c:axId val="58638720"/>
        <c:scaling>
          <c:orientation val="minMax"/>
        </c:scaling>
        <c:axPos val="l"/>
        <c:majorGridlines/>
        <c:numFmt formatCode="0%" sourceLinked="1"/>
        <c:tickLblPos val="nextTo"/>
        <c:crossAx val="58616448"/>
        <c:crosses val="autoZero"/>
        <c:crossBetween val="between"/>
      </c:valAx>
    </c:plotArea>
    <c:legend>
      <c:legendPos val="r"/>
      <c:layout/>
    </c:legend>
    <c:plotVisOnly val="1"/>
  </c:chart>
  <c:printSettings>
    <c:headerFooter/>
    <c:pageMargins b="0.75000000000000788" l="0.70000000000000062" r="0.70000000000000062" t="0.75000000000000788"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US"/>
  <c:chart>
    <c:plotArea>
      <c:layout/>
      <c:lineChart>
        <c:grouping val="standard"/>
        <c:ser>
          <c:idx val="0"/>
          <c:order val="0"/>
          <c:tx>
            <c:strRef>
              <c:f>RAMP!$B$3</c:f>
              <c:strCache>
                <c:ptCount val="1"/>
                <c:pt idx="0">
                  <c:v>Retro12Med</c:v>
                </c:pt>
              </c:strCache>
            </c:strRef>
          </c:tx>
          <c:marker>
            <c:symbol val="none"/>
          </c:marker>
          <c:val>
            <c:numRef>
              <c:f>RAMP!$Y$3:$AR$3</c:f>
              <c:numCache>
                <c:formatCode>0%</c:formatCode>
                <c:ptCount val="20"/>
              </c:numCache>
            </c:numRef>
          </c:val>
        </c:ser>
        <c:ser>
          <c:idx val="1"/>
          <c:order val="1"/>
          <c:tx>
            <c:strRef>
              <c:f>RAMP!$B$4</c:f>
              <c:strCache>
                <c:ptCount val="1"/>
                <c:pt idx="0">
                  <c:v>Retro5Med</c:v>
                </c:pt>
              </c:strCache>
            </c:strRef>
          </c:tx>
          <c:marker>
            <c:symbol val="none"/>
          </c:marker>
          <c:val>
            <c:numRef>
              <c:f>RAMP!$Y$4:$AR$4</c:f>
              <c:numCache>
                <c:formatCode>0%</c:formatCode>
                <c:ptCount val="20"/>
              </c:numCache>
            </c:numRef>
          </c:val>
        </c:ser>
        <c:ser>
          <c:idx val="2"/>
          <c:order val="2"/>
          <c:tx>
            <c:strRef>
              <c:f>RAMP!$B$6</c:f>
              <c:strCache>
                <c:ptCount val="1"/>
                <c:pt idx="0">
                  <c:v>Retro50Fast</c:v>
                </c:pt>
              </c:strCache>
            </c:strRef>
          </c:tx>
          <c:marker>
            <c:symbol val="none"/>
          </c:marker>
          <c:val>
            <c:numRef>
              <c:f>RAMP!$Y$6:$AR$6</c:f>
              <c:numCache>
                <c:formatCode>0%</c:formatCode>
                <c:ptCount val="20"/>
              </c:numCache>
            </c:numRef>
          </c:val>
        </c:ser>
        <c:ser>
          <c:idx val="3"/>
          <c:order val="3"/>
          <c:tx>
            <c:strRef>
              <c:f>RAMP!$B$8</c:f>
              <c:strCache>
                <c:ptCount val="1"/>
                <c:pt idx="0">
                  <c:v>RetroEven20</c:v>
                </c:pt>
              </c:strCache>
            </c:strRef>
          </c:tx>
          <c:marker>
            <c:symbol val="none"/>
          </c:marker>
          <c:val>
            <c:numRef>
              <c:f>RAMP!$Y$8:$AR$8</c:f>
              <c:numCache>
                <c:formatCode>0%</c:formatCode>
                <c:ptCount val="20"/>
              </c:numCache>
            </c:numRef>
          </c:val>
        </c:ser>
        <c:marker val="1"/>
        <c:axId val="59030528"/>
        <c:axId val="59044992"/>
      </c:lineChart>
      <c:catAx>
        <c:axId val="59030528"/>
        <c:scaling>
          <c:orientation val="minMax"/>
        </c:scaling>
        <c:axPos val="b"/>
        <c:title>
          <c:tx>
            <c:rich>
              <a:bodyPr/>
              <a:lstStyle/>
              <a:p>
                <a:pPr>
                  <a:defRPr/>
                </a:pPr>
                <a:r>
                  <a:rPr lang="en-US"/>
                  <a:t>years</a:t>
                </a:r>
              </a:p>
            </c:rich>
          </c:tx>
        </c:title>
        <c:tickLblPos val="nextTo"/>
        <c:crossAx val="59044992"/>
        <c:crosses val="autoZero"/>
        <c:auto val="1"/>
        <c:lblAlgn val="ctr"/>
        <c:lblOffset val="100"/>
      </c:catAx>
      <c:valAx>
        <c:axId val="59044992"/>
        <c:scaling>
          <c:orientation val="minMax"/>
        </c:scaling>
        <c:axPos val="l"/>
        <c:majorGridlines/>
        <c:numFmt formatCode="0%" sourceLinked="1"/>
        <c:tickLblPos val="nextTo"/>
        <c:crossAx val="59030528"/>
        <c:crosses val="autoZero"/>
        <c:crossBetween val="between"/>
      </c:valAx>
    </c:plotArea>
    <c:legend>
      <c:legendPos val="r"/>
    </c:legend>
    <c:plotVisOnly val="1"/>
  </c:chart>
  <c:printSettings>
    <c:headerFooter/>
    <c:pageMargins b="0.75000000000001465" l="0.70000000000000062" r="0.70000000000000062" t="0.75000000000001465"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US"/>
  <c:chart>
    <c:plotArea>
      <c:layout/>
      <c:lineChart>
        <c:grouping val="standard"/>
        <c:ser>
          <c:idx val="0"/>
          <c:order val="0"/>
          <c:tx>
            <c:strRef>
              <c:f>RAMP!$B$9</c:f>
              <c:strCache>
                <c:ptCount val="1"/>
                <c:pt idx="0">
                  <c:v>RetroMax60</c:v>
                </c:pt>
              </c:strCache>
            </c:strRef>
          </c:tx>
          <c:marker>
            <c:symbol val="none"/>
          </c:marker>
          <c:val>
            <c:numRef>
              <c:f>RAMP!$Y$9:$AR$9</c:f>
              <c:numCache>
                <c:formatCode>0%</c:formatCode>
                <c:ptCount val="20"/>
              </c:numCache>
            </c:numRef>
          </c:val>
        </c:ser>
        <c:ser>
          <c:idx val="1"/>
          <c:order val="1"/>
          <c:tx>
            <c:strRef>
              <c:f>RAMP!$B$10</c:f>
              <c:strCache>
                <c:ptCount val="1"/>
                <c:pt idx="0">
                  <c:v>Retro3Slow</c:v>
                </c:pt>
              </c:strCache>
            </c:strRef>
          </c:tx>
          <c:marker>
            <c:symbol val="none"/>
          </c:marker>
          <c:val>
            <c:numRef>
              <c:f>RAMP!$Y$10:$AR$10</c:f>
              <c:numCache>
                <c:formatCode>0%</c:formatCode>
                <c:ptCount val="20"/>
              </c:numCache>
            </c:numRef>
          </c:val>
        </c:ser>
        <c:ser>
          <c:idx val="2"/>
          <c:order val="2"/>
          <c:tx>
            <c:strRef>
              <c:f>RAMP!$B$11</c:f>
              <c:strCache>
                <c:ptCount val="1"/>
                <c:pt idx="0">
                  <c:v>LO12Med</c:v>
                </c:pt>
              </c:strCache>
            </c:strRef>
          </c:tx>
          <c:marker>
            <c:symbol val="none"/>
          </c:marker>
          <c:val>
            <c:numRef>
              <c:f>RAMP!$Y$11:$AR$11</c:f>
              <c:numCache>
                <c:formatCode>0%</c:formatCode>
                <c:ptCount val="20"/>
              </c:numCache>
            </c:numRef>
          </c:val>
        </c:ser>
        <c:ser>
          <c:idx val="3"/>
          <c:order val="3"/>
          <c:tx>
            <c:strRef>
              <c:f>RAMP!$B$12</c:f>
              <c:strCache>
                <c:ptCount val="1"/>
                <c:pt idx="0">
                  <c:v>LO5Med</c:v>
                </c:pt>
              </c:strCache>
            </c:strRef>
          </c:tx>
          <c:marker>
            <c:symbol val="none"/>
          </c:marker>
          <c:val>
            <c:numRef>
              <c:f>RAMP!$Y$12:$AR$12</c:f>
              <c:numCache>
                <c:formatCode>0%</c:formatCode>
                <c:ptCount val="20"/>
              </c:numCache>
            </c:numRef>
          </c:val>
        </c:ser>
        <c:ser>
          <c:idx val="4"/>
          <c:order val="4"/>
          <c:tx>
            <c:strRef>
              <c:f>RAMP!$B$13</c:f>
              <c:strCache>
                <c:ptCount val="1"/>
                <c:pt idx="0">
                  <c:v>LO1Slow</c:v>
                </c:pt>
              </c:strCache>
            </c:strRef>
          </c:tx>
          <c:marker>
            <c:symbol val="none"/>
          </c:marker>
          <c:val>
            <c:numRef>
              <c:f>RAMP!$Y$13:$AR$13</c:f>
              <c:numCache>
                <c:formatCode>0%</c:formatCode>
                <c:ptCount val="20"/>
              </c:numCache>
            </c:numRef>
          </c:val>
        </c:ser>
        <c:marker val="1"/>
        <c:axId val="59338752"/>
        <c:axId val="59340672"/>
      </c:lineChart>
      <c:catAx>
        <c:axId val="59338752"/>
        <c:scaling>
          <c:orientation val="minMax"/>
        </c:scaling>
        <c:axPos val="b"/>
        <c:title>
          <c:tx>
            <c:rich>
              <a:bodyPr/>
              <a:lstStyle/>
              <a:p>
                <a:pPr>
                  <a:defRPr/>
                </a:pPr>
                <a:r>
                  <a:rPr lang="en-US"/>
                  <a:t>Year</a:t>
                </a:r>
              </a:p>
            </c:rich>
          </c:tx>
        </c:title>
        <c:tickLblPos val="nextTo"/>
        <c:crossAx val="59340672"/>
        <c:crosses val="autoZero"/>
        <c:auto val="1"/>
        <c:lblAlgn val="ctr"/>
        <c:lblOffset val="100"/>
      </c:catAx>
      <c:valAx>
        <c:axId val="59340672"/>
        <c:scaling>
          <c:orientation val="minMax"/>
        </c:scaling>
        <c:axPos val="l"/>
        <c:majorGridlines/>
        <c:numFmt formatCode="0%" sourceLinked="1"/>
        <c:tickLblPos val="nextTo"/>
        <c:crossAx val="59338752"/>
        <c:crosses val="autoZero"/>
        <c:crossBetween val="between"/>
      </c:valAx>
    </c:plotArea>
    <c:legend>
      <c:legendPos val="r"/>
    </c:legend>
    <c:plotVisOnly val="1"/>
  </c:chart>
  <c:printSettings>
    <c:headerFooter/>
    <c:pageMargins b="0.75000000000001465" l="0.70000000000000062" r="0.70000000000000062" t="0.75000000000001465" header="0.30000000000000032" footer="0.30000000000000032"/>
    <c:pageSetup/>
  </c:printSettings>
</c:chartSpace>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2" Type="http://schemas.openxmlformats.org/officeDocument/2006/relationships/chart" Target="../charts/chart5.xml"/><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xdr:col>
      <xdr:colOff>28575</xdr:colOff>
      <xdr:row>3</xdr:row>
      <xdr:rowOff>142875</xdr:rowOff>
    </xdr:from>
    <xdr:to>
      <xdr:col>18</xdr:col>
      <xdr:colOff>47625</xdr:colOff>
      <xdr:row>76</xdr:row>
      <xdr:rowOff>28575</xdr:rowOff>
    </xdr:to>
    <xdr:sp macro="" textlink="">
      <xdr:nvSpPr>
        <xdr:cNvPr id="13324" name="Rectangle 1"/>
        <xdr:cNvSpPr>
          <a:spLocks noChangeArrowheads="1"/>
        </xdr:cNvSpPr>
      </xdr:nvSpPr>
      <xdr:spPr bwMode="auto">
        <a:xfrm>
          <a:off x="1104900" y="628650"/>
          <a:ext cx="16430625" cy="11706225"/>
        </a:xfrm>
        <a:prstGeom prst="rect">
          <a:avLst/>
        </a:prstGeom>
        <a:solidFill>
          <a:srgbClr val="FFFFFF"/>
        </a:solidFill>
        <a:ln w="9525">
          <a:solidFill>
            <a:srgbClr val="000000"/>
          </a:solidFill>
          <a:miter lim="800000"/>
          <a:headEnd/>
          <a:tailEnd/>
        </a:ln>
      </xdr:spPr>
    </xdr:sp>
    <xdr:clientData/>
  </xdr:twoCellAnchor>
  <xdr:twoCellAnchor>
    <xdr:from>
      <xdr:col>1</xdr:col>
      <xdr:colOff>352425</xdr:colOff>
      <xdr:row>5</xdr:row>
      <xdr:rowOff>28575</xdr:rowOff>
    </xdr:from>
    <xdr:to>
      <xdr:col>7</xdr:col>
      <xdr:colOff>352425</xdr:colOff>
      <xdr:row>73</xdr:row>
      <xdr:rowOff>0</xdr:rowOff>
    </xdr:to>
    <xdr:sp macro="" textlink="">
      <xdr:nvSpPr>
        <xdr:cNvPr id="13314" name="AutoShape 2"/>
        <xdr:cNvSpPr>
          <a:spLocks noChangeArrowheads="1"/>
        </xdr:cNvSpPr>
      </xdr:nvSpPr>
      <xdr:spPr bwMode="auto">
        <a:xfrm>
          <a:off x="1428750" y="838200"/>
          <a:ext cx="9705975" cy="10982325"/>
        </a:xfrm>
        <a:prstGeom prst="flowChartMultidocument">
          <a:avLst/>
        </a:prstGeom>
        <a:solidFill>
          <a:srgbClr val="FFFFFF"/>
        </a:solidFill>
        <a:ln w="9525">
          <a:solidFill>
            <a:srgbClr val="000000"/>
          </a:solidFill>
          <a:miter lim="800000"/>
          <a:headEnd/>
          <a:tailEnd/>
        </a:ln>
      </xdr:spPr>
      <xdr:txBody>
        <a:bodyPr vertOverflow="clip" wrap="square" lIns="36576" tIns="27432" rIns="0" bIns="0" anchor="t" upright="1"/>
        <a:lstStyle/>
        <a:p>
          <a:pPr algn="l" rtl="0">
            <a:defRPr sz="1000"/>
          </a:pPr>
          <a:r>
            <a:rPr lang="en-US" sz="1200" b="1" i="0" u="none" strike="noStrike" baseline="0">
              <a:solidFill>
                <a:srgbClr val="000000"/>
              </a:solidFill>
              <a:latin typeface="+mn-lt"/>
              <a:cs typeface="Arial"/>
            </a:rPr>
            <a:t>Measure Workbooks:</a:t>
          </a:r>
          <a:r>
            <a:rPr lang="en-US" sz="1200" b="0" i="0" u="none" strike="noStrike" baseline="0">
              <a:solidFill>
                <a:srgbClr val="000000"/>
              </a:solidFill>
              <a:latin typeface="+mn-lt"/>
              <a:cs typeface="Arial"/>
            </a:rPr>
            <a:t>  These workbooks contain the detailed analysis for all the measures.  Generally there is one workbook for each bundle of similar or related measures.</a:t>
          </a:r>
        </a:p>
        <a:p>
          <a:pPr algn="l" rtl="0">
            <a:defRPr sz="1000"/>
          </a:pPr>
          <a:r>
            <a:rPr lang="en-US" sz="1200" b="0" i="0" u="none" strike="noStrike" baseline="0">
              <a:solidFill>
                <a:srgbClr val="000000"/>
              </a:solidFill>
              <a:latin typeface="+mn-lt"/>
              <a:cs typeface="Arial"/>
            </a:rPr>
            <a:t> </a:t>
          </a:r>
        </a:p>
        <a:p>
          <a:pPr algn="l" rtl="0">
            <a:defRPr sz="1000"/>
          </a:pPr>
          <a:r>
            <a:rPr lang="en-US" sz="1200" b="0" i="0" u="none" strike="noStrike" baseline="0">
              <a:solidFill>
                <a:srgbClr val="000000"/>
              </a:solidFill>
              <a:latin typeface="+mn-lt"/>
              <a:cs typeface="Arial"/>
            </a:rPr>
            <a:t>Naming convention starts with COM(For example: COM-ECM-VAV-7P_v1.xls means the Commercial sector workbook for the measure Electronically Commutated Motors on VAV systems, 7th Plan, Version1)</a:t>
          </a:r>
        </a:p>
        <a:p>
          <a:pPr algn="l" rtl="0">
            <a:defRPr sz="1000"/>
          </a:pPr>
          <a:endParaRPr lang="en-US" sz="1200" b="0" i="0" u="none" strike="noStrike" baseline="0">
            <a:solidFill>
              <a:srgbClr val="000000"/>
            </a:solidFill>
            <a:latin typeface="+mn-lt"/>
            <a:cs typeface="Arial"/>
          </a:endParaRPr>
        </a:p>
        <a:p>
          <a:pPr algn="l" rtl="0">
            <a:defRPr sz="1000"/>
          </a:pPr>
          <a:r>
            <a:rPr lang="en-US" sz="1200" b="0" i="0" u="none" strike="noStrike" baseline="0">
              <a:solidFill>
                <a:srgbClr val="000000"/>
              </a:solidFill>
              <a:latin typeface="+mn-lt"/>
              <a:cs typeface="Arial"/>
            </a:rPr>
            <a:t>The files contain the supporting analysis of measure cost and savings as well as links to data used to support the analysis.  They also contain supply curves for the measure bundle.</a:t>
          </a:r>
        </a:p>
        <a:p>
          <a:pPr algn="l" rtl="0">
            <a:defRPr sz="1000"/>
          </a:pPr>
          <a:endParaRPr lang="en-US" sz="1200" b="0" i="0" u="none" strike="noStrike" baseline="0">
            <a:solidFill>
              <a:srgbClr val="000000"/>
            </a:solidFill>
            <a:latin typeface="+mn-lt"/>
            <a:cs typeface="Arial"/>
          </a:endParaRPr>
        </a:p>
        <a:p>
          <a:pPr algn="l" rtl="0">
            <a:defRPr sz="1000"/>
          </a:pPr>
          <a:r>
            <a:rPr lang="en-US" sz="1200" b="0" i="0" u="none" strike="noStrike" baseline="0">
              <a:solidFill>
                <a:srgbClr val="000000"/>
              </a:solidFill>
              <a:latin typeface="+mn-lt"/>
              <a:cs typeface="Arial"/>
            </a:rPr>
            <a:t>Basic layout as follows:</a:t>
          </a:r>
        </a:p>
        <a:p>
          <a:pPr algn="l" rtl="0">
            <a:defRPr sz="1000"/>
          </a:pPr>
          <a:endParaRPr lang="en-US" sz="1600" b="0" i="0" u="none" strike="noStrike" baseline="0">
            <a:solidFill>
              <a:srgbClr val="000000"/>
            </a:solidFill>
            <a:latin typeface="+mn-lt"/>
            <a:cs typeface="Arial"/>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1200" b="0" i="0" u="sng" baseline="0">
              <a:latin typeface="+mn-lt"/>
              <a:ea typeface="+mn-ea"/>
              <a:cs typeface="+mn-cs"/>
            </a:rPr>
            <a:t>7PSourceSummary:</a:t>
          </a:r>
          <a:r>
            <a:rPr lang="en-US" sz="1200" b="0" i="0" baseline="0">
              <a:latin typeface="+mn-lt"/>
              <a:ea typeface="+mn-ea"/>
              <a:cs typeface="+mn-cs"/>
            </a:rPr>
            <a:t>  Summarizes key input assumptions, sources and calculation methodology.</a:t>
          </a:r>
          <a:endParaRPr lang="en-US" sz="1800">
            <a:latin typeface="+mn-lt"/>
          </a:endParaRPr>
        </a:p>
        <a:p>
          <a:pPr algn="l" rtl="0">
            <a:defRPr sz="1000"/>
          </a:pPr>
          <a:endParaRPr lang="en-US" sz="1200" b="0" i="0" u="sng" strike="noStrike" baseline="0">
            <a:solidFill>
              <a:srgbClr val="000000"/>
            </a:solidFill>
            <a:latin typeface="+mn-lt"/>
            <a:cs typeface="Arial"/>
          </a:endParaRPr>
        </a:p>
        <a:p>
          <a:pPr algn="l" rtl="0">
            <a:defRPr sz="1000"/>
          </a:pPr>
          <a:r>
            <a:rPr lang="en-US" sz="1200" b="0" i="0" u="sng" strike="noStrike" baseline="0">
              <a:solidFill>
                <a:srgbClr val="000000"/>
              </a:solidFill>
              <a:latin typeface="+mn-lt"/>
              <a:cs typeface="Arial"/>
            </a:rPr>
            <a:t>SC worksheets:</a:t>
          </a:r>
          <a:r>
            <a:rPr lang="en-US" sz="1200" b="0" i="0" u="none" strike="noStrike" baseline="0">
              <a:solidFill>
                <a:srgbClr val="000000"/>
              </a:solidFill>
              <a:latin typeface="+mn-lt"/>
              <a:cs typeface="Arial"/>
            </a:rPr>
            <a:t> Calculates supply curve total savings potential by cost bin by year.  Uses output data from MData worksheets along with unit forecasts from floor space sheet and achievability rates from ComMaster.  Usually there are several SC worksheets for new, retrofit and natural-replacement applications since cost and savings and units are different for each application.</a:t>
          </a:r>
        </a:p>
        <a:p>
          <a:pPr algn="l" rtl="0">
            <a:defRPr sz="1000"/>
          </a:pPr>
          <a:r>
            <a:rPr lang="en-US" sz="1200" b="0" i="0" u="none" strike="noStrike" baseline="0">
              <a:solidFill>
                <a:srgbClr val="000000"/>
              </a:solidFill>
              <a:latin typeface="+mn-lt"/>
              <a:cs typeface="Arial"/>
            </a:rPr>
            <a:t>  </a:t>
          </a:r>
        </a:p>
        <a:p>
          <a:pPr algn="l" rtl="0">
            <a:defRPr sz="1000"/>
          </a:pPr>
          <a:r>
            <a:rPr lang="en-US" sz="1200" b="0" i="0" u="sng" strike="noStrike" baseline="0">
              <a:solidFill>
                <a:srgbClr val="000000"/>
              </a:solidFill>
              <a:latin typeface="+mn-lt"/>
              <a:cs typeface="Arial"/>
            </a:rPr>
            <a:t>MData worksheets: </a:t>
          </a:r>
          <a:r>
            <a:rPr lang="en-US" sz="1200" b="0" i="0" u="none" strike="noStrike" baseline="0">
              <a:solidFill>
                <a:srgbClr val="000000"/>
              </a:solidFill>
              <a:latin typeface="+mn-lt"/>
              <a:cs typeface="Arial"/>
            </a:rPr>
            <a:t>Measure data sheets.  Measure level inputs and outputs for ProCost. Normalized to floor area with one to several hundred permutations of costs and savings. At least two permutations of the MData tab exist in each sheet. One is for the "measure" level which represent costs and savings for an individual measure. This provides the cost and savings estimates for individual measures regardless of the measure's applicability. The other is the "regional" level which includes costs and savings weighted for  applicability across the region. ProCost output by measure ends up here too and is passed to the supply curve sheets to develop supply curves. Inputs to MData are usually harvested from MMap tab.</a:t>
          </a:r>
        </a:p>
        <a:p>
          <a:pPr algn="l" rtl="0">
            <a:defRPr sz="1000"/>
          </a:pPr>
          <a:endParaRPr lang="en-US" sz="1200" b="0" i="0" u="none" strike="noStrike" baseline="0">
            <a:solidFill>
              <a:srgbClr val="000000"/>
            </a:solidFill>
            <a:latin typeface="+mn-lt"/>
            <a:cs typeface="Arial"/>
          </a:endParaRPr>
        </a:p>
        <a:p>
          <a:pPr algn="l" rtl="0">
            <a:defRPr sz="1000"/>
          </a:pPr>
          <a:r>
            <a:rPr lang="en-US" sz="1200" b="0" i="0" u="sng" strike="noStrike" baseline="0">
              <a:solidFill>
                <a:srgbClr val="000000"/>
              </a:solidFill>
              <a:latin typeface="+mn-lt"/>
              <a:cs typeface="Arial"/>
            </a:rPr>
            <a:t>MMap worksheet: </a:t>
          </a:r>
          <a:r>
            <a:rPr lang="en-US" sz="1200" b="0" i="0" u="none" strike="noStrike" baseline="0">
              <a:solidFill>
                <a:srgbClr val="000000"/>
              </a:solidFill>
              <a:latin typeface="+mn-lt"/>
              <a:cs typeface="Arial"/>
            </a:rPr>
            <a:t> Measure Map. Used to assign costs and savings inputs to each application and permutation of the measure. Feeds MData worksheets. </a:t>
          </a:r>
        </a:p>
        <a:p>
          <a:pPr algn="l" rtl="0">
            <a:defRPr sz="1000"/>
          </a:pPr>
          <a:endParaRPr lang="en-US" sz="1200" b="0" i="0" u="none" strike="noStrike" baseline="0">
            <a:solidFill>
              <a:srgbClr val="000000"/>
            </a:solidFill>
            <a:latin typeface="+mn-lt"/>
            <a:cs typeface="Arial"/>
          </a:endParaRPr>
        </a:p>
        <a:p>
          <a:pPr algn="l" rtl="0">
            <a:defRPr sz="1000"/>
          </a:pPr>
          <a:r>
            <a:rPr lang="en-US" sz="1200" b="0" i="0" u="sng" strike="noStrike" baseline="0">
              <a:solidFill>
                <a:srgbClr val="000000"/>
              </a:solidFill>
              <a:latin typeface="+mn-lt"/>
              <a:cs typeface="Arial"/>
            </a:rPr>
            <a:t>Notes and Sources worksheet</a:t>
          </a:r>
          <a:r>
            <a:rPr lang="en-US" sz="1200" b="0" i="0" u="none" strike="noStrike" baseline="0">
              <a:solidFill>
                <a:srgbClr val="000000"/>
              </a:solidFill>
              <a:latin typeface="+mn-lt"/>
              <a:cs typeface="Arial"/>
            </a:rPr>
            <a:t> Contains notes, savings calculations and links to sources.</a:t>
          </a:r>
        </a:p>
        <a:p>
          <a:pPr algn="l" rtl="0">
            <a:defRPr sz="1000"/>
          </a:pPr>
          <a:endParaRPr lang="en-US" sz="1200" b="0" i="0" u="none" strike="noStrike" baseline="0">
            <a:solidFill>
              <a:srgbClr val="000000"/>
            </a:solidFill>
            <a:latin typeface="+mn-lt"/>
            <a:cs typeface="Arial"/>
          </a:endParaRPr>
        </a:p>
        <a:p>
          <a:pPr algn="l" rtl="0">
            <a:defRPr sz="1000"/>
          </a:pPr>
          <a:r>
            <a:rPr lang="en-US" sz="1200" b="0" i="0" u="sng" strike="noStrike" baseline="0">
              <a:solidFill>
                <a:srgbClr val="000000"/>
              </a:solidFill>
              <a:latin typeface="+mn-lt"/>
              <a:cs typeface="Arial"/>
            </a:rPr>
            <a:t>Supporting worksheets</a:t>
          </a:r>
          <a:r>
            <a:rPr lang="en-US" sz="1200" b="0" i="0" u="none" strike="noStrike" baseline="0">
              <a:solidFill>
                <a:srgbClr val="000000"/>
              </a:solidFill>
              <a:latin typeface="+mn-lt"/>
              <a:cs typeface="Arial"/>
            </a:rPr>
            <a:t>:  A variety of supporting worksheets, documentation and administrative notes are also included. </a:t>
          </a:r>
        </a:p>
        <a:p>
          <a:pPr algn="l" rtl="0">
            <a:defRPr sz="1000"/>
          </a:pPr>
          <a:endParaRPr lang="en-US" sz="1200" b="0" i="0" u="none" strike="noStrike" baseline="0">
            <a:solidFill>
              <a:srgbClr val="000000"/>
            </a:solidFill>
            <a:latin typeface="+mn-lt"/>
            <a:cs typeface="Arial"/>
          </a:endParaRPr>
        </a:p>
        <a:p>
          <a:pPr algn="l" rtl="0">
            <a:defRPr sz="1000"/>
          </a:pPr>
          <a:endParaRPr lang="en-US" sz="1200" b="0" i="0" u="none" strike="noStrike" baseline="0">
            <a:solidFill>
              <a:srgbClr val="000000"/>
            </a:solidFill>
            <a:latin typeface="+mn-lt"/>
            <a:cs typeface="Arial"/>
          </a:endParaRPr>
        </a:p>
        <a:p>
          <a:pPr algn="l" rtl="0">
            <a:defRPr sz="1000"/>
          </a:pPr>
          <a:endParaRPr lang="en-US" sz="1000" b="0" i="0" u="none" strike="noStrike" baseline="0">
            <a:solidFill>
              <a:srgbClr val="000000"/>
            </a:solidFill>
            <a:latin typeface="+mn-lt"/>
            <a:cs typeface="Arial"/>
          </a:endParaRPr>
        </a:p>
        <a:p>
          <a:pPr algn="l" rtl="0">
            <a:defRPr sz="1000"/>
          </a:pPr>
          <a:endParaRPr lang="en-US" sz="1000" b="0" i="0" u="none" strike="noStrike" baseline="0">
            <a:solidFill>
              <a:srgbClr val="000000"/>
            </a:solidFill>
            <a:latin typeface="Arial"/>
            <a:cs typeface="Arial"/>
          </a:endParaRPr>
        </a:p>
        <a:p>
          <a:pPr algn="l" rtl="0">
            <a:defRPr sz="1000"/>
          </a:pPr>
          <a:endParaRPr lang="en-US" sz="1000" b="0" i="0" u="none" strike="noStrike" baseline="0">
            <a:solidFill>
              <a:srgbClr val="000000"/>
            </a:solidFill>
            <a:latin typeface="Arial"/>
            <a:cs typeface="Arial"/>
          </a:endParaRPr>
        </a:p>
      </xdr:txBody>
    </xdr:sp>
    <xdr:clientData/>
  </xdr:twoCellAnchor>
  <xdr:twoCellAnchor>
    <xdr:from>
      <xdr:col>8</xdr:col>
      <xdr:colOff>590550</xdr:colOff>
      <xdr:row>7</xdr:row>
      <xdr:rowOff>47625</xdr:rowOff>
    </xdr:from>
    <xdr:to>
      <xdr:col>17</xdr:col>
      <xdr:colOff>85725</xdr:colOff>
      <xdr:row>29</xdr:row>
      <xdr:rowOff>142875</xdr:rowOff>
    </xdr:to>
    <xdr:sp macro="" textlink="">
      <xdr:nvSpPr>
        <xdr:cNvPr id="13315" name="AutoShape 3"/>
        <xdr:cNvSpPr>
          <a:spLocks noChangeArrowheads="1"/>
        </xdr:cNvSpPr>
      </xdr:nvSpPr>
      <xdr:spPr bwMode="auto">
        <a:xfrm>
          <a:off x="11982450" y="1181100"/>
          <a:ext cx="4981575" cy="3657600"/>
        </a:xfrm>
        <a:prstGeom prst="flowChartDocument">
          <a:avLst/>
        </a:prstGeom>
        <a:solidFill>
          <a:srgbClr val="FFFFFF"/>
        </a:solidFill>
        <a:ln w="9525">
          <a:solidFill>
            <a:srgbClr val="000000"/>
          </a:solidFill>
          <a:miter lim="800000"/>
          <a:headEnd/>
          <a:tailEnd/>
        </a:ln>
      </xdr:spPr>
      <xdr:txBody>
        <a:bodyPr vertOverflow="clip" wrap="square" lIns="36576" tIns="22860" rIns="0" bIns="0" anchor="t" upright="1"/>
        <a:lstStyle/>
        <a:p>
          <a:pPr algn="l" rtl="0">
            <a:defRPr sz="1000"/>
          </a:pPr>
          <a:r>
            <a:rPr lang="en-US" sz="1200" b="0" i="0" u="none" strike="noStrike" baseline="0">
              <a:solidFill>
                <a:srgbClr val="000000"/>
              </a:solidFill>
              <a:latin typeface="Arial"/>
              <a:cs typeface="Arial"/>
            </a:rPr>
            <a:t>ComMaster</a:t>
          </a:r>
        </a:p>
        <a:p>
          <a:pPr algn="l" rtl="0">
            <a:defRPr sz="1000"/>
          </a:pPr>
          <a:endParaRPr lang="en-US" sz="1200" b="0" i="0" u="none" strike="noStrike" baseline="0">
            <a:solidFill>
              <a:srgbClr val="000000"/>
            </a:solidFill>
            <a:latin typeface="Arial"/>
            <a:cs typeface="Arial"/>
          </a:endParaRPr>
        </a:p>
        <a:p>
          <a:pPr algn="l" rtl="0">
            <a:defRPr sz="1000"/>
          </a:pPr>
          <a:r>
            <a:rPr lang="en-US" sz="1200" b="0" i="0" u="none" strike="noStrike" baseline="0">
              <a:solidFill>
                <a:srgbClr val="000000"/>
              </a:solidFill>
              <a:latin typeface="Arial"/>
              <a:cs typeface="Arial"/>
            </a:rPr>
            <a:t>Contains measure list,  links to all supporting files and sheets for other administrative functions.</a:t>
          </a:r>
        </a:p>
        <a:p>
          <a:pPr algn="l" rtl="0">
            <a:defRPr sz="1000"/>
          </a:pPr>
          <a:endParaRPr lang="en-US" sz="1200" b="0" i="0" u="none" strike="noStrike" baseline="0">
            <a:solidFill>
              <a:srgbClr val="000000"/>
            </a:solidFill>
            <a:latin typeface="Arial"/>
            <a:cs typeface="Arial"/>
          </a:endParaRPr>
        </a:p>
        <a:p>
          <a:pPr algn="l" rtl="0">
            <a:defRPr sz="1000"/>
          </a:pPr>
          <a:r>
            <a:rPr lang="en-US" sz="1200" b="0" i="0" u="none" strike="noStrike" baseline="0">
              <a:solidFill>
                <a:srgbClr val="000000"/>
              </a:solidFill>
              <a:latin typeface="Arial"/>
              <a:cs typeface="Arial"/>
            </a:rPr>
            <a:t>Contains key characteristics common among measures used to calculate savings estimates.  Includes measure applicability (APPLIC), baseline penetration (BASE), applicable vintage cohort (STOCK), achievability rates (ACHIEV), fuel saturations, equipment saturations and other key characteristics (CHAR) used in the analysis by building occupancy type and application (New, Retro or Natural Replacement (NR)) . Also includes common variables, labels (VAR &amp; Labels) and other administrative functions.</a:t>
          </a:r>
          <a:endParaRPr lang="en-US" sz="1000" b="0" i="0" u="none" strike="noStrike" baseline="0">
            <a:solidFill>
              <a:srgbClr val="000000"/>
            </a:solidFill>
            <a:latin typeface="Arial"/>
            <a:cs typeface="Arial"/>
          </a:endParaRPr>
        </a:p>
        <a:p>
          <a:pPr algn="l" rtl="0">
            <a:defRPr sz="1000"/>
          </a:pPr>
          <a:endParaRPr lang="en-US" sz="1000" b="0" i="0" u="none" strike="noStrike" baseline="0">
            <a:solidFill>
              <a:srgbClr val="000000"/>
            </a:solidFill>
            <a:latin typeface="Arial"/>
            <a:cs typeface="Arial"/>
          </a:endParaRPr>
        </a:p>
        <a:p>
          <a:pPr algn="l" rtl="0">
            <a:defRPr sz="1000"/>
          </a:pPr>
          <a:endParaRPr lang="en-US" sz="1000" b="0" i="0" u="none" strike="noStrike" baseline="0">
            <a:solidFill>
              <a:srgbClr val="000000"/>
            </a:solidFill>
            <a:latin typeface="Arial"/>
            <a:cs typeface="Arial"/>
          </a:endParaRPr>
        </a:p>
      </xdr:txBody>
    </xdr:sp>
    <xdr:clientData/>
  </xdr:twoCellAnchor>
  <xdr:twoCellAnchor>
    <xdr:from>
      <xdr:col>8</xdr:col>
      <xdr:colOff>571500</xdr:colOff>
      <xdr:row>32</xdr:row>
      <xdr:rowOff>28575</xdr:rowOff>
    </xdr:from>
    <xdr:to>
      <xdr:col>17</xdr:col>
      <xdr:colOff>19050</xdr:colOff>
      <xdr:row>42</xdr:row>
      <xdr:rowOff>9525</xdr:rowOff>
    </xdr:to>
    <xdr:sp macro="" textlink="">
      <xdr:nvSpPr>
        <xdr:cNvPr id="13316" name="AutoShape 4"/>
        <xdr:cNvSpPr>
          <a:spLocks noChangeArrowheads="1"/>
        </xdr:cNvSpPr>
      </xdr:nvSpPr>
      <xdr:spPr bwMode="auto">
        <a:xfrm>
          <a:off x="11963400" y="5210175"/>
          <a:ext cx="4933950" cy="1600200"/>
        </a:xfrm>
        <a:prstGeom prst="flowChartDocument">
          <a:avLst/>
        </a:prstGeom>
        <a:solidFill>
          <a:srgbClr val="FFFFFF"/>
        </a:solidFill>
        <a:ln w="9525">
          <a:solidFill>
            <a:srgbClr val="000000"/>
          </a:solidFill>
          <a:miter lim="800000"/>
          <a:headEnd/>
          <a:tailEnd/>
        </a:ln>
      </xdr:spPr>
      <xdr:txBody>
        <a:bodyPr vertOverflow="clip" wrap="square" lIns="36576" tIns="22860" rIns="0" bIns="0" anchor="t" upright="1"/>
        <a:lstStyle/>
        <a:p>
          <a:pPr algn="l" rtl="0">
            <a:defRPr sz="1000"/>
          </a:pPr>
          <a:r>
            <a:rPr lang="en-US" sz="1200" b="0" i="0" u="none" strike="noStrike" baseline="0">
              <a:solidFill>
                <a:srgbClr val="000000"/>
              </a:solidFill>
              <a:latin typeface="Arial"/>
              <a:cs typeface="Arial"/>
            </a:rPr>
            <a:t>ComFloorAreaForecast.xls (or similar name)</a:t>
          </a:r>
        </a:p>
        <a:p>
          <a:pPr algn="l" rtl="0">
            <a:defRPr sz="1000"/>
          </a:pPr>
          <a:endParaRPr lang="en-US" sz="1200" b="0" i="0" u="none" strike="noStrike" baseline="0">
            <a:solidFill>
              <a:srgbClr val="000000"/>
            </a:solidFill>
            <a:latin typeface="Arial"/>
            <a:cs typeface="Arial"/>
          </a:endParaRPr>
        </a:p>
        <a:p>
          <a:pPr algn="l" rtl="0">
            <a:defRPr sz="1000"/>
          </a:pPr>
          <a:r>
            <a:rPr lang="en-US" sz="1200" b="0" i="0" u="none" strike="noStrike" baseline="0">
              <a:solidFill>
                <a:srgbClr val="000000"/>
              </a:solidFill>
              <a:latin typeface="Arial"/>
              <a:cs typeface="Arial"/>
            </a:rPr>
            <a:t>Output from regional forecast model.  Supply curve estimates are driven primarily by floor space estimates, equipment count or population. File contains stock estimates relevant to the measures by building occupancy type, state and vintage.   </a:t>
          </a:r>
          <a:endParaRPr lang="en-US" sz="1000" b="0" i="0" u="none" strike="noStrike" baseline="0">
            <a:solidFill>
              <a:srgbClr val="000000"/>
            </a:solidFill>
            <a:latin typeface="Arial"/>
            <a:cs typeface="Arial"/>
          </a:endParaRPr>
        </a:p>
        <a:p>
          <a:pPr algn="l" rtl="0">
            <a:defRPr sz="1000"/>
          </a:pPr>
          <a:endParaRPr lang="en-US" sz="1000" b="0" i="0" u="none" strike="noStrike" baseline="0">
            <a:solidFill>
              <a:srgbClr val="000000"/>
            </a:solidFill>
            <a:latin typeface="Arial"/>
            <a:cs typeface="Arial"/>
          </a:endParaRPr>
        </a:p>
        <a:p>
          <a:pPr algn="l" rtl="0">
            <a:defRPr sz="1000"/>
          </a:pPr>
          <a:endParaRPr lang="en-US" sz="1000" b="0" i="0" u="none" strike="noStrike" baseline="0">
            <a:solidFill>
              <a:srgbClr val="000000"/>
            </a:solidFill>
            <a:latin typeface="Arial"/>
            <a:cs typeface="Arial"/>
          </a:endParaRPr>
        </a:p>
        <a:p>
          <a:pPr algn="l" rtl="0">
            <a:defRPr sz="1000"/>
          </a:pPr>
          <a:endParaRPr lang="en-US" sz="1000" b="0" i="0" u="none" strike="noStrike" baseline="0">
            <a:solidFill>
              <a:srgbClr val="000000"/>
            </a:solidFill>
            <a:latin typeface="Arial"/>
            <a:cs typeface="Arial"/>
          </a:endParaRPr>
        </a:p>
      </xdr:txBody>
    </xdr:sp>
    <xdr:clientData/>
  </xdr:twoCellAnchor>
  <xdr:twoCellAnchor>
    <xdr:from>
      <xdr:col>7</xdr:col>
      <xdr:colOff>247650</xdr:colOff>
      <xdr:row>11</xdr:row>
      <xdr:rowOff>76200</xdr:rowOff>
    </xdr:from>
    <xdr:to>
      <xdr:col>7</xdr:col>
      <xdr:colOff>571500</xdr:colOff>
      <xdr:row>12</xdr:row>
      <xdr:rowOff>0</xdr:rowOff>
    </xdr:to>
    <xdr:sp macro="" textlink="">
      <xdr:nvSpPr>
        <xdr:cNvPr id="13328" name="AutoShape 5"/>
        <xdr:cNvSpPr>
          <a:spLocks noChangeArrowheads="1"/>
        </xdr:cNvSpPr>
      </xdr:nvSpPr>
      <xdr:spPr bwMode="auto">
        <a:xfrm>
          <a:off x="11029950" y="1857375"/>
          <a:ext cx="323850" cy="85725"/>
        </a:xfrm>
        <a:prstGeom prst="leftRightArrow">
          <a:avLst>
            <a:gd name="adj1" fmla="val 50000"/>
            <a:gd name="adj2" fmla="val 75556"/>
          </a:avLst>
        </a:prstGeom>
        <a:solidFill>
          <a:srgbClr val="FFFFFF"/>
        </a:solidFill>
        <a:ln w="9525">
          <a:solidFill>
            <a:srgbClr val="000000"/>
          </a:solidFill>
          <a:miter lim="800000"/>
          <a:headEnd/>
          <a:tailEnd/>
        </a:ln>
      </xdr:spPr>
    </xdr:sp>
    <xdr:clientData/>
  </xdr:twoCellAnchor>
  <xdr:twoCellAnchor>
    <xdr:from>
      <xdr:col>7</xdr:col>
      <xdr:colOff>190500</xdr:colOff>
      <xdr:row>34</xdr:row>
      <xdr:rowOff>19050</xdr:rowOff>
    </xdr:from>
    <xdr:to>
      <xdr:col>7</xdr:col>
      <xdr:colOff>523875</xdr:colOff>
      <xdr:row>34</xdr:row>
      <xdr:rowOff>95250</xdr:rowOff>
    </xdr:to>
    <xdr:sp macro="" textlink="">
      <xdr:nvSpPr>
        <xdr:cNvPr id="13329" name="AutoShape 6"/>
        <xdr:cNvSpPr>
          <a:spLocks noChangeArrowheads="1"/>
        </xdr:cNvSpPr>
      </xdr:nvSpPr>
      <xdr:spPr bwMode="auto">
        <a:xfrm>
          <a:off x="10972800" y="5524500"/>
          <a:ext cx="333375" cy="76200"/>
        </a:xfrm>
        <a:prstGeom prst="leftRightArrow">
          <a:avLst>
            <a:gd name="adj1" fmla="val 50000"/>
            <a:gd name="adj2" fmla="val 87500"/>
          </a:avLst>
        </a:prstGeom>
        <a:solidFill>
          <a:srgbClr val="FFFFFF"/>
        </a:solidFill>
        <a:ln w="9525">
          <a:solidFill>
            <a:srgbClr val="000000"/>
          </a:solidFill>
          <a:miter lim="800000"/>
          <a:headEnd/>
          <a:tailEnd/>
        </a:ln>
      </xdr:spPr>
    </xdr:sp>
    <xdr:clientData/>
  </xdr:twoCellAnchor>
  <xdr:twoCellAnchor>
    <xdr:from>
      <xdr:col>8</xdr:col>
      <xdr:colOff>542925</xdr:colOff>
      <xdr:row>43</xdr:row>
      <xdr:rowOff>142875</xdr:rowOff>
    </xdr:from>
    <xdr:to>
      <xdr:col>16</xdr:col>
      <xdr:colOff>390525</xdr:colOff>
      <xdr:row>49</xdr:row>
      <xdr:rowOff>95250</xdr:rowOff>
    </xdr:to>
    <xdr:sp macro="" textlink="">
      <xdr:nvSpPr>
        <xdr:cNvPr id="13319" name="AutoShape 7"/>
        <xdr:cNvSpPr>
          <a:spLocks noChangeArrowheads="1"/>
        </xdr:cNvSpPr>
      </xdr:nvSpPr>
      <xdr:spPr bwMode="auto">
        <a:xfrm>
          <a:off x="11934825" y="7105650"/>
          <a:ext cx="4724400" cy="923925"/>
        </a:xfrm>
        <a:prstGeom prst="flowChartDocument">
          <a:avLst/>
        </a:prstGeom>
        <a:solidFill>
          <a:srgbClr val="FFFFFF"/>
        </a:solidFill>
        <a:ln w="9525">
          <a:solidFill>
            <a:srgbClr val="000000"/>
          </a:solidFill>
          <a:miter lim="800000"/>
          <a:headEnd/>
          <a:tailEnd/>
        </a:ln>
      </xdr:spPr>
      <xdr:txBody>
        <a:bodyPr vertOverflow="clip" wrap="square" lIns="36576" tIns="22860" rIns="0" bIns="0" anchor="t" upright="1"/>
        <a:lstStyle/>
        <a:p>
          <a:pPr algn="l" rtl="0">
            <a:defRPr sz="1000"/>
          </a:pPr>
          <a:r>
            <a:rPr lang="en-US" sz="1200" b="0" i="0" u="none" strike="noStrike" baseline="0">
              <a:solidFill>
                <a:srgbClr val="000000"/>
              </a:solidFill>
              <a:latin typeface="Arial"/>
              <a:cs typeface="Arial"/>
            </a:rPr>
            <a:t>MC_AND_ LOADSHAPE</a:t>
          </a:r>
        </a:p>
        <a:p>
          <a:pPr algn="l" rtl="0">
            <a:defRPr sz="1000"/>
          </a:pPr>
          <a:endParaRPr lang="en-US" sz="1200" b="0" i="0" u="none" strike="noStrike" baseline="0">
            <a:solidFill>
              <a:srgbClr val="000000"/>
            </a:solidFill>
            <a:latin typeface="Arial"/>
            <a:cs typeface="Arial"/>
          </a:endParaRPr>
        </a:p>
        <a:p>
          <a:pPr algn="l" rtl="0">
            <a:defRPr sz="1000"/>
          </a:pPr>
          <a:r>
            <a:rPr lang="en-US" sz="1200" b="0" i="0" u="none" strike="noStrike" baseline="0">
              <a:solidFill>
                <a:srgbClr val="000000"/>
              </a:solidFill>
              <a:latin typeface="Arial"/>
              <a:cs typeface="Arial"/>
            </a:rPr>
            <a:t>Contains avoided cost and shape of savings data. Called by ProCost.</a:t>
          </a:r>
        </a:p>
      </xdr:txBody>
    </xdr:sp>
    <xdr:clientData/>
  </xdr:twoCellAnchor>
  <xdr:twoCellAnchor>
    <xdr:from>
      <xdr:col>7</xdr:col>
      <xdr:colOff>209550</xdr:colOff>
      <xdr:row>48</xdr:row>
      <xdr:rowOff>19050</xdr:rowOff>
    </xdr:from>
    <xdr:to>
      <xdr:col>7</xdr:col>
      <xdr:colOff>542925</xdr:colOff>
      <xdr:row>48</xdr:row>
      <xdr:rowOff>85725</xdr:rowOff>
    </xdr:to>
    <xdr:sp macro="" textlink="">
      <xdr:nvSpPr>
        <xdr:cNvPr id="13331" name="AutoShape 8"/>
        <xdr:cNvSpPr>
          <a:spLocks noChangeArrowheads="1"/>
        </xdr:cNvSpPr>
      </xdr:nvSpPr>
      <xdr:spPr bwMode="auto">
        <a:xfrm>
          <a:off x="10991850" y="7791450"/>
          <a:ext cx="333375" cy="66675"/>
        </a:xfrm>
        <a:prstGeom prst="leftRightArrow">
          <a:avLst>
            <a:gd name="adj1" fmla="val 50000"/>
            <a:gd name="adj2" fmla="val 100000"/>
          </a:avLst>
        </a:prstGeom>
        <a:solidFill>
          <a:srgbClr val="FFFFFF"/>
        </a:solidFill>
        <a:ln w="9525">
          <a:solidFill>
            <a:srgbClr val="000000"/>
          </a:solidFill>
          <a:miter lim="800000"/>
          <a:headEnd/>
          <a:tailEnd/>
        </a:ln>
      </xdr:spPr>
    </xdr:sp>
    <xdr:clientData/>
  </xdr:twoCellAnchor>
  <xdr:twoCellAnchor>
    <xdr:from>
      <xdr:col>7</xdr:col>
      <xdr:colOff>190500</xdr:colOff>
      <xdr:row>68</xdr:row>
      <xdr:rowOff>95250</xdr:rowOff>
    </xdr:from>
    <xdr:to>
      <xdr:col>7</xdr:col>
      <xdr:colOff>523875</xdr:colOff>
      <xdr:row>68</xdr:row>
      <xdr:rowOff>152400</xdr:rowOff>
    </xdr:to>
    <xdr:sp macro="" textlink="">
      <xdr:nvSpPr>
        <xdr:cNvPr id="13332" name="AutoShape 10"/>
        <xdr:cNvSpPr>
          <a:spLocks noChangeArrowheads="1"/>
        </xdr:cNvSpPr>
      </xdr:nvSpPr>
      <xdr:spPr bwMode="auto">
        <a:xfrm>
          <a:off x="10972800" y="11106150"/>
          <a:ext cx="333375" cy="57150"/>
        </a:xfrm>
        <a:prstGeom prst="leftRightArrow">
          <a:avLst>
            <a:gd name="adj1" fmla="val 50000"/>
            <a:gd name="adj2" fmla="val 116667"/>
          </a:avLst>
        </a:prstGeom>
        <a:solidFill>
          <a:srgbClr val="FFFFFF"/>
        </a:solidFill>
        <a:ln w="9525">
          <a:solidFill>
            <a:srgbClr val="000000"/>
          </a:solidFill>
          <a:miter lim="800000"/>
          <a:headEnd/>
          <a:tailEnd/>
        </a:ln>
      </xdr:spPr>
    </xdr:sp>
    <xdr:clientData/>
  </xdr:twoCellAnchor>
  <xdr:twoCellAnchor>
    <xdr:from>
      <xdr:col>8</xdr:col>
      <xdr:colOff>485775</xdr:colOff>
      <xdr:row>53</xdr:row>
      <xdr:rowOff>104775</xdr:rowOff>
    </xdr:from>
    <xdr:to>
      <xdr:col>16</xdr:col>
      <xdr:colOff>219075</xdr:colOff>
      <xdr:row>70</xdr:row>
      <xdr:rowOff>57150</xdr:rowOff>
    </xdr:to>
    <xdr:sp macro="" textlink="">
      <xdr:nvSpPr>
        <xdr:cNvPr id="13323" name="AutoShape 11"/>
        <xdr:cNvSpPr>
          <a:spLocks noChangeArrowheads="1"/>
        </xdr:cNvSpPr>
      </xdr:nvSpPr>
      <xdr:spPr bwMode="auto">
        <a:xfrm>
          <a:off x="11877675" y="8686800"/>
          <a:ext cx="4610100" cy="2705100"/>
        </a:xfrm>
        <a:prstGeom prst="flowChartDocument">
          <a:avLst/>
        </a:prstGeom>
        <a:solidFill>
          <a:srgbClr val="FFFFFF"/>
        </a:solidFill>
        <a:ln w="9525">
          <a:solidFill>
            <a:srgbClr val="000000"/>
          </a:solidFill>
          <a:miter lim="800000"/>
          <a:headEnd/>
          <a:tailEnd/>
        </a:ln>
      </xdr:spPr>
      <xdr:txBody>
        <a:bodyPr vertOverflow="clip" wrap="square" lIns="36576" tIns="22860" rIns="0" bIns="0" anchor="t" upright="1"/>
        <a:lstStyle/>
        <a:p>
          <a:pPr algn="l" rtl="0">
            <a:defRPr sz="1000"/>
          </a:pPr>
          <a:r>
            <a:rPr lang="en-US" sz="1200" b="0" i="0" u="none" strike="noStrike" baseline="0">
              <a:solidFill>
                <a:srgbClr val="000000"/>
              </a:solidFill>
              <a:latin typeface="Arial"/>
              <a:cs typeface="Arial"/>
            </a:rPr>
            <a:t>SUPPLYCURVEBUNDLER</a:t>
          </a:r>
        </a:p>
        <a:p>
          <a:pPr algn="l" rtl="0">
            <a:defRPr sz="1000"/>
          </a:pPr>
          <a:endParaRPr lang="en-US" sz="1200" b="0" i="0" u="none" strike="noStrike" baseline="0">
            <a:solidFill>
              <a:srgbClr val="000000"/>
            </a:solidFill>
            <a:latin typeface="Arial"/>
            <a:cs typeface="Arial"/>
          </a:endParaRPr>
        </a:p>
        <a:p>
          <a:pPr algn="l" rtl="0">
            <a:defRPr sz="1000"/>
          </a:pPr>
          <a:r>
            <a:rPr lang="en-US" sz="1200" b="0" i="0" u="none" strike="noStrike" baseline="0">
              <a:solidFill>
                <a:srgbClr val="000000"/>
              </a:solidFill>
              <a:latin typeface="Arial"/>
              <a:cs typeface="Arial"/>
            </a:rPr>
            <a:t>Bundles all measures into supply curves by cost bin and year for input to portfolio model.</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6</xdr:col>
      <xdr:colOff>381000</xdr:colOff>
      <xdr:row>96</xdr:row>
      <xdr:rowOff>123825</xdr:rowOff>
    </xdr:from>
    <xdr:ext cx="184731" cy="264560"/>
    <xdr:sp macro="" textlink="">
      <xdr:nvSpPr>
        <xdr:cNvPr id="2" name="TextBox 1"/>
        <xdr:cNvSpPr txBox="1"/>
      </xdr:nvSpPr>
      <xdr:spPr>
        <a:xfrm>
          <a:off x="12468225" y="15840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28</xdr:col>
      <xdr:colOff>142875</xdr:colOff>
      <xdr:row>17</xdr:row>
      <xdr:rowOff>19050</xdr:rowOff>
    </xdr:from>
    <xdr:to>
      <xdr:col>39</xdr:col>
      <xdr:colOff>409575</xdr:colOff>
      <xdr:row>43</xdr:row>
      <xdr:rowOff>47625</xdr:rowOff>
    </xdr:to>
    <xdr:graphicFrame macro="">
      <xdr:nvGraphicFramePr>
        <xdr:cNvPr id="90161" name="Chart 4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361950</xdr:colOff>
      <xdr:row>24</xdr:row>
      <xdr:rowOff>19050</xdr:rowOff>
    </xdr:from>
    <xdr:to>
      <xdr:col>24</xdr:col>
      <xdr:colOff>523875</xdr:colOff>
      <xdr:row>41</xdr:row>
      <xdr:rowOff>9525</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16</xdr:col>
      <xdr:colOff>514349</xdr:colOff>
      <xdr:row>42</xdr:row>
      <xdr:rowOff>133350</xdr:rowOff>
    </xdr:from>
    <xdr:to>
      <xdr:col>24</xdr:col>
      <xdr:colOff>457199</xdr:colOff>
      <xdr:row>59</xdr:row>
      <xdr:rowOff>123825</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27</xdr:col>
      <xdr:colOff>76200</xdr:colOff>
      <xdr:row>16</xdr:row>
      <xdr:rowOff>19050</xdr:rowOff>
    </xdr:from>
    <xdr:to>
      <xdr:col>34</xdr:col>
      <xdr:colOff>381000</xdr:colOff>
      <xdr:row>33</xdr:row>
      <xdr:rowOff>9525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26</xdr:col>
      <xdr:colOff>505239</xdr:colOff>
      <xdr:row>38</xdr:row>
      <xdr:rowOff>33130</xdr:rowOff>
    </xdr:from>
    <xdr:to>
      <xdr:col>34</xdr:col>
      <xdr:colOff>173935</xdr:colOff>
      <xdr:row>54</xdr:row>
      <xdr:rowOff>124238</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2</xdr:col>
      <xdr:colOff>47625</xdr:colOff>
      <xdr:row>10</xdr:row>
      <xdr:rowOff>9525</xdr:rowOff>
    </xdr:from>
    <xdr:to>
      <xdr:col>19</xdr:col>
      <xdr:colOff>114300</xdr:colOff>
      <xdr:row>31</xdr:row>
      <xdr:rowOff>28575</xdr:rowOff>
    </xdr:to>
    <xdr:sp macro="" textlink="">
      <xdr:nvSpPr>
        <xdr:cNvPr id="14350" name="WordArt 14"/>
        <xdr:cNvSpPr>
          <a:spLocks noChangeArrowheads="1" noChangeShapeType="1" noTextEdit="1"/>
        </xdr:cNvSpPr>
      </xdr:nvSpPr>
      <xdr:spPr bwMode="auto">
        <a:xfrm>
          <a:off x="3524250" y="1466850"/>
          <a:ext cx="10382250" cy="3419475"/>
        </a:xfrm>
        <a:prstGeom prst="rect">
          <a:avLst/>
        </a:prstGeom>
      </xdr:spPr>
      <xdr:txBody>
        <a:bodyPr wrap="none" fromWordArt="1">
          <a:prstTxWarp prst="textSlantUp">
            <a:avLst>
              <a:gd name="adj" fmla="val 55556"/>
            </a:avLst>
          </a:prstTxWarp>
        </a:bodyPr>
        <a:lstStyle/>
        <a:p>
          <a:pPr algn="ctr" rtl="0"/>
          <a:r>
            <a:rPr lang="en-US" sz="5400" kern="10" spc="0">
              <a:ln w="9525">
                <a:solidFill>
                  <a:srgbClr val="000000"/>
                </a:solidFill>
                <a:round/>
                <a:headEnd/>
                <a:tailEnd/>
              </a:ln>
              <a:solidFill>
                <a:srgbClr val="FF6600">
                  <a:alpha val="42000"/>
                </a:srgbClr>
              </a:solidFill>
              <a:effectLst/>
              <a:latin typeface="Arial Black"/>
            </a:rPr>
            <a:t>DO NOT Use These Data </a:t>
          </a:r>
        </a:p>
        <a:p>
          <a:pPr algn="ctr" rtl="0"/>
          <a:r>
            <a:rPr lang="en-US" sz="5400" kern="10" spc="0">
              <a:ln w="9525">
                <a:solidFill>
                  <a:srgbClr val="000000"/>
                </a:solidFill>
                <a:round/>
                <a:headEnd/>
                <a:tailEnd/>
              </a:ln>
              <a:solidFill>
                <a:srgbClr val="FF6600">
                  <a:alpha val="42000"/>
                </a:srgbClr>
              </a:solidFill>
              <a:effectLst/>
              <a:latin typeface="Arial Black"/>
            </a:rPr>
            <a:t>as Representative EUIs</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CG\Main\Plan%205\FinalPlan\PC-ReRoof-D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dng6482.BUD/AppData/Local/Microsoft/Windows/Temporary%20Internet%20Files/Content.Outlook/LFT977L6/Mapped%20Data%20-%208-13-2013/BPA_FY2012_Custom%20_Merge_Map.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grist\AppData\Roaming\Microsoft\Excel\InteractionsBldgType01082004-7P.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COM-CompressedAir-7P_V3.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P%20is%20for%20Posting/COM-Computers-7P_V2p.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COM-PowerStrips-7P_V4.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Com-DataCenters-7P_V4.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COM-PreRinseSpray-7P_V3.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COM-Cooking-7P_V5.xlsm"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COM-RooftopController-7P_v5.xlsm"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Com-EM-7P_V4.xlsm"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COM-Economizer-7P_v1.xlsm"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P%20is%20for%20Posting/Com-DCV-7P_V3p.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COM-FumeHood-7P_V2.xlsm"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COM-DCV-Garage-7P_V3.xlsm"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COM-VRF-7P_V5.xlsm"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Com-WindowSGS-7P_V4.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Com-LightingInterior-7P_v36.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Com-InteriorLightingControls-7P_V5.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Com-ExteriorLighting-7P_V13.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Com-Streetlight-7P_V9.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Com-ParkingGarageLighting-7P_v6.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Com-Bi-Level%20Stairwell-7P_V2.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COM-ECM-VAV-7P_V3.xlsm"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COM-MotorsRewind-7P_v2.xlsm"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COM-Wastewater-7P_V5.xlsm"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COM-WaterSupply-7P_V5.xlsm"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Com-Grocery-7P_V6.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Com-WaterCooler-7P_V4.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COM-WHTanks-7p_v5.xlsm"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COM-Showerhead-7P_v3.xlsm"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Com-HPLowPowerGSFL-7P_V5.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Int_Light_Comp-7P_v1.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Com-ExitSign-7P_V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ummary"/>
      <sheetName val="ProData"/>
      <sheetName val="MDataElec"/>
      <sheetName val="MMap"/>
      <sheetName val="MDataGas"/>
      <sheetName val="R11 to R22 ElecHt"/>
      <sheetName val="R0 to R22 ElecHt"/>
      <sheetName val="R11 to R22 HtPump"/>
      <sheetName val="R0 to R22 HtPump"/>
      <sheetName val="Notes and Sources"/>
      <sheetName val="To Do"/>
      <sheetName val="Nov2003"/>
      <sheetName val="9March04A"/>
      <sheetName val="9Apr20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Pivot -&gt;"/>
      <sheetName val="CUSTOMMERGED"/>
      <sheetName val="6th Plan and BPA Taxonomy"/>
      <sheetName val="Taxonomy"/>
      <sheetName val="Codes"/>
      <sheetName val="Mapping Assumptions"/>
      <sheetName val="all_data_27JUNE2013_v2_rec_v2"/>
      <sheetName val="&lt; - Pivot"/>
    </sheetNames>
    <sheetDataSet>
      <sheetData sheetId="0" refreshError="1"/>
      <sheetData sheetId="1" refreshError="1"/>
      <sheetData sheetId="2"/>
      <sheetData sheetId="3" refreshError="1"/>
      <sheetData sheetId="4">
        <row r="1">
          <cell r="A1" t="str">
            <v>Sector Code</v>
          </cell>
          <cell r="B1" t="str">
            <v>Sector</v>
          </cell>
          <cell r="C1" t="str">
            <v>Number</v>
          </cell>
        </row>
        <row r="2">
          <cell r="A2" t="str">
            <v>A</v>
          </cell>
          <cell r="B2" t="str">
            <v>Agricultural</v>
          </cell>
          <cell r="C2">
            <v>4000</v>
          </cell>
          <cell r="E2" t="str">
            <v>CA</v>
          </cell>
          <cell r="F2" t="str">
            <v>Compressed Air</v>
          </cell>
          <cell r="H2" t="str">
            <v>CA</v>
          </cell>
          <cell r="I2" t="str">
            <v>Capacitors</v>
          </cell>
        </row>
        <row r="3">
          <cell r="A3" t="str">
            <v>C</v>
          </cell>
          <cell r="B3" t="str">
            <v>Commercial</v>
          </cell>
          <cell r="C3">
            <v>2000</v>
          </cell>
          <cell r="E3" t="str">
            <v>EL</v>
          </cell>
          <cell r="F3" t="str">
            <v>Electronics</v>
          </cell>
          <cell r="H3" t="str">
            <v>CP</v>
          </cell>
          <cell r="I3" t="str">
            <v>Center Pivot System and Equipment</v>
          </cell>
        </row>
        <row r="4">
          <cell r="A4" t="str">
            <v>I</v>
          </cell>
          <cell r="B4" t="str">
            <v>Industrial</v>
          </cell>
          <cell r="C4">
            <v>3000</v>
          </cell>
          <cell r="E4" t="str">
            <v>FD</v>
          </cell>
          <cell r="F4" t="str">
            <v>Facility Distribution System</v>
          </cell>
          <cell r="H4" t="str">
            <v>CC</v>
          </cell>
          <cell r="I4" t="str">
            <v>Compressed Air System Controls</v>
          </cell>
        </row>
        <row r="5">
          <cell r="A5" t="str">
            <v>L</v>
          </cell>
          <cell r="B5" t="str">
            <v>Low Income</v>
          </cell>
          <cell r="C5">
            <v>1000</v>
          </cell>
          <cell r="E5" t="str">
            <v>FP</v>
          </cell>
          <cell r="F5" t="str">
            <v>Food Preparation</v>
          </cell>
          <cell r="H5" t="str">
            <v>CI</v>
          </cell>
          <cell r="I5" t="str">
            <v>Compressed Air System Improvements</v>
          </cell>
        </row>
        <row r="6">
          <cell r="A6" t="str">
            <v>R</v>
          </cell>
          <cell r="B6" t="str">
            <v>Residential</v>
          </cell>
          <cell r="C6">
            <v>1000</v>
          </cell>
          <cell r="E6" t="str">
            <v>HV</v>
          </cell>
          <cell r="F6" t="str">
            <v>HVAC</v>
          </cell>
          <cell r="H6" t="str">
            <v>CT</v>
          </cell>
          <cell r="I6" t="str">
            <v>Computer Technologies</v>
          </cell>
        </row>
        <row r="7">
          <cell r="A7" t="str">
            <v>U</v>
          </cell>
          <cell r="B7" t="str">
            <v>Utility System Efficiency</v>
          </cell>
          <cell r="C7">
            <v>5000</v>
          </cell>
          <cell r="E7" t="str">
            <v>IR</v>
          </cell>
          <cell r="F7" t="str">
            <v>Irrigation</v>
          </cell>
          <cell r="H7" t="str">
            <v>CN</v>
          </cell>
          <cell r="I7" t="str">
            <v>Conductors</v>
          </cell>
        </row>
        <row r="8">
          <cell r="E8" t="str">
            <v>LI</v>
          </cell>
          <cell r="F8" t="str">
            <v>Lighting</v>
          </cell>
          <cell r="H8" t="str">
            <v>CO</v>
          </cell>
          <cell r="I8" t="str">
            <v>Cooking</v>
          </cell>
        </row>
        <row r="9">
          <cell r="E9" t="str">
            <v>MD</v>
          </cell>
          <cell r="F9" t="str">
            <v>Motors/Drives</v>
          </cell>
          <cell r="H9" t="str">
            <v>DS</v>
          </cell>
          <cell r="I9" t="str">
            <v>Dairy System Improvements</v>
          </cell>
        </row>
        <row r="10">
          <cell r="E10" t="str">
            <v>PL</v>
          </cell>
          <cell r="F10" t="str">
            <v>Process Loads</v>
          </cell>
          <cell r="H10" t="str">
            <v>DE</v>
          </cell>
          <cell r="I10" t="str">
            <v>Delamping</v>
          </cell>
        </row>
        <row r="11">
          <cell r="E11" t="str">
            <v>RE</v>
          </cell>
          <cell r="F11" t="str">
            <v>Refrigeration</v>
          </cell>
          <cell r="H11" t="str">
            <v>DF</v>
          </cell>
          <cell r="I11" t="str">
            <v>Discharge Fitting Equipment</v>
          </cell>
        </row>
        <row r="12">
          <cell r="E12" t="str">
            <v>UD</v>
          </cell>
          <cell r="F12" t="str">
            <v>Utility Distribution System</v>
          </cell>
          <cell r="H12" t="str">
            <v>EL</v>
          </cell>
          <cell r="I12" t="str">
            <v>Elevators</v>
          </cell>
        </row>
        <row r="13">
          <cell r="E13" t="str">
            <v>UG</v>
          </cell>
          <cell r="F13" t="str">
            <v>Utility Generation System</v>
          </cell>
          <cell r="H13" t="str">
            <v>EN</v>
          </cell>
          <cell r="I13" t="str">
            <v>Envelope</v>
          </cell>
        </row>
        <row r="14">
          <cell r="E14" t="str">
            <v>UT</v>
          </cell>
          <cell r="F14" t="str">
            <v>Utility Transmission System</v>
          </cell>
          <cell r="H14" t="str">
            <v>ES</v>
          </cell>
          <cell r="I14" t="str">
            <v>Escalators</v>
          </cell>
        </row>
        <row r="15">
          <cell r="E15" t="str">
            <v>WH</v>
          </cell>
          <cell r="F15" t="str">
            <v>Water Heating</v>
          </cell>
          <cell r="H15" t="str">
            <v>HE</v>
          </cell>
          <cell r="I15" t="str">
            <v>Handmove and Sideroll System and Equipment</v>
          </cell>
        </row>
        <row r="16">
          <cell r="E16" t="str">
            <v>WB</v>
          </cell>
          <cell r="F16" t="str">
            <v>Whole Bldg/Meter Level</v>
          </cell>
          <cell r="H16" t="str">
            <v>HR</v>
          </cell>
          <cell r="I16" t="str">
            <v>Heat Recovery</v>
          </cell>
        </row>
        <row r="17">
          <cell r="H17" t="str">
            <v>HS</v>
          </cell>
          <cell r="I17" t="str">
            <v>HVAC System</v>
          </cell>
        </row>
        <row r="18">
          <cell r="H18" t="str">
            <v>HC</v>
          </cell>
          <cell r="I18" t="str">
            <v>HVAC System Controls</v>
          </cell>
        </row>
        <row r="19">
          <cell r="H19" t="str">
            <v>HI</v>
          </cell>
          <cell r="I19" t="str">
            <v>HVAC System Improvements</v>
          </cell>
        </row>
        <row r="20">
          <cell r="H20" t="str">
            <v>IN</v>
          </cell>
          <cell r="I20" t="str">
            <v>Insulators</v>
          </cell>
        </row>
        <row r="21">
          <cell r="H21" t="str">
            <v>IS</v>
          </cell>
          <cell r="I21" t="str">
            <v>Irrigation System Improvements</v>
          </cell>
        </row>
        <row r="22">
          <cell r="H22" t="str">
            <v>LB</v>
          </cell>
          <cell r="I22" t="str">
            <v>Lamps/Ballasts/Fixtures</v>
          </cell>
        </row>
        <row r="23">
          <cell r="H23" t="str">
            <v>LC</v>
          </cell>
          <cell r="I23" t="str">
            <v>Lighting Controls</v>
          </cell>
        </row>
        <row r="24">
          <cell r="H24" t="str">
            <v>MS</v>
          </cell>
          <cell r="I24" t="str">
            <v>Mainline System and Equipment</v>
          </cell>
        </row>
        <row r="25">
          <cell r="H25" t="str">
            <v>MO</v>
          </cell>
          <cell r="I25" t="str">
            <v>Motors</v>
          </cell>
        </row>
        <row r="26">
          <cell r="H26" t="str">
            <v>MC</v>
          </cell>
          <cell r="I26" t="str">
            <v>Motors/Drives Controls</v>
          </cell>
        </row>
        <row r="27">
          <cell r="H27" t="str">
            <v>OP</v>
          </cell>
          <cell r="I27" t="str">
            <v>Operation</v>
          </cell>
        </row>
        <row r="28">
          <cell r="H28" t="str">
            <v>PR</v>
          </cell>
          <cell r="I28" t="str">
            <v>Packaged Refrigeration</v>
          </cell>
        </row>
        <row r="29">
          <cell r="H29" t="str">
            <v>PI</v>
          </cell>
          <cell r="I29" t="str">
            <v>Pipe Insulation</v>
          </cell>
        </row>
        <row r="30">
          <cell r="H30" t="str">
            <v>PS</v>
          </cell>
          <cell r="I30" t="str">
            <v>Pool System Improvements</v>
          </cell>
        </row>
        <row r="31">
          <cell r="H31" t="str">
            <v>PO</v>
          </cell>
          <cell r="I31" t="str">
            <v>Power Factor Improvements</v>
          </cell>
        </row>
        <row r="32">
          <cell r="H32" t="str">
            <v>PC</v>
          </cell>
          <cell r="I32" t="str">
            <v>Process Loads System Controls</v>
          </cell>
        </row>
        <row r="33">
          <cell r="H33" t="str">
            <v>PL</v>
          </cell>
          <cell r="I33" t="str">
            <v>Process Loads System Improvements</v>
          </cell>
        </row>
        <row r="34">
          <cell r="H34" t="str">
            <v>PF</v>
          </cell>
          <cell r="I34" t="str">
            <v>Pumps and Fans</v>
          </cell>
        </row>
        <row r="35">
          <cell r="H35" t="str">
            <v>RC</v>
          </cell>
          <cell r="I35" t="str">
            <v>Refrigeration System Controls</v>
          </cell>
        </row>
        <row r="36">
          <cell r="H36" t="str">
            <v>RI</v>
          </cell>
          <cell r="I36" t="str">
            <v>Refrigeration System Improvements</v>
          </cell>
        </row>
        <row r="37">
          <cell r="H37" t="str">
            <v>SS</v>
          </cell>
          <cell r="I37" t="str">
            <v>Signs and Signals</v>
          </cell>
        </row>
        <row r="38">
          <cell r="H38" t="str">
            <v>SF</v>
          </cell>
          <cell r="I38" t="str">
            <v>Suction Fittings Equipment</v>
          </cell>
        </row>
        <row r="39">
          <cell r="H39" t="str">
            <v>SE</v>
          </cell>
          <cell r="I39" t="str">
            <v>System Efficiency Improvements</v>
          </cell>
        </row>
        <row r="40">
          <cell r="H40" t="str">
            <v>TR</v>
          </cell>
          <cell r="I40" t="str">
            <v>Transformers</v>
          </cell>
        </row>
        <row r="41">
          <cell r="H41" t="str">
            <v>US</v>
          </cell>
          <cell r="I41" t="str">
            <v>Utility Station Service Loads</v>
          </cell>
        </row>
        <row r="42">
          <cell r="H42" t="str">
            <v>VM</v>
          </cell>
          <cell r="I42" t="str">
            <v>Voltage Management</v>
          </cell>
        </row>
        <row r="43">
          <cell r="H43" t="str">
            <v>WS</v>
          </cell>
          <cell r="I43" t="str">
            <v>Wastewater System Improvements</v>
          </cell>
        </row>
        <row r="44">
          <cell r="H44" t="str">
            <v>WH</v>
          </cell>
          <cell r="I44" t="str">
            <v>Water Heaters</v>
          </cell>
        </row>
        <row r="45">
          <cell r="H45" t="str">
            <v>WC</v>
          </cell>
          <cell r="I45" t="str">
            <v>Water Heating Controls</v>
          </cell>
        </row>
        <row r="46">
          <cell r="H46" t="str">
            <v>WB</v>
          </cell>
          <cell r="I46" t="str">
            <v>Whole Bldg/Meter Level System Improvements</v>
          </cell>
        </row>
        <row r="47">
          <cell r="H47" t="str">
            <v>HA</v>
          </cell>
          <cell r="I47" t="str">
            <v>Hardware</v>
          </cell>
        </row>
        <row r="48">
          <cell r="H48" t="str">
            <v>WM</v>
          </cell>
          <cell r="I48" t="str">
            <v>Water Management</v>
          </cell>
        </row>
        <row r="49">
          <cell r="H49" t="str">
            <v>LT</v>
          </cell>
          <cell r="I49" t="str">
            <v>Livestock Tanks</v>
          </cell>
        </row>
        <row r="50">
          <cell r="H50" t="str">
            <v>PL</v>
          </cell>
          <cell r="I50" t="str">
            <v>Plug Load</v>
          </cell>
        </row>
        <row r="51">
          <cell r="H51" t="str">
            <v>WU</v>
          </cell>
          <cell r="I51" t="str">
            <v>Water Using Devices</v>
          </cell>
        </row>
        <row r="52">
          <cell r="H52" t="str">
            <v>LF</v>
          </cell>
          <cell r="I52" t="str">
            <v>Lamps/Fixtures</v>
          </cell>
        </row>
        <row r="53">
          <cell r="H53" t="str">
            <v>FR</v>
          </cell>
          <cell r="I53" t="str">
            <v>Freezers</v>
          </cell>
        </row>
        <row r="54">
          <cell r="H54" t="str">
            <v>RE</v>
          </cell>
          <cell r="I54" t="str">
            <v>Refrigerators</v>
          </cell>
        </row>
        <row r="55">
          <cell r="H55" t="str">
            <v>HO</v>
          </cell>
          <cell r="I55" t="str">
            <v>Homes</v>
          </cell>
        </row>
        <row r="56">
          <cell r="H56" t="str">
            <v>ET</v>
          </cell>
          <cell r="I56" t="str">
            <v>Entertainment</v>
          </cell>
        </row>
      </sheetData>
      <sheetData sheetId="5" refreshError="1"/>
      <sheetData sheetId="6" refreshError="1"/>
      <sheetData sheetId="7"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Interactions"/>
      <sheetName val="Yeild"/>
      <sheetName val="Notes"/>
      <sheetName val="InteractionsBldgType01082004-7P"/>
    </sheetNames>
    <definedNames>
      <definedName name="LSYield" refersTo="='Yeild'!$E$8:$S$74"/>
    </definedNames>
    <sheetDataSet>
      <sheetData sheetId="0"/>
      <sheetData sheetId="1">
        <row r="8">
          <cell r="E8" t="str">
            <v>Other</v>
          </cell>
          <cell r="F8">
            <v>0.82000000000000006</v>
          </cell>
          <cell r="G8">
            <v>0.91</v>
          </cell>
          <cell r="H8">
            <v>0.98319999999999996</v>
          </cell>
          <cell r="I8">
            <v>-8.1887999999999996E-3</v>
          </cell>
          <cell r="J8">
            <v>1.1100000000000001</v>
          </cell>
          <cell r="K8">
            <v>0.93000000000000016</v>
          </cell>
          <cell r="L8">
            <v>1.02</v>
          </cell>
          <cell r="M8">
            <v>1.0931999999999999</v>
          </cell>
          <cell r="N8">
            <v>-8.1887999999999996E-3</v>
          </cell>
          <cell r="O8">
            <v>4000</v>
          </cell>
          <cell r="P8">
            <v>0.9</v>
          </cell>
        </row>
        <row r="9">
          <cell r="E9">
            <v>0</v>
          </cell>
          <cell r="F9">
            <v>0.82000000000000006</v>
          </cell>
          <cell r="G9">
            <v>0.91</v>
          </cell>
          <cell r="H9">
            <v>0.98319999999999996</v>
          </cell>
          <cell r="I9">
            <v>-8.1887999999999996E-3</v>
          </cell>
          <cell r="J9">
            <v>1.1100000000000001</v>
          </cell>
          <cell r="K9">
            <v>0.93000000000000016</v>
          </cell>
          <cell r="L9">
            <v>1.02</v>
          </cell>
          <cell r="M9">
            <v>1.0931999999999999</v>
          </cell>
          <cell r="N9">
            <v>-8.1887999999999996E-3</v>
          </cell>
          <cell r="O9">
            <v>1800</v>
          </cell>
          <cell r="P9">
            <v>0.9</v>
          </cell>
        </row>
        <row r="10">
          <cell r="E10">
            <v>0</v>
          </cell>
          <cell r="F10">
            <v>0.58000000000000007</v>
          </cell>
          <cell r="G10">
            <v>0.79</v>
          </cell>
          <cell r="H10">
            <v>0.96079999999999999</v>
          </cell>
          <cell r="I10">
            <v>-1.9107199999999998E-2</v>
          </cell>
          <cell r="J10">
            <v>1.19</v>
          </cell>
          <cell r="K10">
            <v>0.77</v>
          </cell>
          <cell r="L10">
            <v>0.98</v>
          </cell>
          <cell r="M10">
            <v>1.1507999999999998</v>
          </cell>
          <cell r="N10">
            <v>-1.9107199999999998E-2</v>
          </cell>
          <cell r="O10">
            <v>8760</v>
          </cell>
          <cell r="P10">
            <v>0.9</v>
          </cell>
        </row>
        <row r="11">
          <cell r="E11" t="str">
            <v>Assembly</v>
          </cell>
          <cell r="F11">
            <v>0.82000000000000006</v>
          </cell>
          <cell r="G11">
            <v>0.91</v>
          </cell>
          <cell r="H11">
            <v>0.98319999999999996</v>
          </cell>
          <cell r="I11">
            <v>-8.1887999999999996E-3</v>
          </cell>
          <cell r="J11">
            <v>1.1100000000000001</v>
          </cell>
          <cell r="K11">
            <v>0.93000000000000016</v>
          </cell>
          <cell r="L11">
            <v>1.02</v>
          </cell>
          <cell r="M11">
            <v>1.0931999999999999</v>
          </cell>
          <cell r="N11">
            <v>-8.1887999999999996E-3</v>
          </cell>
          <cell r="O11">
            <v>3000</v>
          </cell>
          <cell r="P11">
            <v>0.9</v>
          </cell>
        </row>
        <row r="12">
          <cell r="E12">
            <v>0</v>
          </cell>
          <cell r="F12">
            <v>0.58000000000000007</v>
          </cell>
          <cell r="G12">
            <v>0.79</v>
          </cell>
          <cell r="H12">
            <v>0.96079999999999999</v>
          </cell>
          <cell r="I12">
            <v>-1.9107199999999998E-2</v>
          </cell>
          <cell r="J12">
            <v>1.19</v>
          </cell>
          <cell r="K12">
            <v>0.77</v>
          </cell>
          <cell r="L12">
            <v>0.98</v>
          </cell>
          <cell r="M12">
            <v>1.1507999999999998</v>
          </cell>
          <cell r="N12">
            <v>-1.9107199999999998E-2</v>
          </cell>
          <cell r="O12">
            <v>3000</v>
          </cell>
          <cell r="P12">
            <v>0.9</v>
          </cell>
        </row>
        <row r="13">
          <cell r="E13" t="str">
            <v>University</v>
          </cell>
          <cell r="F13">
            <v>0.53</v>
          </cell>
          <cell r="G13">
            <v>0.76500000000000001</v>
          </cell>
          <cell r="H13">
            <v>0.95613333333333328</v>
          </cell>
          <cell r="I13">
            <v>-2.1381866666666666E-2</v>
          </cell>
          <cell r="J13">
            <v>1.19</v>
          </cell>
          <cell r="K13">
            <v>0.72</v>
          </cell>
          <cell r="L13">
            <v>0.95500000000000007</v>
          </cell>
          <cell r="M13">
            <v>1.1461333333333332</v>
          </cell>
          <cell r="N13">
            <v>-2.1381866666666666E-2</v>
          </cell>
          <cell r="O13">
            <v>3000</v>
          </cell>
          <cell r="P13">
            <v>0.9</v>
          </cell>
        </row>
        <row r="14">
          <cell r="E14">
            <v>0</v>
          </cell>
          <cell r="F14">
            <v>0.27</v>
          </cell>
          <cell r="G14">
            <v>0.63500000000000001</v>
          </cell>
          <cell r="H14">
            <v>0.93186666666666662</v>
          </cell>
          <cell r="I14">
            <v>-3.3210133333333336E-2</v>
          </cell>
          <cell r="J14">
            <v>1.05</v>
          </cell>
          <cell r="K14">
            <v>0.32000000000000006</v>
          </cell>
          <cell r="L14">
            <v>0.68500000000000005</v>
          </cell>
          <cell r="M14">
            <v>0.98186666666666667</v>
          </cell>
          <cell r="N14">
            <v>-3.3210133333333336E-2</v>
          </cell>
          <cell r="O14">
            <v>2800</v>
          </cell>
          <cell r="P14">
            <v>0.9</v>
          </cell>
        </row>
        <row r="15">
          <cell r="E15" t="str">
            <v>School K-12</v>
          </cell>
          <cell r="F15">
            <v>0.52</v>
          </cell>
          <cell r="G15">
            <v>0.76</v>
          </cell>
          <cell r="H15">
            <v>0.95520000000000005</v>
          </cell>
          <cell r="I15">
            <v>-2.18368E-2</v>
          </cell>
          <cell r="J15">
            <v>1.1000000000000001</v>
          </cell>
          <cell r="K15">
            <v>0.62000000000000011</v>
          </cell>
          <cell r="L15">
            <v>0.8600000000000001</v>
          </cell>
          <cell r="M15">
            <v>1.0552000000000001</v>
          </cell>
          <cell r="N15">
            <v>-2.18368E-2</v>
          </cell>
          <cell r="O15">
            <v>2400</v>
          </cell>
          <cell r="P15">
            <v>0.9</v>
          </cell>
        </row>
        <row r="16">
          <cell r="E16">
            <v>0</v>
          </cell>
          <cell r="F16">
            <v>0.52</v>
          </cell>
          <cell r="G16">
            <v>0.76</v>
          </cell>
          <cell r="H16">
            <v>0.95520000000000005</v>
          </cell>
          <cell r="I16">
            <v>-2.18368E-2</v>
          </cell>
          <cell r="J16">
            <v>1.1000000000000001</v>
          </cell>
          <cell r="K16">
            <v>0.62000000000000011</v>
          </cell>
          <cell r="L16">
            <v>0.8600000000000001</v>
          </cell>
          <cell r="M16">
            <v>1.0552000000000001</v>
          </cell>
          <cell r="N16">
            <v>-2.18368E-2</v>
          </cell>
          <cell r="O16">
            <v>2400</v>
          </cell>
          <cell r="P16">
            <v>0.9</v>
          </cell>
        </row>
        <row r="17">
          <cell r="E17">
            <v>0</v>
          </cell>
          <cell r="F17">
            <v>0.52</v>
          </cell>
          <cell r="G17">
            <v>0.76</v>
          </cell>
          <cell r="H17">
            <v>0.95520000000000005</v>
          </cell>
          <cell r="I17">
            <v>-2.18368E-2</v>
          </cell>
          <cell r="J17">
            <v>1.1200000000000001</v>
          </cell>
          <cell r="K17">
            <v>0.64000000000000012</v>
          </cell>
          <cell r="L17">
            <v>0.88000000000000012</v>
          </cell>
          <cell r="M17">
            <v>1.0752000000000002</v>
          </cell>
          <cell r="N17">
            <v>-2.18368E-2</v>
          </cell>
          <cell r="O17">
            <v>2400</v>
          </cell>
          <cell r="P17">
            <v>0.9</v>
          </cell>
        </row>
        <row r="18">
          <cell r="E18">
            <v>0</v>
          </cell>
          <cell r="F18">
            <v>0.6</v>
          </cell>
          <cell r="G18">
            <v>0.8</v>
          </cell>
          <cell r="H18">
            <v>0.96266666666666667</v>
          </cell>
          <cell r="I18">
            <v>-1.8197333333333333E-2</v>
          </cell>
          <cell r="J18">
            <v>1.1000000000000001</v>
          </cell>
          <cell r="K18">
            <v>0.70000000000000018</v>
          </cell>
          <cell r="L18">
            <v>0.90000000000000013</v>
          </cell>
          <cell r="M18">
            <v>1.0626666666666669</v>
          </cell>
          <cell r="N18">
            <v>-1.8197333333333333E-2</v>
          </cell>
          <cell r="O18">
            <v>3600</v>
          </cell>
          <cell r="P18">
            <v>0.9</v>
          </cell>
        </row>
        <row r="19">
          <cell r="E19">
            <v>0</v>
          </cell>
          <cell r="F19">
            <v>0.28000000000000003</v>
          </cell>
          <cell r="G19">
            <v>0.64</v>
          </cell>
          <cell r="H19">
            <v>0.93279999999999996</v>
          </cell>
          <cell r="I19">
            <v>-3.2755199999999998E-2</v>
          </cell>
          <cell r="J19">
            <v>1.01</v>
          </cell>
          <cell r="K19">
            <v>0.29000000000000004</v>
          </cell>
          <cell r="L19">
            <v>0.64999999999999991</v>
          </cell>
          <cell r="M19">
            <v>0.94280000000000008</v>
          </cell>
          <cell r="N19">
            <v>-3.2755199999999998E-2</v>
          </cell>
          <cell r="O19">
            <v>5800</v>
          </cell>
          <cell r="P19">
            <v>0.9</v>
          </cell>
        </row>
        <row r="20">
          <cell r="E20" t="str">
            <v>Supermarket</v>
          </cell>
          <cell r="F20">
            <v>0.78</v>
          </cell>
          <cell r="G20">
            <v>0.89</v>
          </cell>
          <cell r="H20">
            <v>0.97946666666666671</v>
          </cell>
          <cell r="I20">
            <v>-1.0008533333333333E-2</v>
          </cell>
          <cell r="J20">
            <v>1.08</v>
          </cell>
          <cell r="K20">
            <v>0.8600000000000001</v>
          </cell>
          <cell r="L20">
            <v>0.9700000000000002</v>
          </cell>
          <cell r="M20">
            <v>1.0594666666666668</v>
          </cell>
          <cell r="N20">
            <v>-1.0008533333333333E-2</v>
          </cell>
          <cell r="O20">
            <v>6500</v>
          </cell>
          <cell r="P20">
            <v>0.9</v>
          </cell>
        </row>
        <row r="21">
          <cell r="E21" t="str">
            <v>MiniMart</v>
          </cell>
          <cell r="F21">
            <v>0.61</v>
          </cell>
          <cell r="G21">
            <v>0.80499999999999994</v>
          </cell>
          <cell r="H21">
            <v>0.96360000000000001</v>
          </cell>
          <cell r="I21">
            <v>-1.7742399999999998E-2</v>
          </cell>
          <cell r="J21">
            <v>1.1400000000000001</v>
          </cell>
          <cell r="K21">
            <v>0.75</v>
          </cell>
          <cell r="L21">
            <v>0.94500000000000006</v>
          </cell>
          <cell r="M21">
            <v>1.1036000000000001</v>
          </cell>
          <cell r="N21">
            <v>-1.7742399999999998E-2</v>
          </cell>
          <cell r="O21">
            <v>6500</v>
          </cell>
          <cell r="P21">
            <v>0.9</v>
          </cell>
        </row>
        <row r="22">
          <cell r="E22">
            <v>0</v>
          </cell>
          <cell r="F22">
            <v>0.28000000000000003</v>
          </cell>
          <cell r="G22">
            <v>0.64</v>
          </cell>
          <cell r="H22">
            <v>0.93279999999999996</v>
          </cell>
          <cell r="I22">
            <v>-3.2755199999999998E-2</v>
          </cell>
          <cell r="J22">
            <v>1.01</v>
          </cell>
          <cell r="K22">
            <v>0.29000000000000004</v>
          </cell>
          <cell r="L22">
            <v>0.64999999999999991</v>
          </cell>
          <cell r="M22">
            <v>0.94280000000000008</v>
          </cell>
          <cell r="N22">
            <v>-3.2755199999999998E-2</v>
          </cell>
          <cell r="O22">
            <v>5800</v>
          </cell>
          <cell r="P22">
            <v>0.9</v>
          </cell>
        </row>
        <row r="23">
          <cell r="E23" t="str">
            <v>Hospital</v>
          </cell>
          <cell r="F23">
            <v>0.28000000000000003</v>
          </cell>
          <cell r="G23">
            <v>0.64</v>
          </cell>
          <cell r="H23">
            <v>0.93279999999999996</v>
          </cell>
          <cell r="I23">
            <v>-3.2755199999999998E-2</v>
          </cell>
          <cell r="J23">
            <v>1.01</v>
          </cell>
          <cell r="K23">
            <v>0.29000000000000004</v>
          </cell>
          <cell r="L23">
            <v>0.64999999999999991</v>
          </cell>
          <cell r="M23">
            <v>0.94280000000000008</v>
          </cell>
          <cell r="N23">
            <v>-3.2755199999999998E-2</v>
          </cell>
          <cell r="O23">
            <v>5900</v>
          </cell>
          <cell r="P23">
            <v>0.9</v>
          </cell>
        </row>
        <row r="24">
          <cell r="E24" t="str">
            <v>Residential Care</v>
          </cell>
          <cell r="F24">
            <v>0.6</v>
          </cell>
          <cell r="G24">
            <v>0.8</v>
          </cell>
          <cell r="H24">
            <v>0.96266666666666667</v>
          </cell>
          <cell r="I24">
            <v>-1.8197333333333333E-2</v>
          </cell>
          <cell r="J24">
            <v>1.1000000000000001</v>
          </cell>
          <cell r="K24">
            <v>0.70000000000000018</v>
          </cell>
          <cell r="L24">
            <v>0.90000000000000013</v>
          </cell>
          <cell r="M24">
            <v>1.0626666666666669</v>
          </cell>
          <cell r="N24">
            <v>-1.8197333333333333E-2</v>
          </cell>
          <cell r="O24">
            <v>4400</v>
          </cell>
          <cell r="P24">
            <v>0.9</v>
          </cell>
        </row>
        <row r="25">
          <cell r="E25" t="str">
            <v>Medium Off</v>
          </cell>
          <cell r="F25">
            <v>0.82000000000000006</v>
          </cell>
          <cell r="G25">
            <v>0.91</v>
          </cell>
          <cell r="H25">
            <v>0.98319999999999996</v>
          </cell>
          <cell r="I25">
            <v>-8.1887999999999996E-3</v>
          </cell>
          <cell r="J25">
            <v>1.1100000000000001</v>
          </cell>
          <cell r="K25">
            <v>0.93000000000000016</v>
          </cell>
          <cell r="L25">
            <v>1.02</v>
          </cell>
          <cell r="M25">
            <v>1.0931999999999999</v>
          </cell>
          <cell r="N25">
            <v>-8.1887999999999996E-3</v>
          </cell>
          <cell r="O25">
            <v>3600</v>
          </cell>
          <cell r="P25">
            <v>0.9</v>
          </cell>
        </row>
        <row r="26">
          <cell r="E26" t="str">
            <v>OtherHealth</v>
          </cell>
          <cell r="F26">
            <v>0.82000000000000006</v>
          </cell>
          <cell r="G26">
            <v>0.91</v>
          </cell>
          <cell r="H26">
            <v>0.98319999999999996</v>
          </cell>
          <cell r="I26">
            <v>-8.1887999999999996E-3</v>
          </cell>
          <cell r="J26">
            <v>1.1100000000000001</v>
          </cell>
          <cell r="K26">
            <v>0.93000000000000016</v>
          </cell>
          <cell r="L26">
            <v>1.02</v>
          </cell>
          <cell r="M26">
            <v>1.0931999999999999</v>
          </cell>
          <cell r="N26">
            <v>-8.1887999999999996E-3</v>
          </cell>
          <cell r="O26">
            <v>3600</v>
          </cell>
          <cell r="P26">
            <v>0.9</v>
          </cell>
        </row>
        <row r="27">
          <cell r="E27">
            <v>0</v>
          </cell>
          <cell r="F27">
            <v>0.82000000000000006</v>
          </cell>
          <cell r="G27">
            <v>0.91</v>
          </cell>
          <cell r="H27">
            <v>0.98319999999999996</v>
          </cell>
          <cell r="I27">
            <v>-8.1887999999999996E-3</v>
          </cell>
          <cell r="J27">
            <v>1.1100000000000001</v>
          </cell>
          <cell r="K27">
            <v>0.93000000000000016</v>
          </cell>
          <cell r="L27">
            <v>1.02</v>
          </cell>
          <cell r="M27">
            <v>1.0931999999999999</v>
          </cell>
          <cell r="N27">
            <v>-8.1887999999999996E-3</v>
          </cell>
          <cell r="O27">
            <v>3400</v>
          </cell>
          <cell r="P27">
            <v>0.9</v>
          </cell>
        </row>
        <row r="28">
          <cell r="E28">
            <v>0</v>
          </cell>
          <cell r="F28">
            <v>0.28000000000000003</v>
          </cell>
          <cell r="G28">
            <v>0.64</v>
          </cell>
          <cell r="H28">
            <v>0.93279999999999996</v>
          </cell>
          <cell r="I28">
            <v>-3.2755199999999998E-2</v>
          </cell>
          <cell r="J28">
            <v>1.01</v>
          </cell>
          <cell r="K28">
            <v>0.29000000000000004</v>
          </cell>
          <cell r="L28">
            <v>0.64999999999999991</v>
          </cell>
          <cell r="M28">
            <v>0.94280000000000008</v>
          </cell>
          <cell r="N28">
            <v>-3.2755199999999998E-2</v>
          </cell>
          <cell r="O28">
            <v>5800</v>
          </cell>
          <cell r="P28">
            <v>0.9</v>
          </cell>
        </row>
        <row r="29">
          <cell r="E29">
            <v>0</v>
          </cell>
          <cell r="F29">
            <v>0.6</v>
          </cell>
          <cell r="G29">
            <v>0.8</v>
          </cell>
          <cell r="H29">
            <v>0.96266666666666667</v>
          </cell>
          <cell r="I29">
            <v>-1.8197333333333333E-2</v>
          </cell>
          <cell r="J29">
            <v>1.1000000000000001</v>
          </cell>
          <cell r="K29">
            <v>0.70000000000000018</v>
          </cell>
          <cell r="L29">
            <v>0.90000000000000013</v>
          </cell>
          <cell r="M29">
            <v>1.0626666666666669</v>
          </cell>
          <cell r="N29">
            <v>-1.8197333333333333E-2</v>
          </cell>
          <cell r="O29">
            <v>3600</v>
          </cell>
          <cell r="P29">
            <v>0.9</v>
          </cell>
        </row>
        <row r="30">
          <cell r="E30">
            <v>0</v>
          </cell>
          <cell r="F30">
            <v>0.6</v>
          </cell>
          <cell r="G30">
            <v>0.8</v>
          </cell>
          <cell r="H30">
            <v>0.96266666666666667</v>
          </cell>
          <cell r="I30">
            <v>-1.8197333333333333E-2</v>
          </cell>
          <cell r="J30">
            <v>1.1000000000000001</v>
          </cell>
          <cell r="K30">
            <v>0.70000000000000018</v>
          </cell>
          <cell r="L30">
            <v>0.90000000000000013</v>
          </cell>
          <cell r="M30">
            <v>1.0626666666666669</v>
          </cell>
          <cell r="N30">
            <v>-1.8197333333333333E-2</v>
          </cell>
          <cell r="O30">
            <v>5800</v>
          </cell>
          <cell r="P30">
            <v>0.9</v>
          </cell>
        </row>
        <row r="31">
          <cell r="E31">
            <v>0</v>
          </cell>
          <cell r="F31">
            <v>0.61</v>
          </cell>
          <cell r="G31">
            <v>0.80499999999999994</v>
          </cell>
          <cell r="H31">
            <v>0.96360000000000001</v>
          </cell>
          <cell r="I31">
            <v>-1.7742399999999998E-2</v>
          </cell>
          <cell r="J31">
            <v>1.1400000000000001</v>
          </cell>
          <cell r="K31">
            <v>0.75</v>
          </cell>
          <cell r="L31">
            <v>0.94500000000000006</v>
          </cell>
          <cell r="M31">
            <v>1.1036000000000001</v>
          </cell>
          <cell r="N31">
            <v>-1.7742399999999998E-2</v>
          </cell>
          <cell r="O31">
            <v>5800</v>
          </cell>
          <cell r="P31">
            <v>0.9</v>
          </cell>
        </row>
        <row r="32">
          <cell r="E32">
            <v>0</v>
          </cell>
          <cell r="F32">
            <v>0.6</v>
          </cell>
          <cell r="G32">
            <v>0.8</v>
          </cell>
          <cell r="H32">
            <v>0.96266666666666667</v>
          </cell>
          <cell r="I32">
            <v>-1.8197333333333333E-2</v>
          </cell>
          <cell r="J32">
            <v>1.1000000000000001</v>
          </cell>
          <cell r="K32">
            <v>0.70000000000000018</v>
          </cell>
          <cell r="L32">
            <v>0.90000000000000013</v>
          </cell>
          <cell r="M32">
            <v>1.0626666666666669</v>
          </cell>
          <cell r="N32">
            <v>-1.8197333333333333E-2</v>
          </cell>
          <cell r="O32">
            <v>5800</v>
          </cell>
          <cell r="P32">
            <v>0.9</v>
          </cell>
        </row>
        <row r="33">
          <cell r="E33">
            <v>0</v>
          </cell>
          <cell r="F33">
            <v>0.6</v>
          </cell>
          <cell r="G33">
            <v>0.8</v>
          </cell>
          <cell r="H33">
            <v>0.96266666666666667</v>
          </cell>
          <cell r="I33">
            <v>-1.8197333333333333E-2</v>
          </cell>
          <cell r="J33">
            <v>1.1000000000000001</v>
          </cell>
          <cell r="K33">
            <v>0.70000000000000018</v>
          </cell>
          <cell r="L33">
            <v>0.90000000000000013</v>
          </cell>
          <cell r="M33">
            <v>1.0626666666666669</v>
          </cell>
          <cell r="N33">
            <v>-1.8197333333333333E-2</v>
          </cell>
          <cell r="O33">
            <v>5800</v>
          </cell>
          <cell r="P33">
            <v>0.9</v>
          </cell>
        </row>
        <row r="34">
          <cell r="E34">
            <v>0</v>
          </cell>
          <cell r="F34">
            <v>0.6</v>
          </cell>
          <cell r="G34">
            <v>0.8</v>
          </cell>
          <cell r="H34">
            <v>0.96266666666666667</v>
          </cell>
          <cell r="I34">
            <v>-1.8197333333333333E-2</v>
          </cell>
          <cell r="J34">
            <v>1.1000000000000001</v>
          </cell>
          <cell r="K34">
            <v>0.70000000000000018</v>
          </cell>
          <cell r="L34">
            <v>0.90000000000000013</v>
          </cell>
          <cell r="M34">
            <v>1.0626666666666669</v>
          </cell>
          <cell r="N34">
            <v>-1.8197333333333333E-2</v>
          </cell>
          <cell r="O34">
            <v>3600</v>
          </cell>
          <cell r="P34">
            <v>0.9</v>
          </cell>
        </row>
        <row r="35">
          <cell r="E35">
            <v>0</v>
          </cell>
          <cell r="F35">
            <v>0.6</v>
          </cell>
          <cell r="G35">
            <v>0.8</v>
          </cell>
          <cell r="H35">
            <v>0.96266666666666667</v>
          </cell>
          <cell r="I35">
            <v>-1.8197333333333333E-2</v>
          </cell>
          <cell r="J35">
            <v>1.1000000000000001</v>
          </cell>
          <cell r="K35">
            <v>0.70000000000000018</v>
          </cell>
          <cell r="L35">
            <v>0.90000000000000013</v>
          </cell>
          <cell r="M35">
            <v>1.0626666666666669</v>
          </cell>
          <cell r="N35">
            <v>-1.8197333333333333E-2</v>
          </cell>
          <cell r="O35">
            <v>3600</v>
          </cell>
          <cell r="P35">
            <v>0.9</v>
          </cell>
        </row>
        <row r="36">
          <cell r="E36" t="str">
            <v>Lodging</v>
          </cell>
          <cell r="F36">
            <v>0.6</v>
          </cell>
          <cell r="G36">
            <v>0.8</v>
          </cell>
          <cell r="H36">
            <v>0.96266666666666667</v>
          </cell>
          <cell r="I36">
            <v>-1.8197333333333333E-2</v>
          </cell>
          <cell r="J36">
            <v>1.1000000000000001</v>
          </cell>
          <cell r="K36">
            <v>0.70000000000000018</v>
          </cell>
          <cell r="L36">
            <v>0.90000000000000013</v>
          </cell>
          <cell r="M36">
            <v>1.0626666666666669</v>
          </cell>
          <cell r="N36">
            <v>-1.8197333333333333E-2</v>
          </cell>
          <cell r="O36">
            <v>3600</v>
          </cell>
          <cell r="P36">
            <v>0.9</v>
          </cell>
        </row>
        <row r="37">
          <cell r="E37">
            <v>0</v>
          </cell>
          <cell r="F37">
            <v>0.6</v>
          </cell>
          <cell r="G37">
            <v>0.8</v>
          </cell>
          <cell r="H37">
            <v>0.96266666666666667</v>
          </cell>
          <cell r="I37">
            <v>-1.8197333333333333E-2</v>
          </cell>
          <cell r="J37">
            <v>1.1000000000000001</v>
          </cell>
          <cell r="K37">
            <v>0.70000000000000018</v>
          </cell>
          <cell r="L37">
            <v>0.90000000000000013</v>
          </cell>
          <cell r="M37">
            <v>1.0626666666666669</v>
          </cell>
          <cell r="N37">
            <v>-1.8197333333333333E-2</v>
          </cell>
          <cell r="O37">
            <v>3600</v>
          </cell>
          <cell r="P37">
            <v>0.9</v>
          </cell>
        </row>
        <row r="38">
          <cell r="E38" t="str">
            <v>Large Off</v>
          </cell>
          <cell r="F38">
            <v>0.82000000000000006</v>
          </cell>
          <cell r="G38">
            <v>0.91</v>
          </cell>
          <cell r="H38">
            <v>0.98319999999999996</v>
          </cell>
          <cell r="I38">
            <v>-8.1887999999999996E-3</v>
          </cell>
          <cell r="J38">
            <v>1.1100000000000001</v>
          </cell>
          <cell r="K38">
            <v>0.93000000000000016</v>
          </cell>
          <cell r="L38">
            <v>1.02</v>
          </cell>
          <cell r="M38">
            <v>1.0931999999999999</v>
          </cell>
          <cell r="N38">
            <v>-8.1887999999999996E-3</v>
          </cell>
          <cell r="O38">
            <v>4200</v>
          </cell>
          <cell r="P38">
            <v>0.9</v>
          </cell>
        </row>
        <row r="39">
          <cell r="E39">
            <v>0</v>
          </cell>
          <cell r="F39">
            <v>0.87</v>
          </cell>
          <cell r="G39">
            <v>0.93500000000000005</v>
          </cell>
          <cell r="H39">
            <v>0.98786666666666667</v>
          </cell>
          <cell r="I39">
            <v>-5.9141333333333334E-3</v>
          </cell>
          <cell r="J39">
            <v>1.3</v>
          </cell>
          <cell r="K39">
            <v>1.17</v>
          </cell>
          <cell r="L39">
            <v>1.2350000000000003</v>
          </cell>
          <cell r="M39">
            <v>1.2878666666666669</v>
          </cell>
          <cell r="N39">
            <v>-5.9141333333333334E-3</v>
          </cell>
          <cell r="O39">
            <v>3900</v>
          </cell>
          <cell r="P39">
            <v>0.9</v>
          </cell>
        </row>
        <row r="40">
          <cell r="E40" t="str">
            <v>Small Off</v>
          </cell>
          <cell r="F40">
            <v>0.53</v>
          </cell>
          <cell r="G40">
            <v>0.76500000000000001</v>
          </cell>
          <cell r="H40">
            <v>0.95613333333333328</v>
          </cell>
          <cell r="I40">
            <v>-2.1381866666666666E-2</v>
          </cell>
          <cell r="J40">
            <v>1.19</v>
          </cell>
          <cell r="K40">
            <v>0.72</v>
          </cell>
          <cell r="L40">
            <v>0.95500000000000007</v>
          </cell>
          <cell r="M40">
            <v>1.1461333333333332</v>
          </cell>
          <cell r="N40">
            <v>-2.1381866666666666E-2</v>
          </cell>
          <cell r="O40">
            <v>3000</v>
          </cell>
          <cell r="P40">
            <v>0.9</v>
          </cell>
        </row>
        <row r="41">
          <cell r="E41">
            <v>0</v>
          </cell>
          <cell r="F41">
            <v>0.87</v>
          </cell>
          <cell r="G41">
            <v>0.93500000000000005</v>
          </cell>
          <cell r="H41">
            <v>0.98786666666666667</v>
          </cell>
          <cell r="I41">
            <v>-5.9141333333333334E-3</v>
          </cell>
          <cell r="J41">
            <v>1.1400000000000001</v>
          </cell>
          <cell r="K41">
            <v>1.0100000000000002</v>
          </cell>
          <cell r="L41">
            <v>1.0750000000000002</v>
          </cell>
          <cell r="M41">
            <v>1.1278666666666668</v>
          </cell>
          <cell r="N41">
            <v>-5.9141333333333334E-3</v>
          </cell>
          <cell r="O41">
            <v>8760</v>
          </cell>
          <cell r="P41">
            <v>0.7</v>
          </cell>
        </row>
        <row r="42">
          <cell r="E42">
            <v>0</v>
          </cell>
          <cell r="F42">
            <v>0.87</v>
          </cell>
          <cell r="G42">
            <v>0.93500000000000005</v>
          </cell>
          <cell r="H42">
            <v>0.98786666666666667</v>
          </cell>
          <cell r="I42">
            <v>-5.9141333333333334E-3</v>
          </cell>
          <cell r="J42">
            <v>1.1400000000000001</v>
          </cell>
          <cell r="K42">
            <v>1.0100000000000002</v>
          </cell>
          <cell r="L42">
            <v>1.0750000000000002</v>
          </cell>
          <cell r="M42">
            <v>1.1278666666666668</v>
          </cell>
          <cell r="N42">
            <v>-5.9141333333333334E-3</v>
          </cell>
          <cell r="O42">
            <v>8760</v>
          </cell>
          <cell r="P42">
            <v>0.7</v>
          </cell>
        </row>
        <row r="43">
          <cell r="E43">
            <v>0</v>
          </cell>
          <cell r="F43">
            <v>0.87</v>
          </cell>
          <cell r="G43">
            <v>0.93500000000000005</v>
          </cell>
          <cell r="H43">
            <v>0.98786666666666667</v>
          </cell>
          <cell r="I43">
            <v>-5.9141333333333334E-3</v>
          </cell>
          <cell r="J43">
            <v>1.1400000000000001</v>
          </cell>
          <cell r="K43">
            <v>1.0100000000000002</v>
          </cell>
          <cell r="L43">
            <v>1.0750000000000002</v>
          </cell>
          <cell r="M43">
            <v>1.1278666666666668</v>
          </cell>
          <cell r="N43">
            <v>-5.9141333333333334E-3</v>
          </cell>
          <cell r="O43">
            <v>8760</v>
          </cell>
          <cell r="P43">
            <v>0.7</v>
          </cell>
        </row>
        <row r="44">
          <cell r="E44">
            <v>0</v>
          </cell>
          <cell r="F44">
            <v>0.61</v>
          </cell>
          <cell r="G44">
            <v>0.80499999999999994</v>
          </cell>
          <cell r="H44">
            <v>0.96360000000000001</v>
          </cell>
          <cell r="I44">
            <v>-1.7742399999999998E-2</v>
          </cell>
          <cell r="J44">
            <v>1</v>
          </cell>
          <cell r="K44">
            <v>0.60999999999999988</v>
          </cell>
          <cell r="L44">
            <v>0.80499999999999994</v>
          </cell>
          <cell r="M44">
            <v>0.96360000000000001</v>
          </cell>
          <cell r="N44">
            <v>-1.7742399999999998E-2</v>
          </cell>
          <cell r="O44">
            <v>3900</v>
          </cell>
          <cell r="P44">
            <v>0.9</v>
          </cell>
        </row>
        <row r="45">
          <cell r="E45">
            <v>0</v>
          </cell>
          <cell r="F45">
            <v>1</v>
          </cell>
          <cell r="G45">
            <v>1</v>
          </cell>
          <cell r="H45">
            <v>1</v>
          </cell>
          <cell r="I45">
            <v>0</v>
          </cell>
          <cell r="J45">
            <v>1.1200000000000001</v>
          </cell>
          <cell r="K45">
            <v>1.1200000000000001</v>
          </cell>
          <cell r="L45">
            <v>1.1200000000000001</v>
          </cell>
          <cell r="M45">
            <v>1.1200000000000001</v>
          </cell>
          <cell r="N45">
            <v>0</v>
          </cell>
          <cell r="O45">
            <v>3500</v>
          </cell>
          <cell r="P45">
            <v>0.9</v>
          </cell>
        </row>
        <row r="46">
          <cell r="E46">
            <v>0</v>
          </cell>
          <cell r="F46">
            <v>1</v>
          </cell>
          <cell r="G46">
            <v>1</v>
          </cell>
          <cell r="H46">
            <v>1</v>
          </cell>
          <cell r="I46">
            <v>0</v>
          </cell>
          <cell r="J46">
            <v>1</v>
          </cell>
          <cell r="K46">
            <v>1</v>
          </cell>
          <cell r="L46">
            <v>1</v>
          </cell>
          <cell r="M46">
            <v>1</v>
          </cell>
          <cell r="N46">
            <v>0</v>
          </cell>
          <cell r="O46">
            <v>3000</v>
          </cell>
          <cell r="P46">
            <v>0.9</v>
          </cell>
        </row>
        <row r="47">
          <cell r="E47">
            <v>0</v>
          </cell>
          <cell r="F47">
            <v>1</v>
          </cell>
          <cell r="G47">
            <v>1</v>
          </cell>
          <cell r="H47">
            <v>1</v>
          </cell>
          <cell r="I47">
            <v>0</v>
          </cell>
          <cell r="J47">
            <v>1</v>
          </cell>
          <cell r="K47">
            <v>1</v>
          </cell>
          <cell r="L47">
            <v>1</v>
          </cell>
          <cell r="M47">
            <v>1</v>
          </cell>
          <cell r="N47">
            <v>0</v>
          </cell>
          <cell r="O47">
            <v>3500</v>
          </cell>
          <cell r="P47">
            <v>0.9</v>
          </cell>
        </row>
        <row r="48">
          <cell r="E48">
            <v>0</v>
          </cell>
          <cell r="F48">
            <v>1</v>
          </cell>
          <cell r="G48">
            <v>1</v>
          </cell>
          <cell r="H48">
            <v>1</v>
          </cell>
          <cell r="I48">
            <v>0</v>
          </cell>
          <cell r="J48">
            <v>1.1200000000000001</v>
          </cell>
          <cell r="K48">
            <v>1.1200000000000001</v>
          </cell>
          <cell r="L48">
            <v>1.1200000000000001</v>
          </cell>
          <cell r="M48">
            <v>1.1200000000000001</v>
          </cell>
          <cell r="N48">
            <v>0</v>
          </cell>
          <cell r="O48">
            <v>3500</v>
          </cell>
          <cell r="P48">
            <v>0.9</v>
          </cell>
        </row>
        <row r="49">
          <cell r="E49">
            <v>0</v>
          </cell>
          <cell r="F49">
            <v>0.6</v>
          </cell>
          <cell r="G49">
            <v>0.8</v>
          </cell>
          <cell r="H49">
            <v>0.96266666666666667</v>
          </cell>
          <cell r="I49">
            <v>-1.8197333333333333E-2</v>
          </cell>
          <cell r="J49">
            <v>1.1200000000000001</v>
          </cell>
          <cell r="K49">
            <v>0.7200000000000002</v>
          </cell>
          <cell r="L49">
            <v>0.92000000000000015</v>
          </cell>
          <cell r="M49">
            <v>1.0826666666666669</v>
          </cell>
          <cell r="N49">
            <v>-1.8197333333333333E-2</v>
          </cell>
          <cell r="O49">
            <v>3500</v>
          </cell>
          <cell r="P49">
            <v>0.9</v>
          </cell>
        </row>
        <row r="50">
          <cell r="E50">
            <v>0</v>
          </cell>
          <cell r="F50">
            <v>1</v>
          </cell>
          <cell r="G50">
            <v>1</v>
          </cell>
          <cell r="H50">
            <v>1</v>
          </cell>
          <cell r="I50">
            <v>0</v>
          </cell>
          <cell r="J50">
            <v>1</v>
          </cell>
          <cell r="K50">
            <v>1</v>
          </cell>
          <cell r="L50">
            <v>1</v>
          </cell>
          <cell r="M50">
            <v>1</v>
          </cell>
          <cell r="N50">
            <v>0</v>
          </cell>
          <cell r="O50">
            <v>8760</v>
          </cell>
          <cell r="P50">
            <v>0.7</v>
          </cell>
        </row>
        <row r="51">
          <cell r="E51">
            <v>0</v>
          </cell>
          <cell r="F51">
            <v>0.61</v>
          </cell>
          <cell r="G51">
            <v>0.80499999999999994</v>
          </cell>
          <cell r="H51">
            <v>0.96360000000000001</v>
          </cell>
          <cell r="I51">
            <v>-1.7742399999999998E-2</v>
          </cell>
          <cell r="J51">
            <v>1</v>
          </cell>
          <cell r="K51">
            <v>0.60999999999999988</v>
          </cell>
          <cell r="L51">
            <v>0.80499999999999994</v>
          </cell>
          <cell r="M51">
            <v>0.96360000000000001</v>
          </cell>
          <cell r="N51">
            <v>-1.7742399999999998E-2</v>
          </cell>
          <cell r="O51">
            <v>3000</v>
          </cell>
          <cell r="P51">
            <v>0.9</v>
          </cell>
        </row>
        <row r="52">
          <cell r="E52">
            <v>0</v>
          </cell>
          <cell r="F52">
            <v>0.61</v>
          </cell>
          <cell r="G52">
            <v>0.80499999999999994</v>
          </cell>
          <cell r="H52">
            <v>0.96360000000000001</v>
          </cell>
          <cell r="I52">
            <v>-1.7742399999999998E-2</v>
          </cell>
          <cell r="J52">
            <v>1</v>
          </cell>
          <cell r="K52">
            <v>0.60999999999999988</v>
          </cell>
          <cell r="L52">
            <v>0.80499999999999994</v>
          </cell>
          <cell r="M52">
            <v>0.96360000000000001</v>
          </cell>
          <cell r="N52">
            <v>-1.7742399999999998E-2</v>
          </cell>
          <cell r="O52">
            <v>3500</v>
          </cell>
          <cell r="P52">
            <v>0.9</v>
          </cell>
        </row>
        <row r="53">
          <cell r="E53">
            <v>0</v>
          </cell>
          <cell r="F53">
            <v>1</v>
          </cell>
          <cell r="G53">
            <v>1</v>
          </cell>
          <cell r="H53">
            <v>1</v>
          </cell>
          <cell r="I53">
            <v>0</v>
          </cell>
          <cell r="J53">
            <v>1</v>
          </cell>
          <cell r="K53">
            <v>1</v>
          </cell>
          <cell r="L53">
            <v>1</v>
          </cell>
          <cell r="M53">
            <v>1</v>
          </cell>
          <cell r="N53">
            <v>0</v>
          </cell>
          <cell r="O53">
            <v>4500</v>
          </cell>
          <cell r="P53">
            <v>1</v>
          </cell>
        </row>
        <row r="54">
          <cell r="E54" t="str">
            <v>Restaurant</v>
          </cell>
          <cell r="F54">
            <v>0.41000000000000003</v>
          </cell>
          <cell r="G54">
            <v>0.70500000000000007</v>
          </cell>
          <cell r="H54">
            <v>0.94493333333333329</v>
          </cell>
          <cell r="I54">
            <v>-2.6841066666666667E-2</v>
          </cell>
          <cell r="J54">
            <v>1.02</v>
          </cell>
          <cell r="K54">
            <v>0.43000000000000016</v>
          </cell>
          <cell r="L54">
            <v>0.72500000000000009</v>
          </cell>
          <cell r="M54">
            <v>0.9649333333333332</v>
          </cell>
          <cell r="N54">
            <v>-2.6841066666666667E-2</v>
          </cell>
          <cell r="O54">
            <v>5000</v>
          </cell>
          <cell r="P54">
            <v>0.9</v>
          </cell>
        </row>
        <row r="55">
          <cell r="E55">
            <v>0</v>
          </cell>
          <cell r="F55">
            <v>0.41000000000000003</v>
          </cell>
          <cell r="G55">
            <v>0.70500000000000007</v>
          </cell>
          <cell r="H55">
            <v>0.94493333333333329</v>
          </cell>
          <cell r="I55">
            <v>-2.6841066666666667E-2</v>
          </cell>
          <cell r="J55">
            <v>1.02</v>
          </cell>
          <cell r="K55">
            <v>0.43000000000000016</v>
          </cell>
          <cell r="L55">
            <v>0.72500000000000009</v>
          </cell>
          <cell r="M55">
            <v>0.9649333333333332</v>
          </cell>
          <cell r="N55">
            <v>-2.6841066666666667E-2</v>
          </cell>
          <cell r="O55">
            <v>5200</v>
          </cell>
          <cell r="P55">
            <v>0.9</v>
          </cell>
        </row>
        <row r="56">
          <cell r="E56">
            <v>0</v>
          </cell>
          <cell r="F56">
            <v>0.61</v>
          </cell>
          <cell r="G56">
            <v>0.80499999999999994</v>
          </cell>
          <cell r="H56">
            <v>0.96360000000000001</v>
          </cell>
          <cell r="I56">
            <v>-1.7742399999999998E-2</v>
          </cell>
          <cell r="J56">
            <v>1.1200000000000001</v>
          </cell>
          <cell r="K56">
            <v>0.73</v>
          </cell>
          <cell r="L56">
            <v>0.92500000000000004</v>
          </cell>
          <cell r="M56">
            <v>1.0836000000000001</v>
          </cell>
          <cell r="N56">
            <v>-1.7742399999999998E-2</v>
          </cell>
          <cell r="O56">
            <v>3900</v>
          </cell>
          <cell r="P56">
            <v>0.9</v>
          </cell>
        </row>
        <row r="57">
          <cell r="E57">
            <v>0</v>
          </cell>
          <cell r="F57">
            <v>0.61</v>
          </cell>
          <cell r="G57">
            <v>0.80499999999999994</v>
          </cell>
          <cell r="H57">
            <v>0.96360000000000001</v>
          </cell>
          <cell r="I57">
            <v>-1.7742399999999998E-2</v>
          </cell>
          <cell r="J57">
            <v>1.1200000000000001</v>
          </cell>
          <cell r="K57">
            <v>0.73</v>
          </cell>
          <cell r="L57">
            <v>0.92500000000000004</v>
          </cell>
          <cell r="M57">
            <v>1.0836000000000001</v>
          </cell>
          <cell r="N57">
            <v>-1.7742399999999998E-2</v>
          </cell>
          <cell r="O57">
            <v>3900</v>
          </cell>
          <cell r="P57">
            <v>0.9</v>
          </cell>
        </row>
        <row r="58">
          <cell r="E58" t="str">
            <v>Large Ret</v>
          </cell>
          <cell r="F58">
            <v>0.57000000000000006</v>
          </cell>
          <cell r="G58">
            <v>0.78500000000000003</v>
          </cell>
          <cell r="H58">
            <v>0.95986666666666665</v>
          </cell>
          <cell r="I58">
            <v>-1.9562133333333332E-2</v>
          </cell>
          <cell r="J58">
            <v>1.18</v>
          </cell>
          <cell r="K58">
            <v>0.75</v>
          </cell>
          <cell r="L58">
            <v>0.96499999999999986</v>
          </cell>
          <cell r="M58">
            <v>1.1398666666666664</v>
          </cell>
          <cell r="N58">
            <v>-1.9562133333333332E-2</v>
          </cell>
          <cell r="O58">
            <v>4000</v>
          </cell>
          <cell r="P58">
            <v>0.9</v>
          </cell>
        </row>
        <row r="59">
          <cell r="E59" t="str">
            <v>Xlarge Ret</v>
          </cell>
          <cell r="F59">
            <v>0.66999999999999993</v>
          </cell>
          <cell r="G59">
            <v>0.83499999999999996</v>
          </cell>
          <cell r="H59">
            <v>0.96919999999999995</v>
          </cell>
          <cell r="I59">
            <v>-1.50128E-2</v>
          </cell>
          <cell r="J59">
            <v>1.19</v>
          </cell>
          <cell r="K59">
            <v>0.85999999999999988</v>
          </cell>
          <cell r="L59">
            <v>1.0249999999999999</v>
          </cell>
          <cell r="M59">
            <v>1.1591999999999998</v>
          </cell>
          <cell r="N59">
            <v>-1.50128E-2</v>
          </cell>
          <cell r="O59">
            <v>4800</v>
          </cell>
          <cell r="P59">
            <v>0.9</v>
          </cell>
        </row>
        <row r="60">
          <cell r="E60" t="str">
            <v>Medium Ret</v>
          </cell>
          <cell r="F60">
            <v>0.61</v>
          </cell>
          <cell r="G60">
            <v>0.80499999999999994</v>
          </cell>
          <cell r="H60">
            <v>0.96360000000000001</v>
          </cell>
          <cell r="I60">
            <v>-1.7742399999999998E-2</v>
          </cell>
          <cell r="J60">
            <v>1.1200000000000001</v>
          </cell>
          <cell r="K60">
            <v>0.73</v>
          </cell>
          <cell r="L60">
            <v>0.92500000000000004</v>
          </cell>
          <cell r="M60">
            <v>1.0836000000000001</v>
          </cell>
          <cell r="N60">
            <v>-1.7742399999999998E-2</v>
          </cell>
          <cell r="O60">
            <v>3900</v>
          </cell>
          <cell r="P60">
            <v>0.9</v>
          </cell>
        </row>
        <row r="61">
          <cell r="E61" t="str">
            <v>Small Ret</v>
          </cell>
          <cell r="F61">
            <v>0.69</v>
          </cell>
          <cell r="G61">
            <v>0.84499999999999997</v>
          </cell>
          <cell r="H61">
            <v>0.97106666666666663</v>
          </cell>
          <cell r="I61">
            <v>-1.4102933333333333E-2</v>
          </cell>
          <cell r="J61">
            <v>1.1299999999999999</v>
          </cell>
          <cell r="K61">
            <v>0.81999999999999984</v>
          </cell>
          <cell r="L61">
            <v>0.97499999999999987</v>
          </cell>
          <cell r="M61">
            <v>1.1010666666666666</v>
          </cell>
          <cell r="N61">
            <v>-1.4102933333333333E-2</v>
          </cell>
          <cell r="O61">
            <v>3400</v>
          </cell>
          <cell r="P61">
            <v>0.9</v>
          </cell>
        </row>
        <row r="62">
          <cell r="E62">
            <v>0</v>
          </cell>
          <cell r="F62">
            <v>0.61</v>
          </cell>
          <cell r="G62">
            <v>0.80499999999999994</v>
          </cell>
          <cell r="H62">
            <v>0.96360000000000001</v>
          </cell>
          <cell r="I62">
            <v>-1.7742399999999998E-2</v>
          </cell>
          <cell r="J62">
            <v>1.1200000000000001</v>
          </cell>
          <cell r="K62">
            <v>0.73</v>
          </cell>
          <cell r="L62">
            <v>0.92500000000000004</v>
          </cell>
          <cell r="M62">
            <v>1.0836000000000001</v>
          </cell>
          <cell r="N62">
            <v>-1.7742399999999998E-2</v>
          </cell>
          <cell r="O62">
            <v>3900</v>
          </cell>
          <cell r="P62">
            <v>0.9</v>
          </cell>
        </row>
        <row r="63">
          <cell r="E63" t="str">
            <v>Warehouse</v>
          </cell>
          <cell r="F63">
            <v>0.61</v>
          </cell>
          <cell r="G63">
            <v>0.80499999999999994</v>
          </cell>
          <cell r="H63">
            <v>0.96360000000000001</v>
          </cell>
          <cell r="I63">
            <v>-1.7742399999999998E-2</v>
          </cell>
          <cell r="J63">
            <v>1</v>
          </cell>
          <cell r="K63">
            <v>0.60999999999999988</v>
          </cell>
          <cell r="L63">
            <v>0.80499999999999994</v>
          </cell>
          <cell r="M63">
            <v>0.96360000000000001</v>
          </cell>
          <cell r="N63">
            <v>-1.7742399999999998E-2</v>
          </cell>
          <cell r="O63">
            <v>3500</v>
          </cell>
          <cell r="P63">
            <v>0.9</v>
          </cell>
        </row>
        <row r="64">
          <cell r="E64">
            <v>0</v>
          </cell>
          <cell r="F64">
            <v>0.6</v>
          </cell>
          <cell r="G64">
            <v>0.8</v>
          </cell>
          <cell r="H64">
            <v>0.96266666666666667</v>
          </cell>
          <cell r="I64">
            <v>-1.8197333333333333E-2</v>
          </cell>
          <cell r="J64">
            <v>1.1200000000000001</v>
          </cell>
          <cell r="K64">
            <v>0.7200000000000002</v>
          </cell>
          <cell r="L64">
            <v>0.92000000000000015</v>
          </cell>
          <cell r="M64">
            <v>1.0826666666666669</v>
          </cell>
          <cell r="N64">
            <v>-1.8197333333333333E-2</v>
          </cell>
          <cell r="O64">
            <v>3500</v>
          </cell>
          <cell r="P64">
            <v>0.9</v>
          </cell>
        </row>
        <row r="65">
          <cell r="E65">
            <v>0</v>
          </cell>
          <cell r="F65">
            <v>1</v>
          </cell>
          <cell r="G65">
            <v>1</v>
          </cell>
          <cell r="H65">
            <v>1</v>
          </cell>
          <cell r="I65">
            <v>0</v>
          </cell>
          <cell r="J65">
            <v>1.1200000000000001</v>
          </cell>
          <cell r="K65">
            <v>1.1200000000000001</v>
          </cell>
          <cell r="L65">
            <v>1.1200000000000001</v>
          </cell>
          <cell r="M65">
            <v>1.1200000000000001</v>
          </cell>
          <cell r="N65">
            <v>0</v>
          </cell>
          <cell r="O65">
            <v>3500</v>
          </cell>
          <cell r="P65">
            <v>0.9</v>
          </cell>
        </row>
        <row r="66">
          <cell r="E66">
            <v>0</v>
          </cell>
          <cell r="F66">
            <v>0.61</v>
          </cell>
          <cell r="G66">
            <v>0.80499999999999994</v>
          </cell>
          <cell r="H66">
            <v>0.96360000000000001</v>
          </cell>
          <cell r="I66">
            <v>-1.7742399999999998E-2</v>
          </cell>
          <cell r="J66">
            <v>1.08</v>
          </cell>
          <cell r="K66">
            <v>0.69</v>
          </cell>
          <cell r="L66">
            <v>0.88500000000000001</v>
          </cell>
          <cell r="M66">
            <v>1.0436000000000001</v>
          </cell>
          <cell r="N66">
            <v>-1.7742399999999998E-2</v>
          </cell>
          <cell r="O66">
            <v>2000</v>
          </cell>
          <cell r="P66">
            <v>0.9</v>
          </cell>
        </row>
        <row r="67">
          <cell r="E67">
            <v>0</v>
          </cell>
          <cell r="F67">
            <v>0.61</v>
          </cell>
          <cell r="G67">
            <v>0.80499999999999994</v>
          </cell>
          <cell r="H67">
            <v>0.96360000000000001</v>
          </cell>
          <cell r="I67">
            <v>-1.7742399999999998E-2</v>
          </cell>
          <cell r="J67">
            <v>1.08</v>
          </cell>
          <cell r="K67">
            <v>0.69</v>
          </cell>
          <cell r="L67">
            <v>0.88500000000000001</v>
          </cell>
          <cell r="M67">
            <v>1.0436000000000001</v>
          </cell>
          <cell r="N67">
            <v>-1.7742399999999998E-2</v>
          </cell>
          <cell r="O67">
            <v>5800</v>
          </cell>
          <cell r="P67">
            <v>0.9</v>
          </cell>
        </row>
        <row r="68">
          <cell r="E68">
            <v>0</v>
          </cell>
          <cell r="F68">
            <v>1</v>
          </cell>
          <cell r="G68">
            <v>1</v>
          </cell>
          <cell r="H68">
            <v>1</v>
          </cell>
          <cell r="I68">
            <v>0</v>
          </cell>
          <cell r="J68">
            <v>1</v>
          </cell>
          <cell r="K68">
            <v>1</v>
          </cell>
          <cell r="L68">
            <v>1</v>
          </cell>
          <cell r="M68">
            <v>1</v>
          </cell>
          <cell r="N68">
            <v>0</v>
          </cell>
          <cell r="O68">
            <v>2400</v>
          </cell>
          <cell r="P68">
            <v>0.9</v>
          </cell>
        </row>
        <row r="69">
          <cell r="E69">
            <v>0</v>
          </cell>
          <cell r="F69">
            <v>1</v>
          </cell>
          <cell r="G69">
            <v>1</v>
          </cell>
          <cell r="H69">
            <v>1</v>
          </cell>
          <cell r="I69">
            <v>0</v>
          </cell>
          <cell r="J69">
            <v>1</v>
          </cell>
          <cell r="K69">
            <v>1</v>
          </cell>
          <cell r="L69">
            <v>1</v>
          </cell>
          <cell r="M69">
            <v>1</v>
          </cell>
          <cell r="N69">
            <v>0</v>
          </cell>
          <cell r="O69">
            <v>4600</v>
          </cell>
          <cell r="P69">
            <v>0.9</v>
          </cell>
        </row>
        <row r="70">
          <cell r="E70">
            <v>0</v>
          </cell>
          <cell r="F70">
            <v>1</v>
          </cell>
          <cell r="G70">
            <v>1</v>
          </cell>
          <cell r="H70">
            <v>1</v>
          </cell>
          <cell r="I70">
            <v>0</v>
          </cell>
          <cell r="J70">
            <v>1</v>
          </cell>
          <cell r="K70">
            <v>1</v>
          </cell>
          <cell r="L70">
            <v>1</v>
          </cell>
          <cell r="M70">
            <v>1</v>
          </cell>
          <cell r="N70">
            <v>0</v>
          </cell>
          <cell r="O70">
            <v>7000</v>
          </cell>
          <cell r="P70">
            <v>0.9</v>
          </cell>
        </row>
      </sheetData>
      <sheetData sheetId="2"/>
      <sheetData sheetId="3"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7PSourceSummary"/>
      <sheetName val="forRPM"/>
      <sheetName val="SC-NR"/>
      <sheetName val="SC-Retro"/>
      <sheetName val="M_Input_Out"/>
      <sheetName val="M_Input"/>
      <sheetName val="MMap"/>
      <sheetName val="ToDo7P"/>
      <sheetName val="CommercialSummary"/>
      <sheetName val="MeasureCost"/>
      <sheetName val="EUL"/>
      <sheetName val="MeasureSavingsPercentage"/>
      <sheetName val="MeasureDefinitions"/>
      <sheetName val="CommercialMarket"/>
      <sheetName val="SourcesNotes"/>
    </sheetNames>
    <sheetDataSet>
      <sheetData sheetId="0"/>
      <sheetData sheetId="1"/>
      <sheetData sheetId="2">
        <row r="10">
          <cell r="C10">
            <v>1.0195557332307676</v>
          </cell>
        </row>
      </sheetData>
      <sheetData sheetId="3">
        <row r="10">
          <cell r="C10">
            <v>3.2238288305372076</v>
          </cell>
        </row>
      </sheetData>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7PSourceSummary"/>
      <sheetName val="forRPM"/>
      <sheetName val="SC-NR"/>
      <sheetName val="SC-NR (2)"/>
      <sheetName val="SC-NR (3)"/>
      <sheetName val="M_Input_Out"/>
      <sheetName val="M_Input"/>
      <sheetName val="Savings and Cost"/>
      <sheetName val="MMap"/>
      <sheetName val="Savings"/>
      <sheetName val="Baseline Saturation"/>
      <sheetName val="RegionalStock"/>
      <sheetName val="ToDo7P"/>
    </sheetNames>
    <sheetDataSet>
      <sheetData sheetId="0"/>
      <sheetData sheetId="1"/>
      <sheetData sheetId="2">
        <row r="10">
          <cell r="C10">
            <v>24.336936136177435</v>
          </cell>
        </row>
      </sheetData>
      <sheetData sheetId="3">
        <row r="10">
          <cell r="C10">
            <v>55.8193241357245</v>
          </cell>
        </row>
      </sheetData>
      <sheetData sheetId="4">
        <row r="10">
          <cell r="C10">
            <v>3.9941361655064203</v>
          </cell>
        </row>
      </sheetData>
      <sheetData sheetId="5"/>
      <sheetData sheetId="6"/>
      <sheetData sheetId="7"/>
      <sheetData sheetId="8"/>
      <sheetData sheetId="9"/>
      <sheetData sheetId="10"/>
      <sheetData sheetId="11"/>
      <sheetData sheetId="12"/>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7PSourceSummary"/>
      <sheetName val="forRPM"/>
      <sheetName val="SC-Retro"/>
      <sheetName val="Measure InputOutput_Out"/>
      <sheetName val="Measure InputOutput"/>
      <sheetName val="Savings and Cost"/>
      <sheetName val="Data"/>
    </sheetNames>
    <sheetDataSet>
      <sheetData sheetId="0"/>
      <sheetData sheetId="1"/>
      <sheetData sheetId="2">
        <row r="10">
          <cell r="C10">
            <v>46.672185845920254</v>
          </cell>
        </row>
      </sheetData>
      <sheetData sheetId="3"/>
      <sheetData sheetId="4"/>
      <sheetData sheetId="5"/>
      <sheetData sheetId="6"/>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forRPM"/>
      <sheetName val="7PSourceSummary"/>
      <sheetName val="SC-New"/>
      <sheetName val="SC-NR"/>
      <sheetName val="M_Input_Out"/>
      <sheetName val="M_Input"/>
      <sheetName val="CostData"/>
      <sheetName val="ETO Server Virt Estim"/>
      <sheetName val="6P Server Virt"/>
      <sheetName val="ETO Data Centers"/>
      <sheetName val="ESTAR SERVERS"/>
      <sheetName val="LOG"/>
    </sheetNames>
    <sheetDataSet>
      <sheetData sheetId="0"/>
      <sheetData sheetId="1"/>
      <sheetData sheetId="2"/>
      <sheetData sheetId="3">
        <row r="10">
          <cell r="C10">
            <v>261.31837015129264</v>
          </cell>
        </row>
      </sheetData>
      <sheetData sheetId="4"/>
      <sheetData sheetId="5"/>
      <sheetData sheetId="6">
        <row r="11">
          <cell r="T11">
            <v>0.2</v>
          </cell>
        </row>
      </sheetData>
      <sheetData sheetId="7"/>
      <sheetData sheetId="8"/>
      <sheetData sheetId="9"/>
      <sheetData sheetId="10"/>
      <sheetData sheetId="1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7PSourceSummary"/>
      <sheetName val="forRPM"/>
      <sheetName val="SC-Retro"/>
      <sheetName val="Measure InputOutput_Out"/>
      <sheetName val="Measure InputOutput"/>
      <sheetName val="Savings and Cost"/>
      <sheetName val="MMap"/>
      <sheetName val="Market Data"/>
      <sheetName val="ToDo7P"/>
      <sheetName val="RTF Analysis"/>
    </sheetNames>
    <sheetDataSet>
      <sheetData sheetId="0"/>
      <sheetData sheetId="1"/>
      <sheetData sheetId="2">
        <row r="10">
          <cell r="C10">
            <v>0.97671631632425404</v>
          </cell>
        </row>
      </sheetData>
      <sheetData sheetId="3"/>
      <sheetData sheetId="4"/>
      <sheetData sheetId="5"/>
      <sheetData sheetId="6"/>
      <sheetData sheetId="7"/>
      <sheetData sheetId="8"/>
      <sheetData sheetId="9"/>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7PSourceSummary"/>
      <sheetName val="forRPM"/>
      <sheetName val="SC-NR"/>
      <sheetName val="Measure InputOutput_Out"/>
      <sheetName val="Measure InputOutput"/>
      <sheetName val="Savings and Cost"/>
      <sheetName val="MMap"/>
      <sheetName val="RTF Input Data"/>
      <sheetName val="Measure Weightings"/>
      <sheetName val="RTF Summary COMBI"/>
      <sheetName val="RTF Summary Conv"/>
      <sheetName val="RTF Sum Fryer"/>
      <sheetName val="RTF Sum HFHC"/>
      <sheetName val="RTF Sum Steamer"/>
      <sheetName val="CBSA"/>
      <sheetName val="Conv Cost"/>
      <sheetName val="Steamer Cost"/>
      <sheetName val="Combi Cost"/>
      <sheetName val="HFHC Cost"/>
      <sheetName val="CostData&amp;Analysis"/>
      <sheetName val="ToDo7P"/>
      <sheetName val="Steamer Calcs"/>
      <sheetName val="Steamer Example"/>
    </sheetNames>
    <sheetDataSet>
      <sheetData sheetId="0"/>
      <sheetData sheetId="1"/>
      <sheetData sheetId="2">
        <row r="10">
          <cell r="C10">
            <v>62.597373753658673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7PSourceSummary"/>
      <sheetName val="forRPM"/>
      <sheetName val="SC Retro"/>
      <sheetName val="Measure InputOutput_Out"/>
      <sheetName val="Measure InputOutput"/>
      <sheetName val="MMap"/>
      <sheetName val="Summary"/>
      <sheetName val="Market Data"/>
      <sheetName val="Savings"/>
      <sheetName val="Cost"/>
      <sheetName val="PNNL SVGs Data"/>
      <sheetName val="Savings Actual All"/>
      <sheetName val="Savings Weath Normalized All"/>
      <sheetName val="Codes"/>
      <sheetName val="Saturation"/>
      <sheetName val="6P Sizes"/>
      <sheetName val="Notes"/>
      <sheetName val="To Do 7P"/>
      <sheetName val="Sheet2"/>
    </sheetNames>
    <sheetDataSet>
      <sheetData sheetId="0"/>
      <sheetData sheetId="1"/>
      <sheetData sheetId="2">
        <row r="10">
          <cell r="C10">
            <v>119.37282587197582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7PSourceSummary"/>
      <sheetName val="forRPM"/>
      <sheetName val="SC New"/>
      <sheetName val="SC Retro"/>
      <sheetName val="Measure InputOutput_Out"/>
      <sheetName val="Measure InputOutput"/>
      <sheetName val="Measure InputOutput-New_Out"/>
      <sheetName val="Measure InputOutput-New"/>
      <sheetName val="MMap"/>
      <sheetName val="Savings"/>
      <sheetName val="Cost"/>
      <sheetName val="Market Data"/>
      <sheetName val="6P Applic"/>
      <sheetName val="6P Savings"/>
      <sheetName val="To Do 7P"/>
      <sheetName val="Measure Life"/>
      <sheetName val="Achievment"/>
    </sheetNames>
    <sheetDataSet>
      <sheetData sheetId="0"/>
      <sheetData sheetId="1"/>
      <sheetData sheetId="2"/>
      <sheetData sheetId="3">
        <row r="10">
          <cell r="C10">
            <v>76.986931526097095</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7PSourceSummary"/>
      <sheetName val="forRPM"/>
      <sheetName val="SC-New"/>
      <sheetName val="SC-Retro"/>
      <sheetName val="M_Input_Out"/>
      <sheetName val="M_Input"/>
      <sheetName val="M_Input_Raw_Out"/>
      <sheetName val="M_Input_Raw"/>
      <sheetName val="MMap"/>
      <sheetName val="Savings &amp; Cost"/>
    </sheetNames>
    <sheetDataSet>
      <sheetData sheetId="0"/>
      <sheetData sheetId="1"/>
      <sheetData sheetId="2"/>
      <sheetData sheetId="3">
        <row r="10">
          <cell r="C10">
            <v>26.426181974293137</v>
          </cell>
        </row>
      </sheetData>
      <sheetData sheetId="4"/>
      <sheetData sheetId="5"/>
      <sheetData sheetId="6"/>
      <sheetData sheetId="7"/>
      <sheetData sheetId="8"/>
      <sheetData sheetId="9"/>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7PSourceSummary"/>
      <sheetName val="forRPM"/>
      <sheetName val="SC-RETRO"/>
      <sheetName val="Measure InputOutput"/>
      <sheetName val="M-IO New"/>
      <sheetName val="M-IO NR"/>
      <sheetName val="M-IO Retro_Out"/>
      <sheetName val="M-IO Retro"/>
      <sheetName val="MMap"/>
      <sheetName val="Savings from 6P"/>
      <sheetName val="Costs"/>
      <sheetName val="Savings Retro"/>
      <sheetName val="Savings New"/>
      <sheetName val="Savings Fleet"/>
      <sheetName val="Notes and Sources 2008"/>
      <sheetName val="Applicability"/>
    </sheetNames>
    <sheetDataSet>
      <sheetData sheetId="0"/>
      <sheetData sheetId="1"/>
      <sheetData sheetId="2">
        <row r="10">
          <cell r="C10">
            <v>21.228186154993367</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7PSourceSummary"/>
      <sheetName val="forRPM"/>
      <sheetName val="SC-NR"/>
      <sheetName val="Measure InputOutput_Out"/>
      <sheetName val="Measure InputOutput"/>
      <sheetName val="Market Data"/>
      <sheetName val="ToDo7P"/>
      <sheetName val="Notes"/>
    </sheetNames>
    <sheetDataSet>
      <sheetData sheetId="0"/>
      <sheetData sheetId="1"/>
      <sheetData sheetId="2">
        <row r="10">
          <cell r="C10">
            <v>3.8878892674922914</v>
          </cell>
        </row>
      </sheetData>
      <sheetData sheetId="3"/>
      <sheetData sheetId="4"/>
      <sheetData sheetId="5"/>
      <sheetData sheetId="6"/>
      <sheetData sheetId="7"/>
    </sheetDataSet>
  </externalBook>
</externalLink>
</file>

<file path=xl/externalLinks/externalLink15.xml><?xml version="1.0" encoding="utf-8"?>
<externalLink xmlns="http://schemas.openxmlformats.org/spreadsheetml/2006/main">
  <externalBook xmlns:r="http://schemas.openxmlformats.org/officeDocument/2006/relationships" r:id="rId1">
    <sheetNames>
      <sheetName val="7PSourceSummary"/>
      <sheetName val="forRPM"/>
      <sheetName val="SC-Retro"/>
      <sheetName val="Measure InputOutput_Out"/>
      <sheetName val="Measure InputOutput"/>
      <sheetName val="Savings and Cost"/>
    </sheetNames>
    <sheetDataSet>
      <sheetData sheetId="0"/>
      <sheetData sheetId="1"/>
      <sheetData sheetId="2">
        <row r="10">
          <cell r="C10">
            <v>12.888276850646843</v>
          </cell>
        </row>
      </sheetData>
      <sheetData sheetId="3"/>
      <sheetData sheetId="4"/>
      <sheetData sheetId="5"/>
    </sheetDataSet>
  </externalBook>
</externalLink>
</file>

<file path=xl/externalLinks/externalLink16.xml><?xml version="1.0" encoding="utf-8"?>
<externalLink xmlns="http://schemas.openxmlformats.org/spreadsheetml/2006/main">
  <externalBook xmlns:r="http://schemas.openxmlformats.org/officeDocument/2006/relationships" r:id="rId1">
    <sheetNames>
      <sheetName val="7PSourceSummary"/>
      <sheetName val="forRPM"/>
      <sheetName val="SC-New"/>
      <sheetName val="SC-Retro"/>
      <sheetName val="M_Input_Out"/>
      <sheetName val="M_Input"/>
      <sheetName val="M_Input_Retro_Out"/>
      <sheetName val="M_Input_Retro"/>
      <sheetName val="M_Input_Raw_Out"/>
      <sheetName val="M_Input_Raw"/>
      <sheetName val="MMap"/>
      <sheetName val="Savings &amp; Cost"/>
      <sheetName val="Notes &amp; ETO Data"/>
      <sheetName val="Applicability Matrix"/>
      <sheetName val="HVAC Retrofit Data"/>
      <sheetName val="Ecotope Data"/>
    </sheetNames>
    <sheetDataSet>
      <sheetData sheetId="0"/>
      <sheetData sheetId="1"/>
      <sheetData sheetId="2">
        <row r="10">
          <cell r="C10">
            <v>61.089028709904269</v>
          </cell>
        </row>
      </sheetData>
      <sheetData sheetId="3">
        <row r="10">
          <cell r="C10">
            <v>31.395155521232557</v>
          </cell>
        </row>
      </sheetData>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7.xml><?xml version="1.0" encoding="utf-8"?>
<externalLink xmlns="http://schemas.openxmlformats.org/spreadsheetml/2006/main">
  <externalBook xmlns:r="http://schemas.openxmlformats.org/officeDocument/2006/relationships" r:id="rId1">
    <sheetNames>
      <sheetName val="forRPM"/>
      <sheetName val="7PSourceSummary"/>
      <sheetName val="SC-Retro"/>
      <sheetName val="M_Input_Out"/>
      <sheetName val="M_Input"/>
      <sheetName val="MMap"/>
      <sheetName val="CBSA Window by Size"/>
      <sheetName val="CBSA Data"/>
      <sheetName val="Cost Data"/>
      <sheetName val="Energy Savings SmOff_Gas"/>
      <sheetName val="Energy Savings SmOff_HP"/>
      <sheetName val="Energy Savings MidOff_PVAV_E"/>
      <sheetName val="Energy Savings MidOff_PVAV_G"/>
      <sheetName val="Energy Savings LrgOff_G"/>
      <sheetName val="Notes"/>
      <sheetName val="Kennedy Out"/>
      <sheetName val="ToDo7P"/>
      <sheetName val="LOG"/>
    </sheetNames>
    <sheetDataSet>
      <sheetData sheetId="0"/>
      <sheetData sheetId="1"/>
      <sheetData sheetId="2">
        <row r="10">
          <cell r="C10">
            <v>40.390797895321441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8.xml><?xml version="1.0" encoding="utf-8"?>
<externalLink xmlns="http://schemas.openxmlformats.org/spreadsheetml/2006/main">
  <externalBook xmlns:r="http://schemas.openxmlformats.org/officeDocument/2006/relationships" r:id="rId1">
    <sheetNames>
      <sheetName val="ForRPM"/>
      <sheetName val="7P Source Summary"/>
      <sheetName val="SC-New"/>
      <sheetName val="SC-NR"/>
      <sheetName val="SC-Retro"/>
      <sheetName val="Workbook Guide"/>
      <sheetName val="Model Output Check"/>
      <sheetName val="Model Input Summary"/>
      <sheetName val="M_Input(Fixture wo OM)_Out"/>
      <sheetName val="M_Input(Fixture wo OM)"/>
      <sheetName val="M_Input(Fixture)_Out"/>
      <sheetName val="M_Input(Fixture)"/>
      <sheetName val="M_Input(per KSF)_Out"/>
      <sheetName val="M_Input(per KSF)"/>
      <sheetName val="M_Input(per KSF Btype)_Out"/>
      <sheetName val="M_Input(per KSF Btype)"/>
      <sheetName val="Pivot Btype"/>
      <sheetName val="Proxy Measures"/>
      <sheetName val="Lists&amp;Tables"/>
      <sheetName val="Master Generic Spec Lookup Tbl"/>
      <sheetName val="DOE Conventional Tech Specs"/>
      <sheetName val="DOE2014 Sales Pen"/>
      <sheetName val="LED Lumen Maintenance"/>
      <sheetName val="ApplicNotes"/>
      <sheetName val="Recessed Cans"/>
      <sheetName val="LED Display Track Fixtures"/>
      <sheetName val="TLEDs"/>
      <sheetName val="LED GS A-Lamps"/>
      <sheetName val="LED High Bay"/>
      <sheetName val="Ceramic Metal Halide - Display"/>
      <sheetName val="HP T8 Fixture or Kit"/>
      <sheetName val="LED Fixture or Kit"/>
      <sheetName val="LED PARs"/>
      <sheetName val="T5 HO Fixtures"/>
      <sheetName val="Energy Star Lamps"/>
      <sheetName val="EnergyStar-LED Disp Track Lamps"/>
      <sheetName val="Fixt vs KSF Levelized Cost Chk"/>
      <sheetName val="Levelized Cost Summary_No O&amp;M"/>
      <sheetName val="Levelized Cost Summary_with O&amp;M"/>
      <sheetName val="LOG"/>
      <sheetName val="DOE2014 Sales Pen(old)"/>
    </sheetNames>
    <sheetDataSet>
      <sheetData sheetId="0"/>
      <sheetData sheetId="1"/>
      <sheetData sheetId="2">
        <row r="10">
          <cell r="C10">
            <v>77.181342695273457</v>
          </cell>
        </row>
      </sheetData>
      <sheetData sheetId="3">
        <row r="10">
          <cell r="C10">
            <v>209.62341372597962</v>
          </cell>
        </row>
      </sheetData>
      <sheetData sheetId="4">
        <row r="10">
          <cell r="C10">
            <v>108.93189922488979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19.xml><?xml version="1.0" encoding="utf-8"?>
<externalLink xmlns="http://schemas.openxmlformats.org/spreadsheetml/2006/main">
  <externalBook xmlns:r="http://schemas.openxmlformats.org/officeDocument/2006/relationships" r:id="rId1">
    <sheetNames>
      <sheetName val="forRPM"/>
      <sheetName val="7PSourceSummary"/>
      <sheetName val="SC-New"/>
      <sheetName val="SC-NR"/>
      <sheetName val="SC-Retro"/>
      <sheetName val="M_Input_Out"/>
      <sheetName val="M_Input"/>
      <sheetName val="MMap"/>
      <sheetName val="SavingsNew"/>
      <sheetName val="Costs &amp; Savings Data"/>
      <sheetName val="CBSA Data"/>
      <sheetName val="ToDo7P"/>
      <sheetName val="LOG"/>
    </sheetNames>
    <sheetDataSet>
      <sheetData sheetId="0"/>
      <sheetData sheetId="1"/>
      <sheetData sheetId="2">
        <row r="10">
          <cell r="C10">
            <v>10.950320424220106</v>
          </cell>
        </row>
      </sheetData>
      <sheetData sheetId="3">
        <row r="10">
          <cell r="C10">
            <v>26.31391009160577</v>
          </cell>
        </row>
      </sheetData>
      <sheetData sheetId="4"/>
      <sheetData sheetId="5"/>
      <sheetData sheetId="6"/>
      <sheetData sheetId="7"/>
      <sheetData sheetId="8"/>
      <sheetData sheetId="9"/>
      <sheetData sheetId="10"/>
      <sheetData sheetId="11"/>
      <sheetData sheetId="12"/>
    </sheetDataSet>
  </externalBook>
</externalLink>
</file>

<file path=xl/externalLinks/externalLink20.xml><?xml version="1.0" encoding="utf-8"?>
<externalLink xmlns="http://schemas.openxmlformats.org/spreadsheetml/2006/main">
  <externalBook xmlns:r="http://schemas.openxmlformats.org/officeDocument/2006/relationships" r:id="rId1">
    <sheetNames>
      <sheetName val="7PSourceSummary"/>
      <sheetName val="forRPM"/>
      <sheetName val="SC-New"/>
      <sheetName val="SC-NR"/>
      <sheetName val="SC-Retro"/>
      <sheetName val="M_Input_Out"/>
      <sheetName val="M_Input"/>
      <sheetName val="M_Input(Fixture)_Out"/>
      <sheetName val="M_Input(Fixture)"/>
      <sheetName val="M_Input(Fixt wo OM)_Out"/>
      <sheetName val="M_Input(Fixt wo OM)"/>
      <sheetName val="M_Weight"/>
      <sheetName val="Watt Allocation"/>
      <sheetName val="Savings and Cost Analysis"/>
      <sheetName val="Reference Fixtures"/>
      <sheetName val="DOE2014 Sales Pen"/>
      <sheetName val="CBSA Data"/>
      <sheetName val="Approach"/>
      <sheetName val="ETO Cost Data"/>
      <sheetName val="Sheet1"/>
      <sheetName val="LOG"/>
      <sheetName val="ToDo7P"/>
      <sheetName val="DOE 2017 Rule"/>
    </sheetNames>
    <sheetDataSet>
      <sheetData sheetId="0"/>
      <sheetData sheetId="1"/>
      <sheetData sheetId="2">
        <row r="10">
          <cell r="C10">
            <v>18.695722892998404</v>
          </cell>
        </row>
      </sheetData>
      <sheetData sheetId="3">
        <row r="10">
          <cell r="C10">
            <v>123.72449000056638</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1.xml><?xml version="1.0" encoding="utf-8"?>
<externalLink xmlns="http://schemas.openxmlformats.org/spreadsheetml/2006/main">
  <externalBook xmlns:r="http://schemas.openxmlformats.org/officeDocument/2006/relationships" r:id="rId1">
    <sheetNames>
      <sheetName val="forRPM"/>
      <sheetName val="7PSourceSummary"/>
      <sheetName val="SC-New"/>
      <sheetName val="SC-NR"/>
      <sheetName val="M_Input_Out"/>
      <sheetName val="M_Input"/>
      <sheetName val="M_Input (WT)_Out"/>
      <sheetName val="M_Input (WT)"/>
      <sheetName val="M_Input(Fixture)_Out"/>
      <sheetName val="M_Input(Fixture)"/>
      <sheetName val="M_Input (WT)(wo OM)_Out"/>
      <sheetName val="M_Input (WT)(wo OM)"/>
      <sheetName val="MMap"/>
      <sheetName val="Luminaires 7P"/>
      <sheetName val="Pricing"/>
      <sheetName val="SatPen"/>
      <sheetName val="Outdoor Stock"/>
      <sheetName val="Performance 7P"/>
      <sheetName val="Sources OM"/>
      <sheetName val="Life Table"/>
      <sheetName val="References"/>
      <sheetName val="Sources Stock 6P"/>
      <sheetName val="ToDo7P"/>
      <sheetName val="DOE 2017 Rule"/>
      <sheetName val="LOG"/>
    </sheetNames>
    <sheetDataSet>
      <sheetData sheetId="0"/>
      <sheetData sheetId="1"/>
      <sheetData sheetId="2">
        <row r="10">
          <cell r="C10">
            <v>6.6186035002887733</v>
          </cell>
        </row>
      </sheetData>
      <sheetData sheetId="3">
        <row r="10">
          <cell r="C10">
            <v>54.214701088024171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2.xml><?xml version="1.0" encoding="utf-8"?>
<externalLink xmlns="http://schemas.openxmlformats.org/spreadsheetml/2006/main">
  <externalBook xmlns:r="http://schemas.openxmlformats.org/officeDocument/2006/relationships" r:id="rId1">
    <sheetNames>
      <sheetName val="forRPM"/>
      <sheetName val="SC-NR"/>
      <sheetName val="7PSourceSummary"/>
      <sheetName val="M_Input(Fixture wo OM)_Out"/>
      <sheetName val="M_Input(Fixture wo OM)"/>
      <sheetName val="M_Input(Fixture)_Out"/>
      <sheetName val="M_Input(Fixture)"/>
      <sheetName val="M_Input(per KSF)_Out"/>
      <sheetName val="M_Input(per KSF)"/>
      <sheetName val="Measure Development"/>
      <sheetName val="Base and EE Specs"/>
      <sheetName val="CLTC Studies"/>
      <sheetName val="Lists&amp;Tables"/>
      <sheetName val="Park Garage Data"/>
      <sheetName val="LOG"/>
    </sheetNames>
    <sheetDataSet>
      <sheetData sheetId="0"/>
      <sheetData sheetId="1">
        <row r="10">
          <cell r="C10">
            <v>8.4133728390346398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3.xml><?xml version="1.0" encoding="utf-8"?>
<externalLink xmlns="http://schemas.openxmlformats.org/spreadsheetml/2006/main">
  <externalBook xmlns:r="http://schemas.openxmlformats.org/officeDocument/2006/relationships" r:id="rId1">
    <sheetNames>
      <sheetName val="forRPM"/>
      <sheetName val="7PSourceSummary"/>
      <sheetName val="SC-New"/>
      <sheetName val="SC-NR"/>
      <sheetName val="SC-Retro"/>
      <sheetName val="M_Input(KSF)_Out"/>
      <sheetName val="M_Input(KSF)"/>
      <sheetName val="M_Input(Fixt)_Out"/>
      <sheetName val="M_Input(Fixt)"/>
      <sheetName val="MMap"/>
      <sheetName val="Sources"/>
      <sheetName val="Back of Envelope"/>
      <sheetName val="CBSA"/>
      <sheetName val="ToDo7P"/>
    </sheetNames>
    <sheetDataSet>
      <sheetData sheetId="0"/>
      <sheetData sheetId="1"/>
      <sheetData sheetId="2"/>
      <sheetData sheetId="3">
        <row r="10">
          <cell r="C10">
            <v>11.858348727423326</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24.xml><?xml version="1.0" encoding="utf-8"?>
<externalLink xmlns="http://schemas.openxmlformats.org/spreadsheetml/2006/main">
  <externalBook xmlns:r="http://schemas.openxmlformats.org/officeDocument/2006/relationships" r:id="rId1">
    <sheetNames>
      <sheetName val="7PSourceSummary"/>
      <sheetName val="forRPM"/>
      <sheetName val="SC-New"/>
      <sheetName val="SC-NR"/>
      <sheetName val="M_Input_New_Out"/>
      <sheetName val="M_Input_New"/>
      <sheetName val="M_Input_NR_Out"/>
      <sheetName val="M_Input_NR"/>
      <sheetName val="M_Input_Raw_Out"/>
      <sheetName val="M_Input_Raw"/>
      <sheetName val="MMap"/>
      <sheetName val="Savings &amp; Cost"/>
      <sheetName val="Data"/>
      <sheetName val="ToDo7P"/>
    </sheetNames>
    <sheetDataSet>
      <sheetData sheetId="0"/>
      <sheetData sheetId="1"/>
      <sheetData sheetId="2">
        <row r="10">
          <cell r="C10">
            <v>6.3907640383945719</v>
          </cell>
        </row>
      </sheetData>
      <sheetData sheetId="3">
        <row r="10">
          <cell r="C10">
            <v>27.229691418576945</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25.xml><?xml version="1.0" encoding="utf-8"?>
<externalLink xmlns="http://schemas.openxmlformats.org/spreadsheetml/2006/main">
  <externalBook xmlns:r="http://schemas.openxmlformats.org/officeDocument/2006/relationships" r:id="rId1">
    <sheetNames>
      <sheetName val="7PSourceSummary"/>
      <sheetName val="forRPM"/>
      <sheetName val="SC-New"/>
      <sheetName val="SC-NR"/>
      <sheetName val="M_Input_New_Out"/>
      <sheetName val="M_Input_NR_Out"/>
      <sheetName val="M_Input_New"/>
      <sheetName val="M_Input_NR"/>
      <sheetName val="MMap"/>
      <sheetName val="Savings &amp; Cost"/>
      <sheetName val="CommercialSummary"/>
      <sheetName val="SavingsData&amp;Analysis-Com"/>
      <sheetName val="SavingsData&amp;Analysis-Ind"/>
      <sheetName val="CommercialCBSAData"/>
      <sheetName val="Motor Efficiencies"/>
      <sheetName val="Data Sources"/>
      <sheetName val="Lifetime - Ind"/>
      <sheetName val="CostData&amp;Analysis"/>
      <sheetName val="DOE Motor Study Data"/>
    </sheetNames>
    <sheetDataSet>
      <sheetData sheetId="0"/>
      <sheetData sheetId="1"/>
      <sheetData sheetId="2">
        <row r="10">
          <cell r="C10">
            <v>0.59897056594621811</v>
          </cell>
        </row>
      </sheetData>
      <sheetData sheetId="3">
        <row r="10">
          <cell r="C10">
            <v>2.6079890407215234</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26.xml><?xml version="1.0" encoding="utf-8"?>
<externalLink xmlns="http://schemas.openxmlformats.org/spreadsheetml/2006/main">
  <externalBook xmlns:r="http://schemas.openxmlformats.org/officeDocument/2006/relationships" r:id="rId1">
    <sheetNames>
      <sheetName val="7PSourceSummary"/>
      <sheetName val="forRPM"/>
      <sheetName val="SC-Retro"/>
      <sheetName val="Measure InputOutput_Out"/>
      <sheetName val="Measure InputOutput"/>
      <sheetName val="SavingsData&amp;Analysis"/>
      <sheetName val="CostData&amp;Analysis"/>
      <sheetName val="MDataMeas_Out"/>
      <sheetName val="MDataMeas"/>
      <sheetName val="Savings and Cost"/>
      <sheetName val="Data"/>
      <sheetName val="Accomplishments"/>
      <sheetName val="To Do 7P"/>
      <sheetName val="ProCost 6th Plan Inputs"/>
      <sheetName val="Levelized Cost Note"/>
      <sheetName val="Problems"/>
      <sheetName val="LookupTable"/>
      <sheetName val="MeasureTable"/>
      <sheetName val="Summary"/>
      <sheetName val="ValidationLists"/>
    </sheetNames>
    <sheetDataSet>
      <sheetData sheetId="0"/>
      <sheetData sheetId="1"/>
      <sheetData sheetId="2">
        <row r="10">
          <cell r="C10">
            <v>35.292674678530631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27.xml><?xml version="1.0" encoding="utf-8"?>
<externalLink xmlns="http://schemas.openxmlformats.org/spreadsheetml/2006/main">
  <externalBook xmlns:r="http://schemas.openxmlformats.org/officeDocument/2006/relationships" r:id="rId1">
    <sheetNames>
      <sheetName val="7PSourceSummary"/>
      <sheetName val="Summary"/>
      <sheetName val="MeasureTable"/>
      <sheetName val="forRPM"/>
      <sheetName val="SC-Retro"/>
      <sheetName val="Measure InputOutput_Out"/>
      <sheetName val="Measure InputOutput"/>
      <sheetName val="LookupTable"/>
      <sheetName val="SavingsData&amp;Analysis"/>
      <sheetName val="CostData&amp;Analysis"/>
      <sheetName val="Savings and Cost"/>
      <sheetName val="Data"/>
      <sheetName val="Accomplishments"/>
      <sheetName val="To Do 7P"/>
      <sheetName val="Load Shape"/>
      <sheetName val="ValidationLists"/>
    </sheetNames>
    <sheetDataSet>
      <sheetData sheetId="0"/>
      <sheetData sheetId="1"/>
      <sheetData sheetId="2"/>
      <sheetData sheetId="3"/>
      <sheetData sheetId="4">
        <row r="10">
          <cell r="C10">
            <v>14.042252983626129</v>
          </cell>
        </row>
      </sheetData>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8.xml><?xml version="1.0" encoding="utf-8"?>
<externalLink xmlns="http://schemas.openxmlformats.org/spreadsheetml/2006/main">
  <externalBook xmlns:r="http://schemas.openxmlformats.org/officeDocument/2006/relationships" r:id="rId1">
    <sheetNames>
      <sheetName val="forRPM"/>
      <sheetName val="7PSourceSummary"/>
      <sheetName val="SC-Retro"/>
      <sheetName val="M_Input_Out"/>
      <sheetName val="M_Input"/>
      <sheetName val="MMap"/>
      <sheetName val="Calcs and Notes"/>
      <sheetName val="CBSAData"/>
      <sheetName val="RTF Source Files"/>
      <sheetName val="6 on 7 Data"/>
      <sheetName val="Specifications"/>
      <sheetName val="ETO Costs"/>
      <sheetName val="ETO Grocery Bundle"/>
      <sheetName val="LOG"/>
    </sheetNames>
    <sheetDataSet>
      <sheetData sheetId="0"/>
      <sheetData sheetId="1"/>
      <sheetData sheetId="2">
        <row r="10">
          <cell r="C10">
            <v>63.16626946870079</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9.xml><?xml version="1.0" encoding="utf-8"?>
<externalLink xmlns="http://schemas.openxmlformats.org/spreadsheetml/2006/main">
  <externalBook xmlns:r="http://schemas.openxmlformats.org/officeDocument/2006/relationships" r:id="rId1">
    <sheetNames>
      <sheetName val="forRPM"/>
      <sheetName val="SC-NR"/>
      <sheetName val="7PSourceSummary"/>
      <sheetName val="M_Input_Out"/>
      <sheetName val="M_Input"/>
      <sheetName val="MMap"/>
      <sheetName val="Savings"/>
      <sheetName val="Cost"/>
      <sheetName val="ES 2007-2013"/>
      <sheetName val="ESTAR ASAP"/>
      <sheetName val="Notes"/>
      <sheetName val="EnergyStarProductList"/>
      <sheetName val="ES Pivot"/>
      <sheetName val="Sources"/>
      <sheetName val="ToDo7P"/>
      <sheetName val="U.S. and State totals"/>
      <sheetName val="LOG"/>
    </sheetNames>
    <sheetDataSet>
      <sheetData sheetId="0"/>
      <sheetData sheetId="1">
        <row r="10">
          <cell r="C10">
            <v>13.180394293600866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0.xml><?xml version="1.0" encoding="utf-8"?>
<externalLink xmlns="http://schemas.openxmlformats.org/spreadsheetml/2006/main">
  <externalBook xmlns:r="http://schemas.openxmlformats.org/officeDocument/2006/relationships" r:id="rId1">
    <sheetNames>
      <sheetName val="7PSourceSummary"/>
      <sheetName val="forRPM"/>
      <sheetName val="SC-New"/>
      <sheetName val="SC-NR"/>
      <sheetName val="M_Input_Out"/>
      <sheetName val="M_Input_New_Out"/>
      <sheetName val="M_Input_New"/>
      <sheetName val="M_Input"/>
      <sheetName val="MMap"/>
      <sheetName val="Savings and Cost"/>
      <sheetName val="Summary"/>
    </sheetNames>
    <sheetDataSet>
      <sheetData sheetId="0"/>
      <sheetData sheetId="1"/>
      <sheetData sheetId="2">
        <row r="10">
          <cell r="C10">
            <v>0.49370461821151984</v>
          </cell>
        </row>
      </sheetData>
      <sheetData sheetId="3">
        <row r="10">
          <cell r="C10">
            <v>2.0446577325813005</v>
          </cell>
        </row>
      </sheetData>
      <sheetData sheetId="4"/>
      <sheetData sheetId="5"/>
      <sheetData sheetId="6"/>
      <sheetData sheetId="7"/>
      <sheetData sheetId="8"/>
      <sheetData sheetId="9"/>
      <sheetData sheetId="10"/>
    </sheetDataSet>
  </externalBook>
</externalLink>
</file>

<file path=xl/externalLinks/externalLink31.xml><?xml version="1.0" encoding="utf-8"?>
<externalLink xmlns="http://schemas.openxmlformats.org/spreadsheetml/2006/main">
  <externalBook xmlns:r="http://schemas.openxmlformats.org/officeDocument/2006/relationships" r:id="rId1">
    <sheetNames>
      <sheetName val="7PSourceSummary"/>
      <sheetName val="forRPM"/>
      <sheetName val="SC-New"/>
      <sheetName val="SC-Retro"/>
      <sheetName val="M_Input_Retro_Out"/>
      <sheetName val="M_Input_Retro"/>
      <sheetName val="MMap"/>
      <sheetName val="Savings &amp; Cost"/>
      <sheetName val="Summary"/>
      <sheetName val="Impacts"/>
      <sheetName val="Notes"/>
      <sheetName val="Measure_InputOutput"/>
      <sheetName val="Regional Potential Estimates"/>
      <sheetName val="WeightingForCommercialAvg"/>
      <sheetName val="Usage"/>
      <sheetName val="Fitness Centers Survey"/>
      <sheetName val="FlowRates"/>
      <sheetName val="EnergyPerGallon"/>
      <sheetName val="WaterCostAndEnergy"/>
      <sheetName val="InstallRatesCostAndLifetime"/>
      <sheetName val="InputForProCost"/>
      <sheetName val="InputForProCost_FitnessCenter"/>
    </sheetNames>
    <sheetDataSet>
      <sheetData sheetId="0"/>
      <sheetData sheetId="1"/>
      <sheetData sheetId="2"/>
      <sheetData sheetId="3">
        <row r="10">
          <cell r="C10">
            <v>3.7216771353503777</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32.xml><?xml version="1.0" encoding="utf-8"?>
<externalLink xmlns="http://schemas.openxmlformats.org/spreadsheetml/2006/main">
  <externalBook xmlns:r="http://schemas.openxmlformats.org/officeDocument/2006/relationships" r:id="rId1">
    <sheetNames>
      <sheetName val="forRPM"/>
      <sheetName val="7P Source Summary"/>
      <sheetName val="SC-NR"/>
      <sheetName val="M_Input_Out"/>
      <sheetName val="M_Input"/>
      <sheetName val="GSFL Final Rule"/>
      <sheetName val="GSFL Impact"/>
      <sheetName val="GSFL Proposed Rule"/>
      <sheetName val="GSFL Hours"/>
      <sheetName val="TLED"/>
      <sheetName val="2014 Prices"/>
      <sheetName val="Screening"/>
      <sheetName val="CBSA Detailed"/>
      <sheetName val="Watt_Allocation"/>
      <sheetName val="Ind Fl Watts by L"/>
      <sheetName val="Ind T8 Watts by N"/>
      <sheetName val="Ind T8 Watts by T"/>
      <sheetName val="GSFL Prices"/>
      <sheetName val="GSFL Relamp"/>
      <sheetName val="7PSourceSummary"/>
      <sheetName val="References"/>
      <sheetName val="LOG"/>
    </sheetNames>
    <sheetDataSet>
      <sheetData sheetId="0"/>
      <sheetData sheetId="1"/>
      <sheetData sheetId="2">
        <row r="10">
          <cell r="C10">
            <v>40.479721787784023</v>
          </cell>
        </row>
      </sheetData>
      <sheetData sheetId="3"/>
      <sheetData sheetId="4"/>
      <sheetData sheetId="5">
        <row r="17">
          <cell r="BT17">
            <v>0.93871505276800604</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33.xml><?xml version="1.0" encoding="utf-8"?>
<externalLink xmlns="http://schemas.openxmlformats.org/spreadsheetml/2006/main">
  <externalBook xmlns:r="http://schemas.openxmlformats.org/officeDocument/2006/relationships" r:id="rId1">
    <sheetNames>
      <sheetName val="Note"/>
      <sheetName val="Flyover"/>
      <sheetName val="LPDExist"/>
      <sheetName val="Pre_2014"/>
      <sheetName val="LPDNew"/>
      <sheetName val="Post 2014"/>
      <sheetName val="DOE2014 Sales Pen"/>
      <sheetName val="Applic"/>
      <sheetName val="ApplicNotes"/>
      <sheetName val="CBSA Tables"/>
      <sheetName val="CBSA Hrs_Plus"/>
      <sheetName val="CBSA LPD Dist t53"/>
      <sheetName val="LOG"/>
      <sheetName val="6PResults"/>
      <sheetName val="6P New"/>
    </sheetNames>
    <sheetDataSet>
      <sheetData sheetId="0"/>
      <sheetData sheetId="1"/>
      <sheetData sheetId="2"/>
      <sheetData sheetId="3"/>
      <sheetData sheetId="4"/>
      <sheetData sheetId="5"/>
      <sheetData sheetId="6">
        <row r="3">
          <cell r="AA3">
            <v>1</v>
          </cell>
        </row>
        <row r="19">
          <cell r="AG19">
            <v>0.4</v>
          </cell>
        </row>
      </sheetData>
      <sheetData sheetId="7"/>
      <sheetData sheetId="8"/>
      <sheetData sheetId="9"/>
      <sheetData sheetId="10"/>
      <sheetData sheetId="11"/>
      <sheetData sheetId="12"/>
      <sheetData sheetId="13"/>
      <sheetData sheetId="14"/>
    </sheetDataSet>
  </externalBook>
</externalLink>
</file>

<file path=xl/externalLinks/externalLink34.xml><?xml version="1.0" encoding="utf-8"?>
<externalLink xmlns="http://schemas.openxmlformats.org/spreadsheetml/2006/main">
  <externalBook xmlns:r="http://schemas.openxmlformats.org/officeDocument/2006/relationships" r:id="rId1">
    <sheetNames>
      <sheetName val="forRPM"/>
      <sheetName val="7PSourceSummary"/>
      <sheetName val="SC-New"/>
      <sheetName val="SC-NR"/>
      <sheetName val="M_Input_Out"/>
      <sheetName val="M_Input"/>
      <sheetName val="MMap"/>
      <sheetName val="Sources"/>
      <sheetName val="Back of Envelope"/>
      <sheetName val="Stock"/>
      <sheetName val="CBSA"/>
      <sheetName val="LOG"/>
    </sheetNames>
    <sheetDataSet>
      <sheetData sheetId="0"/>
      <sheetData sheetId="1"/>
      <sheetData sheetId="2">
        <row r="10">
          <cell r="C10">
            <v>3.3822770456856448</v>
          </cell>
        </row>
      </sheetData>
      <sheetData sheetId="3">
        <row r="10">
          <cell r="C10">
            <v>15.949208540122836</v>
          </cell>
        </row>
      </sheetData>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COM-FumeHood-7P_V2.xlsm" TargetMode="External"/><Relationship Id="rId13" Type="http://schemas.openxmlformats.org/officeDocument/2006/relationships/hyperlink" Target="Com-DataCenters-7P_V4.xlsx" TargetMode="External"/><Relationship Id="rId18" Type="http://schemas.openxmlformats.org/officeDocument/2006/relationships/hyperlink" Target="Com-Bi-Level%20Stairwell-7P_V2.xlsx" TargetMode="External"/><Relationship Id="rId26" Type="http://schemas.openxmlformats.org/officeDocument/2006/relationships/hyperlink" Target="Com-LightingInterior-7P_v36.xlsx" TargetMode="External"/><Relationship Id="rId39" Type="http://schemas.openxmlformats.org/officeDocument/2006/relationships/hyperlink" Target="COM-ECM-VAV-7P_V3.xlsm" TargetMode="External"/><Relationship Id="rId3" Type="http://schemas.openxmlformats.org/officeDocument/2006/relationships/hyperlink" Target="COM-Cooking-7P_V5.xlsm" TargetMode="External"/><Relationship Id="rId21" Type="http://schemas.openxmlformats.org/officeDocument/2006/relationships/hyperlink" Target="Com-EM-7P_V4.xlsm" TargetMode="External"/><Relationship Id="rId34" Type="http://schemas.openxmlformats.org/officeDocument/2006/relationships/hyperlink" Target="Com-ParkingGarageLighting-7P_v6.xlsx" TargetMode="External"/><Relationship Id="rId42" Type="http://schemas.openxmlformats.org/officeDocument/2006/relationships/hyperlink" Target="Com-ExitSign-7P_V2.xlsx" TargetMode="External"/><Relationship Id="rId7" Type="http://schemas.openxmlformats.org/officeDocument/2006/relationships/hyperlink" Target="COM-CompressedAir-7P_V3.xlsm" TargetMode="External"/><Relationship Id="rId12" Type="http://schemas.openxmlformats.org/officeDocument/2006/relationships/hyperlink" Target="COM-WHTanks-7p_v5.xlsm" TargetMode="External"/><Relationship Id="rId17" Type="http://schemas.openxmlformats.org/officeDocument/2006/relationships/hyperlink" Target="COM-VRF-7P_V5.xlsm" TargetMode="External"/><Relationship Id="rId25" Type="http://schemas.openxmlformats.org/officeDocument/2006/relationships/hyperlink" Target="Com-LightingInterior-7P_v36.xlsx" TargetMode="External"/><Relationship Id="rId33" Type="http://schemas.openxmlformats.org/officeDocument/2006/relationships/hyperlink" Target="Com-Streetlight-7P_V9.xlsx" TargetMode="External"/><Relationship Id="rId38" Type="http://schemas.openxmlformats.org/officeDocument/2006/relationships/hyperlink" Target="COM-Computers-7P_V2.xlsx" TargetMode="External"/><Relationship Id="rId2" Type="http://schemas.openxmlformats.org/officeDocument/2006/relationships/hyperlink" Target="COM-Wastewater-7P_V5.xlsm" TargetMode="External"/><Relationship Id="rId16" Type="http://schemas.openxmlformats.org/officeDocument/2006/relationships/hyperlink" Target="COM-PowerStrips-7P_V4.xlsm" TargetMode="External"/><Relationship Id="rId20" Type="http://schemas.openxmlformats.org/officeDocument/2006/relationships/hyperlink" Target="Com-RooftopController-7P_V5.xlsx" TargetMode="External"/><Relationship Id="rId29" Type="http://schemas.openxmlformats.org/officeDocument/2006/relationships/hyperlink" Target="Com-ExteriorLighting-7P_V13.xlsx" TargetMode="External"/><Relationship Id="rId41" Type="http://schemas.openxmlformats.org/officeDocument/2006/relationships/hyperlink" Target="COM-WHTanks-7p_v5.xlsm" TargetMode="External"/><Relationship Id="rId1" Type="http://schemas.openxmlformats.org/officeDocument/2006/relationships/hyperlink" Target="COM-WaterSupply-7P_V5.xlsm" TargetMode="External"/><Relationship Id="rId6" Type="http://schemas.openxmlformats.org/officeDocument/2006/relationships/hyperlink" Target="COM-DCV-Garage-7P_V3.xlsm" TargetMode="External"/><Relationship Id="rId11" Type="http://schemas.openxmlformats.org/officeDocument/2006/relationships/hyperlink" Target="COM-Showerhead-7P_v3.xlsm" TargetMode="External"/><Relationship Id="rId24" Type="http://schemas.openxmlformats.org/officeDocument/2006/relationships/hyperlink" Target="Com-HPLowPowerGSFL-7P_V5.xlsx" TargetMode="External"/><Relationship Id="rId32" Type="http://schemas.openxmlformats.org/officeDocument/2006/relationships/hyperlink" Target="Com-Streetlight-7P_V9.xlsx" TargetMode="External"/><Relationship Id="rId37" Type="http://schemas.openxmlformats.org/officeDocument/2006/relationships/hyperlink" Target="Com-Grocery-7P_V6.xlsx" TargetMode="External"/><Relationship Id="rId40" Type="http://schemas.openxmlformats.org/officeDocument/2006/relationships/hyperlink" Target="COM-MotorsRewind-7P_v2.xlsm" TargetMode="External"/><Relationship Id="rId45" Type="http://schemas.openxmlformats.org/officeDocument/2006/relationships/drawing" Target="../drawings/drawing2.xml"/><Relationship Id="rId5" Type="http://schemas.openxmlformats.org/officeDocument/2006/relationships/hyperlink" Target="COM-VRF-7P_V5.xlsm" TargetMode="External"/><Relationship Id="rId15" Type="http://schemas.openxmlformats.org/officeDocument/2006/relationships/hyperlink" Target="COM-CompressedAir-7P_V3.xlsm" TargetMode="External"/><Relationship Id="rId23" Type="http://schemas.openxmlformats.org/officeDocument/2006/relationships/hyperlink" Target="COM-MotorsRewind-7P_v2.xlsm" TargetMode="External"/><Relationship Id="rId28" Type="http://schemas.openxmlformats.org/officeDocument/2006/relationships/hyperlink" Target="Com-InteriorLightingControls-7P_V5.xlsx" TargetMode="External"/><Relationship Id="rId36" Type="http://schemas.openxmlformats.org/officeDocument/2006/relationships/hyperlink" Target="Com-WindowSGS-7P_V4.xlsx" TargetMode="External"/><Relationship Id="rId10" Type="http://schemas.openxmlformats.org/officeDocument/2006/relationships/hyperlink" Target="COM-ECM-VAV-7P_V3.xlsm" TargetMode="External"/><Relationship Id="rId19" Type="http://schemas.openxmlformats.org/officeDocument/2006/relationships/hyperlink" Target="COM-Computers-7P_V2.xlsx" TargetMode="External"/><Relationship Id="rId31" Type="http://schemas.openxmlformats.org/officeDocument/2006/relationships/hyperlink" Target="COM-Economizer-7P_v1.xlsm" TargetMode="External"/><Relationship Id="rId44" Type="http://schemas.openxmlformats.org/officeDocument/2006/relationships/printerSettings" Target="../printerSettings/printerSettings3.bin"/><Relationship Id="rId4" Type="http://schemas.openxmlformats.org/officeDocument/2006/relationships/hyperlink" Target="COM-PreRinseSpray-7P_V3.xlsm" TargetMode="External"/><Relationship Id="rId9" Type="http://schemas.openxmlformats.org/officeDocument/2006/relationships/hyperlink" Target="COM-Computers-7P_V2.xlsx" TargetMode="External"/><Relationship Id="rId14" Type="http://schemas.openxmlformats.org/officeDocument/2006/relationships/hyperlink" Target="Com-ParkingGarageLighting-7P_v6.xlsx" TargetMode="External"/><Relationship Id="rId22" Type="http://schemas.openxmlformats.org/officeDocument/2006/relationships/hyperlink" Target="Com-DCV-7P_V3.xlsm" TargetMode="External"/><Relationship Id="rId27" Type="http://schemas.openxmlformats.org/officeDocument/2006/relationships/hyperlink" Target="Com-InteriorLightingControls-7P_V5.xlsx" TargetMode="External"/><Relationship Id="rId30" Type="http://schemas.openxmlformats.org/officeDocument/2006/relationships/hyperlink" Target="Com-ExteriorLighting-7P_V13.xlsx" TargetMode="External"/><Relationship Id="rId35" Type="http://schemas.openxmlformats.org/officeDocument/2006/relationships/hyperlink" Target="Com-WaterCooler-7P_V4.xlsx" TargetMode="External"/><Relationship Id="rId43" Type="http://schemas.openxmlformats.org/officeDocument/2006/relationships/hyperlink" Target="Com-ExitSign-7P_V2.xlsx" TargetMode="Externa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1.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12.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9.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5.xml"/><Relationship Id="rId1" Type="http://schemas.openxmlformats.org/officeDocument/2006/relationships/printerSettings" Target="../printerSettings/printerSettings12.bin"/><Relationship Id="rId4" Type="http://schemas.openxmlformats.org/officeDocument/2006/relationships/comments" Target="../comments7.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sheetPr codeName="Sheet13"/>
  <dimension ref="A1:B98"/>
  <sheetViews>
    <sheetView zoomScale="90" zoomScaleNormal="90" workbookViewId="0">
      <selection activeCell="A13" sqref="A13"/>
    </sheetView>
  </sheetViews>
  <sheetFormatPr defaultRowHeight="12.75"/>
  <cols>
    <col min="1" max="1" width="16.140625" customWidth="1"/>
    <col min="2" max="2" width="95.28515625" customWidth="1"/>
    <col min="3" max="3" width="13.7109375" customWidth="1"/>
  </cols>
  <sheetData>
    <row r="1" spans="1:2">
      <c r="A1" s="28" t="str">
        <f ca="1">CELL("filename")</f>
        <v>Q:\SeventhPlan\Conservation Analysis\Com\[Com_Master_7P.xlsm]FILES</v>
      </c>
    </row>
    <row r="2" spans="1:2">
      <c r="A2" s="30" t="s">
        <v>52</v>
      </c>
      <c r="B2" s="515">
        <v>42041</v>
      </c>
    </row>
    <row r="3" spans="1:2">
      <c r="A3" s="513" t="s">
        <v>924</v>
      </c>
      <c r="B3" s="514"/>
    </row>
    <row r="82" spans="1:2" ht="15.75">
      <c r="A82" s="182" t="s">
        <v>420</v>
      </c>
      <c r="B82" s="182" t="s">
        <v>68</v>
      </c>
    </row>
    <row r="83" spans="1:2" ht="15">
      <c r="A83" s="183" t="s">
        <v>69</v>
      </c>
      <c r="B83" s="183" t="s">
        <v>425</v>
      </c>
    </row>
    <row r="84" spans="1:2" ht="15">
      <c r="A84" s="183" t="s">
        <v>433</v>
      </c>
      <c r="B84" s="184" t="s">
        <v>432</v>
      </c>
    </row>
    <row r="85" spans="1:2" ht="15">
      <c r="A85" s="183" t="s">
        <v>108</v>
      </c>
      <c r="B85" s="183" t="s">
        <v>424</v>
      </c>
    </row>
    <row r="86" spans="1:2" ht="15">
      <c r="A86" s="183" t="s">
        <v>110</v>
      </c>
      <c r="B86" s="183" t="s">
        <v>438</v>
      </c>
    </row>
    <row r="87" spans="1:2" ht="15">
      <c r="A87" s="183" t="s">
        <v>364</v>
      </c>
      <c r="B87" s="183" t="s">
        <v>437</v>
      </c>
    </row>
    <row r="88" spans="1:2" ht="15">
      <c r="A88" s="183" t="s">
        <v>366</v>
      </c>
      <c r="B88" s="183" t="s">
        <v>436</v>
      </c>
    </row>
    <row r="89" spans="1:2" ht="15">
      <c r="A89" s="183" t="s">
        <v>376</v>
      </c>
      <c r="B89" s="183" t="s">
        <v>435</v>
      </c>
    </row>
    <row r="90" spans="1:2" ht="15">
      <c r="A90" s="183" t="s">
        <v>377</v>
      </c>
      <c r="B90" s="183" t="s">
        <v>421</v>
      </c>
    </row>
    <row r="91" spans="1:2" ht="15">
      <c r="A91" s="183" t="s">
        <v>114</v>
      </c>
      <c r="B91" s="183" t="s">
        <v>115</v>
      </c>
    </row>
    <row r="92" spans="1:2" ht="15">
      <c r="A92" s="183" t="s">
        <v>107</v>
      </c>
      <c r="B92" s="183" t="s">
        <v>422</v>
      </c>
    </row>
    <row r="93" spans="1:2" ht="15">
      <c r="A93" s="183" t="s">
        <v>72</v>
      </c>
      <c r="B93" s="183" t="s">
        <v>75</v>
      </c>
    </row>
    <row r="94" spans="1:2" ht="15">
      <c r="A94" s="183" t="s">
        <v>76</v>
      </c>
      <c r="B94" s="183" t="s">
        <v>20</v>
      </c>
    </row>
    <row r="95" spans="1:2" ht="15">
      <c r="A95" s="183" t="s">
        <v>291</v>
      </c>
      <c r="B95" s="183" t="s">
        <v>434</v>
      </c>
    </row>
    <row r="96" spans="1:2" ht="15">
      <c r="A96" s="183" t="s">
        <v>379</v>
      </c>
      <c r="B96" s="183" t="s">
        <v>423</v>
      </c>
    </row>
    <row r="97" spans="1:2" ht="15">
      <c r="A97" s="183" t="s">
        <v>381</v>
      </c>
      <c r="B97" s="183" t="s">
        <v>70</v>
      </c>
    </row>
    <row r="98" spans="1:2" ht="15">
      <c r="A98" s="183" t="s">
        <v>383</v>
      </c>
      <c r="B98" s="183" t="s">
        <v>21</v>
      </c>
    </row>
  </sheetData>
  <phoneticPr fontId="0" type="noConversion"/>
  <pageMargins left="0.75" right="0.75" top="1" bottom="1" header="0.5" footer="0.5"/>
  <pageSetup orientation="portrait" r:id="rId1"/>
  <headerFooter alignWithMargins="0"/>
  <drawing r:id="rId2"/>
</worksheet>
</file>

<file path=xl/worksheets/sheet2.xml><?xml version="1.0" encoding="utf-8"?>
<worksheet xmlns="http://schemas.openxmlformats.org/spreadsheetml/2006/main" xmlns:r="http://schemas.openxmlformats.org/officeDocument/2006/relationships">
  <sheetPr codeName="Sheet20" enableFormatConditionsCalculation="0">
    <tabColor theme="6" tint="-0.249977111117893"/>
  </sheetPr>
  <dimension ref="A1:AI235"/>
  <sheetViews>
    <sheetView zoomScale="80" zoomScaleNormal="80" workbookViewId="0">
      <pane xSplit="4" ySplit="11" topLeftCell="K63" activePane="bottomRight" state="frozen"/>
      <selection pane="topRight" activeCell="E1" sqref="E1"/>
      <selection pane="bottomLeft" activeCell="A12" sqref="A12"/>
      <selection pane="bottomRight" activeCell="R78" sqref="R78"/>
    </sheetView>
  </sheetViews>
  <sheetFormatPr defaultRowHeight="12.75"/>
  <cols>
    <col min="1" max="1" width="21.85546875" customWidth="1"/>
    <col min="2" max="2" width="38.85546875" customWidth="1"/>
    <col min="3" max="3" width="9.28515625" customWidth="1"/>
    <col min="4" max="4" width="41.42578125" customWidth="1"/>
    <col min="5" max="5" width="16.28515625" customWidth="1"/>
    <col min="6" max="6" width="87" customWidth="1"/>
    <col min="7" max="7" width="9.140625" style="2" customWidth="1"/>
    <col min="8" max="8" width="40" customWidth="1"/>
    <col min="9" max="11" width="9.140625" customWidth="1"/>
    <col min="12" max="12" width="17.28515625" customWidth="1"/>
    <col min="13" max="13" width="12.7109375" customWidth="1"/>
    <col min="14" max="14" width="9.140625" customWidth="1"/>
    <col min="15" max="15" width="8.28515625" customWidth="1"/>
    <col min="16" max="16" width="9.140625" customWidth="1"/>
    <col min="17" max="17" width="9.140625" style="2" customWidth="1"/>
    <col min="18" max="18" width="25.85546875" style="2" customWidth="1"/>
    <col min="19" max="19" width="9.140625" customWidth="1"/>
    <col min="20" max="20" width="27" customWidth="1"/>
    <col min="21" max="21" width="41.5703125" customWidth="1"/>
    <col min="22" max="22" width="38.7109375" customWidth="1"/>
    <col min="23" max="25" width="9.140625" customWidth="1"/>
    <col min="26" max="26" width="11.7109375" customWidth="1"/>
    <col min="27" max="27" width="20.85546875" customWidth="1"/>
    <col min="28" max="28" width="27.85546875" customWidth="1"/>
  </cols>
  <sheetData>
    <row r="1" spans="1:35">
      <c r="A1" s="236" t="s">
        <v>108</v>
      </c>
      <c r="B1" s="236" t="s">
        <v>113</v>
      </c>
    </row>
    <row r="4" spans="1:35">
      <c r="A4">
        <v>1</v>
      </c>
      <c r="B4">
        <v>2</v>
      </c>
      <c r="C4">
        <v>3</v>
      </c>
      <c r="D4">
        <v>4</v>
      </c>
      <c r="E4">
        <v>5</v>
      </c>
      <c r="F4">
        <v>6</v>
      </c>
      <c r="G4" s="2">
        <v>7</v>
      </c>
    </row>
    <row r="6" spans="1:35">
      <c r="A6" s="218" t="s">
        <v>928</v>
      </c>
    </row>
    <row r="7" spans="1:35">
      <c r="A7" s="218" t="s">
        <v>926</v>
      </c>
    </row>
    <row r="8" spans="1:35">
      <c r="A8" s="218" t="s">
        <v>927</v>
      </c>
    </row>
    <row r="10" spans="1:35">
      <c r="D10" s="7"/>
      <c r="J10" t="s">
        <v>496</v>
      </c>
    </row>
    <row r="11" spans="1:35" s="8" customFormat="1" ht="51">
      <c r="A11" s="424" t="s">
        <v>859</v>
      </c>
      <c r="B11" s="237" t="s">
        <v>283</v>
      </c>
      <c r="C11" s="237" t="s">
        <v>255</v>
      </c>
      <c r="D11" s="237" t="s">
        <v>284</v>
      </c>
      <c r="E11" s="238" t="s">
        <v>504</v>
      </c>
      <c r="F11" s="237" t="s">
        <v>116</v>
      </c>
      <c r="G11" s="239" t="s">
        <v>117</v>
      </c>
      <c r="H11" s="237" t="s">
        <v>33</v>
      </c>
      <c r="I11" s="240" t="s">
        <v>663</v>
      </c>
      <c r="J11" s="241" t="s">
        <v>490</v>
      </c>
      <c r="K11" s="241" t="s">
        <v>820</v>
      </c>
      <c r="L11" s="241" t="s">
        <v>495</v>
      </c>
      <c r="M11" s="241" t="s">
        <v>491</v>
      </c>
      <c r="N11" s="241" t="s">
        <v>492</v>
      </c>
      <c r="O11" s="241" t="s">
        <v>493</v>
      </c>
      <c r="P11" s="241" t="s">
        <v>494</v>
      </c>
      <c r="Q11" s="242" t="s">
        <v>664</v>
      </c>
      <c r="R11" s="270" t="s">
        <v>696</v>
      </c>
      <c r="S11" s="241" t="s">
        <v>194</v>
      </c>
      <c r="T11" s="241" t="s">
        <v>498</v>
      </c>
      <c r="U11" s="240" t="s">
        <v>650</v>
      </c>
      <c r="V11" s="240" t="s">
        <v>649</v>
      </c>
    </row>
    <row r="12" spans="1:35">
      <c r="A12" s="205" t="s">
        <v>453</v>
      </c>
      <c r="B12" s="201" t="s">
        <v>453</v>
      </c>
      <c r="C12" s="208" t="s">
        <v>249</v>
      </c>
      <c r="D12" s="208" t="str">
        <f t="shared" ref="D12:D43" si="0">CONCATENATE(B12,"-",C12)</f>
        <v>Compressed Air-Retro</v>
      </c>
      <c r="E12" s="272" t="s">
        <v>925</v>
      </c>
      <c r="F12" t="s">
        <v>477</v>
      </c>
      <c r="G12" s="198">
        <v>1</v>
      </c>
      <c r="H12" s="212" t="s">
        <v>477</v>
      </c>
      <c r="I12" s="212" t="s">
        <v>668</v>
      </c>
      <c r="L12" s="212" t="s">
        <v>667</v>
      </c>
      <c r="Q12" s="213" t="s">
        <v>665</v>
      </c>
      <c r="R12" s="271" t="s">
        <v>697</v>
      </c>
      <c r="U12" t="s">
        <v>509</v>
      </c>
      <c r="AI12" s="199" t="s">
        <v>453</v>
      </c>
    </row>
    <row r="13" spans="1:35">
      <c r="A13" s="205" t="s">
        <v>453</v>
      </c>
      <c r="B13" s="201" t="s">
        <v>453</v>
      </c>
      <c r="C13" s="208" t="s">
        <v>248</v>
      </c>
      <c r="D13" s="208" t="str">
        <f t="shared" si="0"/>
        <v>Compressed Air-NR</v>
      </c>
      <c r="E13" s="272" t="s">
        <v>925</v>
      </c>
      <c r="F13" t="s">
        <v>478</v>
      </c>
      <c r="G13" s="198">
        <v>1</v>
      </c>
      <c r="H13" t="s">
        <v>478</v>
      </c>
      <c r="I13" s="212" t="s">
        <v>668</v>
      </c>
      <c r="L13" s="212" t="s">
        <v>667</v>
      </c>
      <c r="Q13" s="213" t="s">
        <v>665</v>
      </c>
      <c r="R13" s="271" t="s">
        <v>697</v>
      </c>
      <c r="U13" t="s">
        <v>512</v>
      </c>
      <c r="AI13" s="199" t="s">
        <v>454</v>
      </c>
    </row>
    <row r="14" spans="1:35">
      <c r="A14" s="16" t="s">
        <v>454</v>
      </c>
      <c r="B14" s="12" t="s">
        <v>56</v>
      </c>
      <c r="C14" s="16" t="s">
        <v>249</v>
      </c>
      <c r="D14" s="16" t="str">
        <f t="shared" si="0"/>
        <v>Network PC Power Management-Retro</v>
      </c>
      <c r="E14" s="207" t="s">
        <v>507</v>
      </c>
      <c r="F14" t="s">
        <v>218</v>
      </c>
      <c r="G14" s="198">
        <v>1</v>
      </c>
      <c r="H14" t="s">
        <v>56</v>
      </c>
      <c r="I14" s="212" t="s">
        <v>666</v>
      </c>
      <c r="L14" s="212" t="s">
        <v>667</v>
      </c>
      <c r="R14" s="271" t="s">
        <v>697</v>
      </c>
      <c r="U14" t="s">
        <v>523</v>
      </c>
      <c r="AI14" s="199" t="s">
        <v>455</v>
      </c>
    </row>
    <row r="15" spans="1:35">
      <c r="A15" s="16" t="s">
        <v>454</v>
      </c>
      <c r="B15" s="203" t="s">
        <v>986</v>
      </c>
      <c r="C15" s="208" t="s">
        <v>248</v>
      </c>
      <c r="D15" s="208" t="str">
        <f t="shared" si="0"/>
        <v>Laptop-NR</v>
      </c>
      <c r="E15" s="207" t="s">
        <v>507</v>
      </c>
      <c r="F15" s="218" t="s">
        <v>973</v>
      </c>
      <c r="G15" s="198">
        <v>1</v>
      </c>
      <c r="H15" s="218" t="s">
        <v>973</v>
      </c>
      <c r="I15" s="212" t="s">
        <v>666</v>
      </c>
      <c r="L15" s="212" t="s">
        <v>667</v>
      </c>
      <c r="R15" s="271" t="s">
        <v>697</v>
      </c>
      <c r="U15" t="s">
        <v>523</v>
      </c>
      <c r="AI15" s="199" t="s">
        <v>250</v>
      </c>
    </row>
    <row r="16" spans="1:35">
      <c r="A16" s="205" t="s">
        <v>454</v>
      </c>
      <c r="B16" s="201" t="s">
        <v>462</v>
      </c>
      <c r="C16" s="208" t="s">
        <v>249</v>
      </c>
      <c r="D16" s="208" t="str">
        <f t="shared" si="0"/>
        <v>Smart Plug Power Strips-Retro</v>
      </c>
      <c r="E16" s="207" t="s">
        <v>507</v>
      </c>
      <c r="F16" t="s">
        <v>462</v>
      </c>
      <c r="G16" s="198">
        <v>1</v>
      </c>
      <c r="H16" t="s">
        <v>462</v>
      </c>
      <c r="I16" s="212" t="s">
        <v>666</v>
      </c>
      <c r="L16" s="212" t="s">
        <v>667</v>
      </c>
      <c r="Q16" s="213" t="s">
        <v>665</v>
      </c>
      <c r="R16" s="271" t="s">
        <v>697</v>
      </c>
      <c r="U16" t="s">
        <v>528</v>
      </c>
      <c r="AI16" s="199" t="s">
        <v>456</v>
      </c>
    </row>
    <row r="17" spans="1:35">
      <c r="A17" s="205" t="s">
        <v>454</v>
      </c>
      <c r="B17" s="201" t="s">
        <v>484</v>
      </c>
      <c r="C17" s="208" t="s">
        <v>248</v>
      </c>
      <c r="D17" s="208" t="str">
        <f t="shared" si="0"/>
        <v>Data Centers-NR</v>
      </c>
      <c r="E17" s="207" t="s">
        <v>507</v>
      </c>
      <c r="F17" s="218" t="s">
        <v>962</v>
      </c>
      <c r="G17" s="198">
        <v>22</v>
      </c>
      <c r="H17" s="212" t="s">
        <v>484</v>
      </c>
      <c r="I17" s="212" t="s">
        <v>666</v>
      </c>
      <c r="L17" s="212" t="s">
        <v>667</v>
      </c>
      <c r="Q17" s="213" t="s">
        <v>665</v>
      </c>
      <c r="R17" s="271" t="s">
        <v>697</v>
      </c>
      <c r="U17" t="s">
        <v>523</v>
      </c>
      <c r="AI17" s="199" t="s">
        <v>459</v>
      </c>
    </row>
    <row r="18" spans="1:35">
      <c r="A18" s="205" t="s">
        <v>454</v>
      </c>
      <c r="B18" s="202" t="s">
        <v>987</v>
      </c>
      <c r="C18" s="208" t="s">
        <v>248</v>
      </c>
      <c r="D18" s="208" t="str">
        <f t="shared" si="0"/>
        <v>Monitor-NR</v>
      </c>
      <c r="E18" s="207" t="s">
        <v>507</v>
      </c>
      <c r="F18" s="212" t="s">
        <v>662</v>
      </c>
      <c r="G18" s="198">
        <v>1</v>
      </c>
      <c r="H18" t="s">
        <v>942</v>
      </c>
      <c r="I18" s="212" t="s">
        <v>666</v>
      </c>
      <c r="L18" s="212" t="s">
        <v>672</v>
      </c>
      <c r="Q18" s="213"/>
      <c r="R18" s="271" t="s">
        <v>697</v>
      </c>
      <c r="U18" t="s">
        <v>523</v>
      </c>
      <c r="AI18" s="199" t="s">
        <v>183</v>
      </c>
    </row>
    <row r="19" spans="1:35">
      <c r="A19" s="205" t="s">
        <v>454</v>
      </c>
      <c r="B19" s="203" t="s">
        <v>988</v>
      </c>
      <c r="C19" s="208" t="s">
        <v>248</v>
      </c>
      <c r="D19" s="208" t="str">
        <f t="shared" si="0"/>
        <v>Desktop-NR</v>
      </c>
      <c r="E19" s="207" t="s">
        <v>507</v>
      </c>
      <c r="F19" s="212" t="s">
        <v>834</v>
      </c>
      <c r="G19" s="198">
        <v>1</v>
      </c>
      <c r="H19" t="s">
        <v>943</v>
      </c>
      <c r="I19" s="212" t="s">
        <v>666</v>
      </c>
      <c r="L19" s="212" t="s">
        <v>673</v>
      </c>
      <c r="Q19" s="213"/>
      <c r="R19" s="271" t="s">
        <v>697</v>
      </c>
      <c r="U19" t="s">
        <v>523</v>
      </c>
    </row>
    <row r="20" spans="1:35">
      <c r="A20" s="16" t="s">
        <v>455</v>
      </c>
      <c r="B20" s="272" t="s">
        <v>703</v>
      </c>
      <c r="C20" s="16" t="s">
        <v>249</v>
      </c>
      <c r="D20" s="16" t="str">
        <f t="shared" si="0"/>
        <v>Pre-Rinse Spray Valve-Retro</v>
      </c>
      <c r="E20" s="207" t="s">
        <v>507</v>
      </c>
      <c r="F20" t="s">
        <v>415</v>
      </c>
      <c r="G20" s="198">
        <v>1</v>
      </c>
      <c r="H20" s="218" t="s">
        <v>703</v>
      </c>
      <c r="I20" s="212" t="s">
        <v>668</v>
      </c>
      <c r="L20" s="212" t="s">
        <v>667</v>
      </c>
      <c r="R20" s="271" t="s">
        <v>697</v>
      </c>
      <c r="U20" t="s">
        <v>639</v>
      </c>
    </row>
    <row r="21" spans="1:35">
      <c r="A21" s="16" t="s">
        <v>455</v>
      </c>
      <c r="B21" s="12" t="s">
        <v>99</v>
      </c>
      <c r="C21" s="272" t="s">
        <v>248</v>
      </c>
      <c r="D21" s="16" t="str">
        <f t="shared" si="0"/>
        <v>Cooking Equipment-NR</v>
      </c>
      <c r="E21" s="207" t="s">
        <v>507</v>
      </c>
      <c r="F21" t="s">
        <v>450</v>
      </c>
      <c r="G21" s="198">
        <v>4</v>
      </c>
      <c r="H21" t="s">
        <v>99</v>
      </c>
      <c r="I21" s="212" t="s">
        <v>666</v>
      </c>
      <c r="L21" s="212" t="s">
        <v>667</v>
      </c>
      <c r="R21" s="271" t="s">
        <v>697</v>
      </c>
      <c r="U21" t="s">
        <v>530</v>
      </c>
    </row>
    <row r="22" spans="1:35">
      <c r="A22" s="16" t="s">
        <v>250</v>
      </c>
      <c r="B22" s="272" t="s">
        <v>1153</v>
      </c>
      <c r="C22" s="16" t="s">
        <v>247</v>
      </c>
      <c r="D22" s="16" t="str">
        <f t="shared" si="0"/>
        <v>DHP-New</v>
      </c>
      <c r="E22" s="206" t="s">
        <v>505</v>
      </c>
      <c r="G22" s="198">
        <v>4</v>
      </c>
      <c r="I22" s="212" t="s">
        <v>666</v>
      </c>
      <c r="L22" s="212" t="s">
        <v>667</v>
      </c>
      <c r="R22" s="271" t="s">
        <v>698</v>
      </c>
      <c r="U22" t="s">
        <v>546</v>
      </c>
    </row>
    <row r="23" spans="1:35">
      <c r="A23" s="16" t="s">
        <v>250</v>
      </c>
      <c r="B23" s="272" t="s">
        <v>1153</v>
      </c>
      <c r="C23" s="272" t="s">
        <v>249</v>
      </c>
      <c r="D23" s="16" t="str">
        <f t="shared" si="0"/>
        <v>DHP-Retro</v>
      </c>
      <c r="E23" s="206" t="s">
        <v>505</v>
      </c>
      <c r="G23" s="198">
        <v>4</v>
      </c>
      <c r="I23" s="212" t="s">
        <v>666</v>
      </c>
      <c r="L23" s="212" t="s">
        <v>667</v>
      </c>
      <c r="R23" s="271" t="s">
        <v>698</v>
      </c>
      <c r="U23" t="s">
        <v>546</v>
      </c>
    </row>
    <row r="24" spans="1:35">
      <c r="A24" s="16" t="s">
        <v>250</v>
      </c>
      <c r="B24" s="16" t="s">
        <v>288</v>
      </c>
      <c r="C24" s="16" t="s">
        <v>247</v>
      </c>
      <c r="D24" s="16" t="str">
        <f t="shared" si="0"/>
        <v>Glass-New</v>
      </c>
      <c r="E24" s="206" t="s">
        <v>505</v>
      </c>
      <c r="F24" t="s">
        <v>11</v>
      </c>
      <c r="G24" s="198">
        <v>39</v>
      </c>
      <c r="H24" t="s">
        <v>7</v>
      </c>
      <c r="I24" s="212" t="s">
        <v>666</v>
      </c>
      <c r="L24" s="212" t="s">
        <v>667</v>
      </c>
      <c r="R24" s="271" t="s">
        <v>700</v>
      </c>
      <c r="U24" t="s">
        <v>536</v>
      </c>
    </row>
    <row r="25" spans="1:35">
      <c r="A25" s="16" t="s">
        <v>250</v>
      </c>
      <c r="B25" s="16" t="s">
        <v>288</v>
      </c>
      <c r="C25" s="16" t="s">
        <v>248</v>
      </c>
      <c r="D25" s="16" t="str">
        <f t="shared" si="0"/>
        <v>Glass-NR</v>
      </c>
      <c r="E25" s="206" t="s">
        <v>505</v>
      </c>
      <c r="F25" t="s">
        <v>11</v>
      </c>
      <c r="G25" s="198">
        <v>39</v>
      </c>
      <c r="H25" t="s">
        <v>7</v>
      </c>
      <c r="I25" s="212" t="s">
        <v>666</v>
      </c>
      <c r="L25" s="212" t="s">
        <v>667</v>
      </c>
      <c r="R25" s="271" t="s">
        <v>701</v>
      </c>
      <c r="U25" t="s">
        <v>536</v>
      </c>
    </row>
    <row r="26" spans="1:35">
      <c r="A26" s="16" t="s">
        <v>250</v>
      </c>
      <c r="B26" s="272" t="s">
        <v>1159</v>
      </c>
      <c r="C26" s="16" t="s">
        <v>249</v>
      </c>
      <c r="D26" s="16" t="str">
        <f t="shared" si="0"/>
        <v>ControllerLite-Retro</v>
      </c>
      <c r="E26" s="206" t="s">
        <v>505</v>
      </c>
      <c r="F26" s="218" t="s">
        <v>1160</v>
      </c>
      <c r="G26" s="198">
        <v>3</v>
      </c>
      <c r="H26" s="218" t="s">
        <v>1161</v>
      </c>
      <c r="I26" s="212" t="s">
        <v>666</v>
      </c>
      <c r="L26" s="212" t="s">
        <v>667</v>
      </c>
      <c r="R26" s="271" t="s">
        <v>702</v>
      </c>
      <c r="U26" t="s">
        <v>536</v>
      </c>
    </row>
    <row r="27" spans="1:35">
      <c r="A27" s="208" t="s">
        <v>250</v>
      </c>
      <c r="B27" s="208" t="s">
        <v>712</v>
      </c>
      <c r="C27" s="208" t="s">
        <v>247</v>
      </c>
      <c r="D27" s="208" t="str">
        <f t="shared" si="0"/>
        <v>Advanced Rooftop Controller-New</v>
      </c>
      <c r="E27" s="206" t="s">
        <v>505</v>
      </c>
      <c r="F27" t="s">
        <v>12</v>
      </c>
      <c r="G27" s="198">
        <v>3</v>
      </c>
      <c r="H27" s="208" t="s">
        <v>712</v>
      </c>
      <c r="I27" s="212" t="s">
        <v>669</v>
      </c>
      <c r="L27" s="212" t="s">
        <v>667</v>
      </c>
      <c r="R27" s="271" t="s">
        <v>698</v>
      </c>
      <c r="U27" t="s">
        <v>546</v>
      </c>
    </row>
    <row r="28" spans="1:35">
      <c r="A28" s="208" t="s">
        <v>250</v>
      </c>
      <c r="B28" s="208" t="s">
        <v>712</v>
      </c>
      <c r="C28" s="208" t="s">
        <v>248</v>
      </c>
      <c r="D28" s="208" t="str">
        <f t="shared" si="0"/>
        <v>Advanced Rooftop Controller-NR</v>
      </c>
      <c r="E28" s="206" t="s">
        <v>505</v>
      </c>
      <c r="F28" t="s">
        <v>12</v>
      </c>
      <c r="G28" s="198">
        <v>2</v>
      </c>
      <c r="H28" s="208" t="s">
        <v>712</v>
      </c>
      <c r="I28" s="212" t="s">
        <v>669</v>
      </c>
      <c r="L28" s="212" t="s">
        <v>667</v>
      </c>
      <c r="R28" s="271" t="s">
        <v>698</v>
      </c>
      <c r="U28" t="s">
        <v>546</v>
      </c>
    </row>
    <row r="29" spans="1:35">
      <c r="A29" s="208" t="s">
        <v>250</v>
      </c>
      <c r="B29" s="208" t="s">
        <v>712</v>
      </c>
      <c r="C29" s="208" t="s">
        <v>249</v>
      </c>
      <c r="D29" s="208" t="str">
        <f t="shared" si="0"/>
        <v>Advanced Rooftop Controller-Retro</v>
      </c>
      <c r="E29" s="206" t="s">
        <v>505</v>
      </c>
      <c r="F29" t="s">
        <v>12</v>
      </c>
      <c r="G29" s="198">
        <v>3</v>
      </c>
      <c r="H29" s="208" t="s">
        <v>712</v>
      </c>
      <c r="I29" s="212" t="s">
        <v>669</v>
      </c>
      <c r="L29" s="212" t="s">
        <v>667</v>
      </c>
      <c r="R29" s="271" t="s">
        <v>698</v>
      </c>
      <c r="U29" t="s">
        <v>546</v>
      </c>
    </row>
    <row r="30" spans="1:35">
      <c r="A30" s="16" t="s">
        <v>250</v>
      </c>
      <c r="B30" s="16" t="s">
        <v>1</v>
      </c>
      <c r="C30" s="16" t="s">
        <v>247</v>
      </c>
      <c r="D30" s="16" t="str">
        <f t="shared" si="0"/>
        <v>Variable Speed Chiller-New</v>
      </c>
      <c r="E30" s="206" t="s">
        <v>505</v>
      </c>
      <c r="F30" t="s">
        <v>13</v>
      </c>
      <c r="G30" s="198">
        <v>1</v>
      </c>
      <c r="H30" t="s">
        <v>1</v>
      </c>
      <c r="I30" s="212" t="s">
        <v>668</v>
      </c>
      <c r="L30" s="212" t="s">
        <v>667</v>
      </c>
      <c r="R30" s="271" t="s">
        <v>698</v>
      </c>
      <c r="U30" t="s">
        <v>536</v>
      </c>
    </row>
    <row r="31" spans="1:35">
      <c r="A31" s="16" t="s">
        <v>250</v>
      </c>
      <c r="B31" s="16" t="s">
        <v>1</v>
      </c>
      <c r="C31" s="16" t="s">
        <v>248</v>
      </c>
      <c r="D31" s="16" t="str">
        <f t="shared" si="0"/>
        <v>Variable Speed Chiller-NR</v>
      </c>
      <c r="E31" s="206" t="s">
        <v>505</v>
      </c>
      <c r="F31" t="s">
        <v>13</v>
      </c>
      <c r="G31" s="198">
        <v>1</v>
      </c>
      <c r="H31" t="s">
        <v>1</v>
      </c>
      <c r="I31" s="212" t="s">
        <v>668</v>
      </c>
      <c r="L31" s="212" t="s">
        <v>667</v>
      </c>
      <c r="R31" s="271" t="s">
        <v>698</v>
      </c>
      <c r="U31" t="s">
        <v>536</v>
      </c>
    </row>
    <row r="32" spans="1:35">
      <c r="A32" s="16" t="s">
        <v>250</v>
      </c>
      <c r="B32" s="272" t="s">
        <v>761</v>
      </c>
      <c r="C32" s="16" t="s">
        <v>247</v>
      </c>
      <c r="D32" s="16" t="str">
        <f t="shared" si="0"/>
        <v>Commercial EM-New</v>
      </c>
      <c r="E32" s="206" t="s">
        <v>505</v>
      </c>
      <c r="F32" s="218" t="s">
        <v>762</v>
      </c>
      <c r="G32" s="198">
        <v>1</v>
      </c>
      <c r="H32" s="218" t="s">
        <v>763</v>
      </c>
      <c r="I32" s="212" t="s">
        <v>666</v>
      </c>
      <c r="L32" s="212" t="s">
        <v>667</v>
      </c>
      <c r="R32" s="271" t="s">
        <v>698</v>
      </c>
      <c r="U32" t="s">
        <v>645</v>
      </c>
    </row>
    <row r="33" spans="1:21">
      <c r="A33" s="16" t="s">
        <v>250</v>
      </c>
      <c r="B33" s="272" t="s">
        <v>761</v>
      </c>
      <c r="C33" s="16" t="s">
        <v>248</v>
      </c>
      <c r="D33" s="16" t="str">
        <f t="shared" si="0"/>
        <v>Commercial EM-NR</v>
      </c>
      <c r="E33" s="206" t="s">
        <v>505</v>
      </c>
      <c r="F33" s="218" t="s">
        <v>762</v>
      </c>
      <c r="G33" s="198">
        <v>1</v>
      </c>
      <c r="H33" s="218" t="s">
        <v>763</v>
      </c>
      <c r="I33" s="212" t="s">
        <v>666</v>
      </c>
      <c r="L33" s="212" t="s">
        <v>667</v>
      </c>
      <c r="R33" s="271" t="s">
        <v>698</v>
      </c>
      <c r="U33" t="s">
        <v>645</v>
      </c>
    </row>
    <row r="34" spans="1:21">
      <c r="A34" s="16" t="s">
        <v>250</v>
      </c>
      <c r="B34" s="272" t="s">
        <v>761</v>
      </c>
      <c r="C34" s="16" t="s">
        <v>249</v>
      </c>
      <c r="D34" s="16" t="str">
        <f t="shared" si="0"/>
        <v>Commercial EM-Retro</v>
      </c>
      <c r="E34" s="206" t="s">
        <v>505</v>
      </c>
      <c r="F34" s="218" t="s">
        <v>762</v>
      </c>
      <c r="G34" s="198">
        <v>20</v>
      </c>
      <c r="H34" s="218" t="s">
        <v>763</v>
      </c>
      <c r="I34" s="212" t="s">
        <v>666</v>
      </c>
      <c r="L34" s="212" t="s">
        <v>667</v>
      </c>
      <c r="R34" s="271" t="s">
        <v>698</v>
      </c>
      <c r="U34" t="s">
        <v>645</v>
      </c>
    </row>
    <row r="35" spans="1:21">
      <c r="A35" s="16" t="s">
        <v>250</v>
      </c>
      <c r="B35" s="16" t="s">
        <v>251</v>
      </c>
      <c r="C35" s="16" t="s">
        <v>247</v>
      </c>
      <c r="D35" s="16" t="str">
        <f t="shared" si="0"/>
        <v>Evaporative Assist Cooling-New</v>
      </c>
      <c r="E35" s="206" t="s">
        <v>505</v>
      </c>
      <c r="F35" t="s">
        <v>251</v>
      </c>
      <c r="G35" s="198">
        <v>1</v>
      </c>
      <c r="H35" t="s">
        <v>251</v>
      </c>
      <c r="I35" s="212" t="s">
        <v>668</v>
      </c>
      <c r="L35" s="212" t="s">
        <v>667</v>
      </c>
      <c r="R35" s="271" t="s">
        <v>698</v>
      </c>
      <c r="U35" t="s">
        <v>546</v>
      </c>
    </row>
    <row r="36" spans="1:21">
      <c r="A36" s="16" t="s">
        <v>250</v>
      </c>
      <c r="B36" s="16" t="s">
        <v>251</v>
      </c>
      <c r="C36" s="16" t="s">
        <v>248</v>
      </c>
      <c r="D36" s="16" t="str">
        <f t="shared" si="0"/>
        <v>Evaporative Assist Cooling-NR</v>
      </c>
      <c r="E36" s="206" t="s">
        <v>505</v>
      </c>
      <c r="F36" t="s">
        <v>251</v>
      </c>
      <c r="G36" s="198">
        <v>1</v>
      </c>
      <c r="H36" t="s">
        <v>251</v>
      </c>
      <c r="I36" s="212" t="s">
        <v>668</v>
      </c>
      <c r="L36" s="212" t="s">
        <v>667</v>
      </c>
      <c r="R36" s="271" t="s">
        <v>698</v>
      </c>
      <c r="U36" t="s">
        <v>546</v>
      </c>
    </row>
    <row r="37" spans="1:21">
      <c r="A37" s="16" t="s">
        <v>250</v>
      </c>
      <c r="B37" s="272" t="s">
        <v>1124</v>
      </c>
      <c r="C37" s="272" t="s">
        <v>249</v>
      </c>
      <c r="D37" s="16" t="str">
        <f t="shared" si="0"/>
        <v>Economizer-Retro</v>
      </c>
      <c r="E37" s="206" t="s">
        <v>505</v>
      </c>
      <c r="F37" s="206" t="s">
        <v>1128</v>
      </c>
      <c r="G37" s="198">
        <v>2</v>
      </c>
      <c r="H37" s="218" t="s">
        <v>1127</v>
      </c>
      <c r="I37" s="212" t="s">
        <v>668</v>
      </c>
      <c r="L37" s="212" t="s">
        <v>667</v>
      </c>
      <c r="R37" s="271" t="s">
        <v>699</v>
      </c>
      <c r="U37" t="s">
        <v>546</v>
      </c>
    </row>
    <row r="38" spans="1:21">
      <c r="A38" s="16" t="s">
        <v>250</v>
      </c>
      <c r="B38" s="16" t="s">
        <v>252</v>
      </c>
      <c r="C38" s="16" t="s">
        <v>247</v>
      </c>
      <c r="D38" s="16" t="str">
        <f t="shared" si="0"/>
        <v>Demand Control Ventilation-New</v>
      </c>
      <c r="E38" s="206" t="s">
        <v>505</v>
      </c>
      <c r="F38" t="s">
        <v>238</v>
      </c>
      <c r="G38" s="198">
        <v>2</v>
      </c>
      <c r="H38" t="s">
        <v>252</v>
      </c>
      <c r="I38" s="212" t="s">
        <v>666</v>
      </c>
      <c r="L38" s="212" t="s">
        <v>667</v>
      </c>
      <c r="R38" s="271" t="s">
        <v>698</v>
      </c>
      <c r="U38" t="s">
        <v>540</v>
      </c>
    </row>
    <row r="39" spans="1:21">
      <c r="A39" s="16" t="s">
        <v>250</v>
      </c>
      <c r="B39" s="16" t="s">
        <v>252</v>
      </c>
      <c r="C39" s="16" t="s">
        <v>248</v>
      </c>
      <c r="D39" s="16" t="str">
        <f t="shared" si="0"/>
        <v>Demand Control Ventilation-NR</v>
      </c>
      <c r="E39" s="206" t="s">
        <v>505</v>
      </c>
      <c r="F39" t="s">
        <v>238</v>
      </c>
      <c r="G39" s="198">
        <v>1</v>
      </c>
      <c r="H39" t="s">
        <v>252</v>
      </c>
      <c r="I39" s="212" t="s">
        <v>666</v>
      </c>
      <c r="L39" s="212" t="s">
        <v>667</v>
      </c>
      <c r="R39" s="271" t="s">
        <v>698</v>
      </c>
      <c r="U39" t="s">
        <v>540</v>
      </c>
    </row>
    <row r="40" spans="1:21">
      <c r="A40" s="16" t="s">
        <v>250</v>
      </c>
      <c r="B40" s="16" t="s">
        <v>252</v>
      </c>
      <c r="C40" s="16" t="s">
        <v>249</v>
      </c>
      <c r="D40" s="16" t="str">
        <f t="shared" si="0"/>
        <v>Demand Control Ventilation-Retro</v>
      </c>
      <c r="E40" s="206" t="s">
        <v>505</v>
      </c>
      <c r="F40" t="s">
        <v>238</v>
      </c>
      <c r="G40" s="198">
        <v>2</v>
      </c>
      <c r="H40" t="s">
        <v>252</v>
      </c>
      <c r="I40" s="212" t="s">
        <v>666</v>
      </c>
      <c r="L40" s="212" t="s">
        <v>667</v>
      </c>
      <c r="R40" s="271" t="s">
        <v>698</v>
      </c>
      <c r="U40" t="s">
        <v>540</v>
      </c>
    </row>
    <row r="41" spans="1:21">
      <c r="A41" s="16" t="s">
        <v>250</v>
      </c>
      <c r="B41" s="16" t="s">
        <v>359</v>
      </c>
      <c r="C41" s="272" t="s">
        <v>248</v>
      </c>
      <c r="D41" s="16" t="str">
        <f t="shared" si="0"/>
        <v>Premium Fume Hood-NR</v>
      </c>
      <c r="E41" s="207" t="s">
        <v>507</v>
      </c>
      <c r="F41" t="s">
        <v>414</v>
      </c>
      <c r="G41" s="198">
        <v>1</v>
      </c>
      <c r="H41" t="s">
        <v>359</v>
      </c>
      <c r="I41" s="212" t="s">
        <v>668</v>
      </c>
      <c r="L41" s="212" t="s">
        <v>667</v>
      </c>
      <c r="R41" s="271" t="s">
        <v>697</v>
      </c>
      <c r="U41" t="s">
        <v>586</v>
      </c>
    </row>
    <row r="42" spans="1:21">
      <c r="A42" s="16" t="s">
        <v>250</v>
      </c>
      <c r="B42" s="12" t="s">
        <v>211</v>
      </c>
      <c r="C42" s="16" t="s">
        <v>249</v>
      </c>
      <c r="D42" s="16" t="str">
        <f t="shared" si="0"/>
        <v>DCV Restaurant Hood-Retro</v>
      </c>
      <c r="E42" s="206" t="s">
        <v>507</v>
      </c>
      <c r="F42" t="s">
        <v>18</v>
      </c>
      <c r="G42" s="198">
        <v>1</v>
      </c>
      <c r="H42" t="s">
        <v>211</v>
      </c>
      <c r="I42" s="212" t="s">
        <v>266</v>
      </c>
      <c r="L42" s="212" t="s">
        <v>667</v>
      </c>
      <c r="R42" s="271" t="s">
        <v>697</v>
      </c>
      <c r="U42" t="s">
        <v>586</v>
      </c>
    </row>
    <row r="43" spans="1:21">
      <c r="A43" s="16" t="s">
        <v>250</v>
      </c>
      <c r="B43" s="16" t="s">
        <v>237</v>
      </c>
      <c r="C43" s="16" t="s">
        <v>249</v>
      </c>
      <c r="D43" s="16" t="str">
        <f t="shared" si="0"/>
        <v>DCV Parking Garage-Retro</v>
      </c>
      <c r="E43" s="272" t="s">
        <v>760</v>
      </c>
      <c r="F43" t="s">
        <v>19</v>
      </c>
      <c r="G43" s="198">
        <v>1</v>
      </c>
      <c r="H43" t="s">
        <v>237</v>
      </c>
      <c r="I43" s="212" t="s">
        <v>666</v>
      </c>
      <c r="L43" s="212" t="s">
        <v>667</v>
      </c>
      <c r="Q43" s="213" t="s">
        <v>665</v>
      </c>
      <c r="R43" s="271" t="s">
        <v>697</v>
      </c>
      <c r="U43" t="s">
        <v>586</v>
      </c>
    </row>
    <row r="44" spans="1:21">
      <c r="A44" s="205" t="s">
        <v>250</v>
      </c>
      <c r="B44" s="201" t="s">
        <v>468</v>
      </c>
      <c r="C44" s="208" t="s">
        <v>249</v>
      </c>
      <c r="D44" s="208" t="str">
        <f t="shared" ref="D44:D81" si="1">CONCATENATE(B44,"-",C44)</f>
        <v>Weatherization - School-Retro</v>
      </c>
      <c r="E44" s="206" t="s">
        <v>505</v>
      </c>
      <c r="F44" s="212" t="s">
        <v>656</v>
      </c>
      <c r="G44" s="198">
        <v>1</v>
      </c>
      <c r="H44" t="s">
        <v>468</v>
      </c>
      <c r="I44" s="212" t="s">
        <v>263</v>
      </c>
      <c r="L44" s="212" t="s">
        <v>667</v>
      </c>
      <c r="Q44" s="213" t="s">
        <v>665</v>
      </c>
      <c r="R44" s="271" t="s">
        <v>697</v>
      </c>
      <c r="U44" t="s">
        <v>536</v>
      </c>
    </row>
    <row r="45" spans="1:21">
      <c r="A45" s="205" t="s">
        <v>250</v>
      </c>
      <c r="B45" s="415" t="s">
        <v>469</v>
      </c>
      <c r="C45" s="208" t="s">
        <v>248</v>
      </c>
      <c r="D45" s="208" t="str">
        <f t="shared" si="1"/>
        <v>Energy Recovery Ventilator-NR</v>
      </c>
      <c r="E45" s="207" t="s">
        <v>507</v>
      </c>
      <c r="F45" s="208" t="s">
        <v>979</v>
      </c>
      <c r="G45" s="198">
        <v>1</v>
      </c>
      <c r="H45" s="208" t="s">
        <v>979</v>
      </c>
      <c r="I45" s="212" t="s">
        <v>666</v>
      </c>
      <c r="L45" s="218" t="s">
        <v>980</v>
      </c>
      <c r="Q45" s="213"/>
      <c r="R45" s="271" t="s">
        <v>697</v>
      </c>
      <c r="U45" t="s">
        <v>523</v>
      </c>
    </row>
    <row r="46" spans="1:21">
      <c r="A46" s="205" t="s">
        <v>250</v>
      </c>
      <c r="B46" s="201" t="s">
        <v>470</v>
      </c>
      <c r="C46" s="208" t="s">
        <v>248</v>
      </c>
      <c r="D46" s="208" t="str">
        <f t="shared" si="1"/>
        <v>AC Heat Recovery for Water Heating-NR</v>
      </c>
      <c r="E46" s="207" t="s">
        <v>507</v>
      </c>
      <c r="F46" t="s">
        <v>470</v>
      </c>
      <c r="G46" s="198">
        <v>1</v>
      </c>
      <c r="H46" t="s">
        <v>470</v>
      </c>
      <c r="I46" s="212" t="s">
        <v>666</v>
      </c>
      <c r="L46" s="212" t="s">
        <v>667</v>
      </c>
      <c r="Q46" s="213" t="s">
        <v>665</v>
      </c>
      <c r="R46" s="271" t="s">
        <v>697</v>
      </c>
      <c r="U46" t="s">
        <v>521</v>
      </c>
    </row>
    <row r="47" spans="1:21">
      <c r="A47" s="205" t="s">
        <v>250</v>
      </c>
      <c r="B47" s="201" t="s">
        <v>472</v>
      </c>
      <c r="C47" s="208" t="s">
        <v>249</v>
      </c>
      <c r="D47" s="208" t="str">
        <f t="shared" si="1"/>
        <v>Room Occupancy Sensors in Lodging-Retro</v>
      </c>
      <c r="E47" s="207" t="s">
        <v>507</v>
      </c>
      <c r="F47" t="s">
        <v>472</v>
      </c>
      <c r="G47" s="198">
        <v>1</v>
      </c>
      <c r="H47" t="s">
        <v>472</v>
      </c>
      <c r="I47" s="212" t="s">
        <v>267</v>
      </c>
      <c r="L47" s="212" t="s">
        <v>667</v>
      </c>
      <c r="Q47" s="213" t="s">
        <v>665</v>
      </c>
      <c r="R47" s="271" t="s">
        <v>697</v>
      </c>
      <c r="U47" t="s">
        <v>645</v>
      </c>
    </row>
    <row r="48" spans="1:21">
      <c r="A48" s="205" t="s">
        <v>250</v>
      </c>
      <c r="B48" s="201" t="s">
        <v>474</v>
      </c>
      <c r="C48" s="208" t="s">
        <v>249</v>
      </c>
      <c r="D48" s="208" t="str">
        <f t="shared" si="1"/>
        <v>Chiller - chilled water retrofit-Retro</v>
      </c>
      <c r="E48" s="206" t="s">
        <v>505</v>
      </c>
      <c r="F48" s="212" t="s">
        <v>658</v>
      </c>
      <c r="G48" s="198">
        <v>1</v>
      </c>
      <c r="H48" t="s">
        <v>474</v>
      </c>
      <c r="I48" s="212" t="s">
        <v>668</v>
      </c>
      <c r="L48" s="212" t="s">
        <v>667</v>
      </c>
      <c r="Q48" s="213" t="s">
        <v>665</v>
      </c>
      <c r="R48" s="271" t="s">
        <v>697</v>
      </c>
      <c r="U48" t="s">
        <v>546</v>
      </c>
    </row>
    <row r="49" spans="1:21">
      <c r="A49" s="205" t="s">
        <v>250</v>
      </c>
      <c r="B49" s="201" t="s">
        <v>475</v>
      </c>
      <c r="C49" s="208" t="s">
        <v>249</v>
      </c>
      <c r="D49" s="208" t="str">
        <f t="shared" si="1"/>
        <v>Chiller - equip retrofits-Retro</v>
      </c>
      <c r="E49" s="206" t="s">
        <v>505</v>
      </c>
      <c r="F49" s="212" t="s">
        <v>659</v>
      </c>
      <c r="G49" s="198">
        <v>1</v>
      </c>
      <c r="H49" t="s">
        <v>475</v>
      </c>
      <c r="I49" s="212" t="s">
        <v>668</v>
      </c>
      <c r="L49" s="212" t="s">
        <v>667</v>
      </c>
      <c r="Q49" s="213" t="s">
        <v>665</v>
      </c>
      <c r="R49" s="271" t="s">
        <v>697</v>
      </c>
      <c r="U49" t="s">
        <v>546</v>
      </c>
    </row>
    <row r="50" spans="1:21">
      <c r="A50" s="205" t="s">
        <v>250</v>
      </c>
      <c r="B50" s="201" t="s">
        <v>481</v>
      </c>
      <c r="C50" s="208" t="s">
        <v>249</v>
      </c>
      <c r="D50" s="208" t="str">
        <f t="shared" si="1"/>
        <v>Pool Blankets-Retro</v>
      </c>
      <c r="E50" s="207" t="s">
        <v>507</v>
      </c>
      <c r="F50" t="s">
        <v>481</v>
      </c>
      <c r="G50" s="198">
        <v>1</v>
      </c>
      <c r="H50" t="s">
        <v>481</v>
      </c>
      <c r="I50" s="212" t="s">
        <v>668</v>
      </c>
      <c r="L50" s="212" t="s">
        <v>667</v>
      </c>
      <c r="Q50" s="213" t="s">
        <v>665</v>
      </c>
      <c r="R50" s="271" t="s">
        <v>697</v>
      </c>
      <c r="U50" t="s">
        <v>633</v>
      </c>
    </row>
    <row r="51" spans="1:21">
      <c r="A51" s="205" t="s">
        <v>250</v>
      </c>
      <c r="B51" s="201" t="s">
        <v>482</v>
      </c>
      <c r="C51" s="208" t="s">
        <v>249</v>
      </c>
      <c r="D51" s="208" t="str">
        <f t="shared" si="1"/>
        <v>Web-Enabled Thermostats-Retro</v>
      </c>
      <c r="E51" s="206" t="s">
        <v>505</v>
      </c>
      <c r="F51" t="s">
        <v>482</v>
      </c>
      <c r="G51" s="198">
        <v>1</v>
      </c>
      <c r="H51" t="s">
        <v>482</v>
      </c>
      <c r="I51" s="212" t="s">
        <v>668</v>
      </c>
      <c r="L51" s="212" t="s">
        <v>667</v>
      </c>
      <c r="Q51" s="213" t="s">
        <v>665</v>
      </c>
      <c r="R51" s="271" t="s">
        <v>697</v>
      </c>
      <c r="U51" t="s">
        <v>540</v>
      </c>
    </row>
    <row r="52" spans="1:21">
      <c r="A52" s="205" t="s">
        <v>250</v>
      </c>
      <c r="B52" s="201" t="s">
        <v>487</v>
      </c>
      <c r="C52" s="208" t="s">
        <v>249</v>
      </c>
      <c r="D52" s="208" t="str">
        <f t="shared" si="1"/>
        <v>Garage CO2 ventilation-Retro</v>
      </c>
      <c r="E52" s="207" t="s">
        <v>507</v>
      </c>
      <c r="F52" t="s">
        <v>487</v>
      </c>
      <c r="G52" s="198">
        <v>1</v>
      </c>
      <c r="H52" t="s">
        <v>487</v>
      </c>
      <c r="I52" s="212" t="s">
        <v>668</v>
      </c>
      <c r="L52" s="212" t="s">
        <v>667</v>
      </c>
      <c r="Q52" s="213" t="s">
        <v>665</v>
      </c>
      <c r="R52" s="271" t="s">
        <v>697</v>
      </c>
      <c r="U52" t="s">
        <v>540</v>
      </c>
    </row>
    <row r="53" spans="1:21">
      <c r="A53" s="205" t="s">
        <v>250</v>
      </c>
      <c r="B53" s="203" t="s">
        <v>488</v>
      </c>
      <c r="C53" s="208" t="s">
        <v>249</v>
      </c>
      <c r="D53" s="208" t="str">
        <f t="shared" si="1"/>
        <v>Circ Pump ECM and drive-Retro</v>
      </c>
      <c r="E53" s="207" t="s">
        <v>507</v>
      </c>
      <c r="F53" s="212" t="s">
        <v>661</v>
      </c>
      <c r="G53" s="198">
        <v>1</v>
      </c>
      <c r="H53" t="s">
        <v>488</v>
      </c>
      <c r="I53" s="212" t="s">
        <v>668</v>
      </c>
      <c r="L53" s="212" t="s">
        <v>667</v>
      </c>
      <c r="Q53" s="213" t="s">
        <v>665</v>
      </c>
      <c r="R53" s="271" t="s">
        <v>697</v>
      </c>
      <c r="U53" t="s">
        <v>586</v>
      </c>
    </row>
    <row r="54" spans="1:21">
      <c r="A54" s="205" t="s">
        <v>250</v>
      </c>
      <c r="B54" s="201" t="s">
        <v>839</v>
      </c>
      <c r="C54" s="208" t="s">
        <v>247</v>
      </c>
      <c r="D54" s="208" t="str">
        <f t="shared" si="1"/>
        <v>VRF-New</v>
      </c>
      <c r="E54" s="206" t="s">
        <v>505</v>
      </c>
      <c r="F54" t="s">
        <v>840</v>
      </c>
      <c r="G54" s="198">
        <v>1</v>
      </c>
      <c r="H54" t="str">
        <f>F54</f>
        <v>Variable Refrigerant Flow</v>
      </c>
      <c r="I54" s="212" t="s">
        <v>668</v>
      </c>
      <c r="L54" s="212" t="s">
        <v>667</v>
      </c>
      <c r="Q54" s="213" t="s">
        <v>665</v>
      </c>
      <c r="R54" s="271"/>
      <c r="U54" t="s">
        <v>546</v>
      </c>
    </row>
    <row r="55" spans="1:21">
      <c r="A55" s="205" t="s">
        <v>250</v>
      </c>
      <c r="B55" s="204" t="s">
        <v>839</v>
      </c>
      <c r="C55" s="208" t="s">
        <v>249</v>
      </c>
      <c r="D55" s="208" t="str">
        <f t="shared" si="1"/>
        <v>VRF-Retro</v>
      </c>
      <c r="E55" s="206" t="s">
        <v>505</v>
      </c>
      <c r="F55" t="s">
        <v>840</v>
      </c>
      <c r="G55" s="198">
        <v>1</v>
      </c>
      <c r="H55" t="str">
        <f>F55</f>
        <v>Variable Refrigerant Flow</v>
      </c>
      <c r="I55" s="212" t="s">
        <v>668</v>
      </c>
      <c r="L55" s="212" t="s">
        <v>667</v>
      </c>
      <c r="Q55" s="213" t="s">
        <v>665</v>
      </c>
      <c r="R55" s="271" t="s">
        <v>697</v>
      </c>
      <c r="U55" t="s">
        <v>536</v>
      </c>
    </row>
    <row r="56" spans="1:21">
      <c r="A56" s="205" t="s">
        <v>250</v>
      </c>
      <c r="B56" s="204" t="s">
        <v>489</v>
      </c>
      <c r="C56" s="208" t="s">
        <v>249</v>
      </c>
      <c r="D56" s="208" t="str">
        <f t="shared" si="1"/>
        <v>Evaporator Roof Top HVAC-Retro</v>
      </c>
      <c r="E56" s="206" t="s">
        <v>505</v>
      </c>
      <c r="F56" t="s">
        <v>489</v>
      </c>
      <c r="G56" s="198">
        <v>1</v>
      </c>
      <c r="H56" t="s">
        <v>489</v>
      </c>
      <c r="I56" s="212" t="s">
        <v>668</v>
      </c>
      <c r="L56" s="212" t="s">
        <v>667</v>
      </c>
      <c r="Q56" s="213" t="s">
        <v>665</v>
      </c>
      <c r="R56" s="271" t="s">
        <v>697</v>
      </c>
      <c r="U56" t="s">
        <v>546</v>
      </c>
    </row>
    <row r="57" spans="1:21">
      <c r="A57" s="205" t="s">
        <v>250</v>
      </c>
      <c r="B57" s="204" t="s">
        <v>508</v>
      </c>
      <c r="C57" s="208" t="s">
        <v>249</v>
      </c>
      <c r="D57" s="208" t="str">
        <f t="shared" si="1"/>
        <v>Secondary Glazing Systems-Retro</v>
      </c>
      <c r="E57" s="206" t="s">
        <v>505</v>
      </c>
      <c r="F57" t="s">
        <v>508</v>
      </c>
      <c r="G57" s="198">
        <v>1</v>
      </c>
      <c r="H57" t="s">
        <v>508</v>
      </c>
      <c r="I57" s="212" t="s">
        <v>666</v>
      </c>
      <c r="L57" s="212" t="s">
        <v>667</v>
      </c>
      <c r="Q57" s="213" t="s">
        <v>665</v>
      </c>
      <c r="R57" s="271" t="s">
        <v>697</v>
      </c>
      <c r="U57" t="s">
        <v>536</v>
      </c>
    </row>
    <row r="58" spans="1:21">
      <c r="A58" s="16" t="s">
        <v>456</v>
      </c>
      <c r="B58" s="16" t="s">
        <v>410</v>
      </c>
      <c r="C58" s="16" t="s">
        <v>247</v>
      </c>
      <c r="D58" s="16" t="str">
        <f t="shared" si="1"/>
        <v>LPD Package-New</v>
      </c>
      <c r="E58" s="206" t="s">
        <v>505</v>
      </c>
      <c r="F58" t="s">
        <v>9</v>
      </c>
      <c r="G58" s="198">
        <v>8</v>
      </c>
      <c r="H58" t="s">
        <v>34</v>
      </c>
      <c r="I58" s="212" t="s">
        <v>666</v>
      </c>
      <c r="L58" s="212" t="s">
        <v>667</v>
      </c>
      <c r="R58" s="271" t="s">
        <v>698</v>
      </c>
      <c r="U58" t="s">
        <v>563</v>
      </c>
    </row>
    <row r="59" spans="1:21">
      <c r="A59" s="16" t="s">
        <v>456</v>
      </c>
      <c r="B59" s="16" t="s">
        <v>410</v>
      </c>
      <c r="C59" s="16" t="s">
        <v>248</v>
      </c>
      <c r="D59" s="16" t="str">
        <f t="shared" si="1"/>
        <v>LPD Package-NR</v>
      </c>
      <c r="E59" s="206" t="s">
        <v>505</v>
      </c>
      <c r="F59" t="s">
        <v>9</v>
      </c>
      <c r="G59" s="198">
        <v>12</v>
      </c>
      <c r="H59" t="s">
        <v>34</v>
      </c>
      <c r="I59" s="212" t="s">
        <v>666</v>
      </c>
      <c r="L59" s="212" t="s">
        <v>667</v>
      </c>
      <c r="R59" s="271" t="s">
        <v>698</v>
      </c>
      <c r="U59" t="s">
        <v>563</v>
      </c>
    </row>
    <row r="60" spans="1:21">
      <c r="A60" s="16" t="s">
        <v>456</v>
      </c>
      <c r="B60" s="16" t="s">
        <v>410</v>
      </c>
      <c r="C60" s="16" t="s">
        <v>249</v>
      </c>
      <c r="D60" s="16" t="str">
        <f t="shared" si="1"/>
        <v>LPD Package-Retro</v>
      </c>
      <c r="E60" s="206" t="s">
        <v>505</v>
      </c>
      <c r="F60" t="s">
        <v>9</v>
      </c>
      <c r="G60" s="198">
        <v>22</v>
      </c>
      <c r="H60" t="s">
        <v>34</v>
      </c>
      <c r="I60" s="212" t="s">
        <v>666</v>
      </c>
      <c r="L60" s="212" t="s">
        <v>667</v>
      </c>
      <c r="R60" s="271" t="s">
        <v>698</v>
      </c>
      <c r="U60" t="s">
        <v>563</v>
      </c>
    </row>
    <row r="61" spans="1:21">
      <c r="A61" s="16" t="s">
        <v>456</v>
      </c>
      <c r="B61" s="16" t="s">
        <v>103</v>
      </c>
      <c r="C61" s="16" t="s">
        <v>247</v>
      </c>
      <c r="D61" s="16" t="str">
        <f t="shared" si="1"/>
        <v>Top Daylighting-New</v>
      </c>
      <c r="E61" s="206" t="s">
        <v>505</v>
      </c>
      <c r="F61" t="s">
        <v>132</v>
      </c>
      <c r="G61" s="198">
        <v>6</v>
      </c>
      <c r="H61" t="s">
        <v>35</v>
      </c>
      <c r="I61" s="212" t="s">
        <v>666</v>
      </c>
      <c r="L61" s="212" t="s">
        <v>667</v>
      </c>
      <c r="R61" s="271" t="s">
        <v>699</v>
      </c>
      <c r="U61" t="s">
        <v>571</v>
      </c>
    </row>
    <row r="62" spans="1:21">
      <c r="A62" s="16" t="s">
        <v>456</v>
      </c>
      <c r="B62" s="16" t="s">
        <v>130</v>
      </c>
      <c r="C62" s="16" t="s">
        <v>247</v>
      </c>
      <c r="D62" s="16" t="str">
        <f t="shared" si="1"/>
        <v>Perimeter Daylighting Controls Advanced-New</v>
      </c>
      <c r="E62" s="206" t="s">
        <v>505</v>
      </c>
      <c r="F62" t="s">
        <v>10</v>
      </c>
      <c r="G62" s="198">
        <v>6</v>
      </c>
      <c r="H62" t="s">
        <v>36</v>
      </c>
      <c r="I62" s="212" t="s">
        <v>666</v>
      </c>
      <c r="L62" s="212" t="s">
        <v>667</v>
      </c>
      <c r="R62" s="271" t="s">
        <v>698</v>
      </c>
      <c r="U62" t="s">
        <v>571</v>
      </c>
    </row>
    <row r="63" spans="1:21">
      <c r="A63" s="16" t="s">
        <v>456</v>
      </c>
      <c r="B63" s="16" t="s">
        <v>130</v>
      </c>
      <c r="C63" s="16" t="s">
        <v>248</v>
      </c>
      <c r="D63" s="16" t="str">
        <f t="shared" si="1"/>
        <v>Perimeter Daylighting Controls Advanced-NR</v>
      </c>
      <c r="E63" s="206" t="s">
        <v>505</v>
      </c>
      <c r="F63" t="s">
        <v>10</v>
      </c>
      <c r="G63" s="198">
        <v>6</v>
      </c>
      <c r="H63" t="s">
        <v>36</v>
      </c>
      <c r="I63" s="212" t="s">
        <v>666</v>
      </c>
      <c r="L63" s="212" t="s">
        <v>667</v>
      </c>
      <c r="R63" s="271" t="s">
        <v>698</v>
      </c>
      <c r="U63" t="s">
        <v>571</v>
      </c>
    </row>
    <row r="64" spans="1:21">
      <c r="A64" s="16" t="s">
        <v>456</v>
      </c>
      <c r="B64" s="16" t="s">
        <v>102</v>
      </c>
      <c r="C64" s="16" t="s">
        <v>247</v>
      </c>
      <c r="D64" s="16" t="str">
        <f t="shared" si="1"/>
        <v>Lighting Controls Interior-New</v>
      </c>
      <c r="E64" s="206" t="s">
        <v>505</v>
      </c>
      <c r="F64" t="s">
        <v>451</v>
      </c>
      <c r="G64" s="198">
        <v>6</v>
      </c>
      <c r="H64" t="s">
        <v>102</v>
      </c>
      <c r="I64" s="212" t="s">
        <v>666</v>
      </c>
      <c r="L64" s="212" t="s">
        <v>667</v>
      </c>
      <c r="R64" s="271" t="s">
        <v>698</v>
      </c>
      <c r="U64" t="s">
        <v>571</v>
      </c>
    </row>
    <row r="65" spans="1:22">
      <c r="A65" s="16" t="s">
        <v>456</v>
      </c>
      <c r="B65" s="16" t="s">
        <v>102</v>
      </c>
      <c r="C65" s="16" t="s">
        <v>248</v>
      </c>
      <c r="D65" s="16" t="str">
        <f t="shared" si="1"/>
        <v>Lighting Controls Interior-NR</v>
      </c>
      <c r="E65" s="206" t="s">
        <v>505</v>
      </c>
      <c r="F65" t="s">
        <v>451</v>
      </c>
      <c r="G65" s="198">
        <v>6</v>
      </c>
      <c r="H65" t="s">
        <v>102</v>
      </c>
      <c r="I65" s="212" t="s">
        <v>666</v>
      </c>
      <c r="L65" s="212" t="s">
        <v>667</v>
      </c>
      <c r="R65" s="271" t="s">
        <v>698</v>
      </c>
      <c r="U65" t="s">
        <v>571</v>
      </c>
    </row>
    <row r="66" spans="1:22">
      <c r="A66" s="16" t="s">
        <v>456</v>
      </c>
      <c r="B66" s="12" t="s">
        <v>100</v>
      </c>
      <c r="C66" s="206" t="s">
        <v>247</v>
      </c>
      <c r="D66" s="16" t="str">
        <f t="shared" si="1"/>
        <v>Exterior Building Lighting-New</v>
      </c>
      <c r="E66" s="206" t="s">
        <v>505</v>
      </c>
      <c r="F66" t="s">
        <v>417</v>
      </c>
      <c r="G66" s="198">
        <v>4</v>
      </c>
      <c r="H66" t="s">
        <v>100</v>
      </c>
      <c r="I66" s="212" t="s">
        <v>666</v>
      </c>
      <c r="L66" s="212" t="s">
        <v>667</v>
      </c>
      <c r="R66" s="271"/>
      <c r="U66" t="s">
        <v>563</v>
      </c>
    </row>
    <row r="67" spans="1:22">
      <c r="A67" s="16" t="s">
        <v>456</v>
      </c>
      <c r="B67" s="12" t="s">
        <v>100</v>
      </c>
      <c r="C67" s="16" t="s">
        <v>248</v>
      </c>
      <c r="D67" s="16" t="str">
        <f t="shared" si="1"/>
        <v>Exterior Building Lighting-NR</v>
      </c>
      <c r="E67" s="206" t="s">
        <v>505</v>
      </c>
      <c r="F67" t="s">
        <v>417</v>
      </c>
      <c r="G67" s="198">
        <v>4</v>
      </c>
      <c r="H67" t="s">
        <v>100</v>
      </c>
      <c r="I67" s="212" t="s">
        <v>666</v>
      </c>
      <c r="L67" s="212" t="s">
        <v>667</v>
      </c>
      <c r="R67" s="271" t="s">
        <v>697</v>
      </c>
      <c r="U67" t="s">
        <v>563</v>
      </c>
    </row>
    <row r="68" spans="1:22">
      <c r="A68" s="16" t="s">
        <v>456</v>
      </c>
      <c r="B68" s="12" t="s">
        <v>426</v>
      </c>
      <c r="C68" s="206" t="s">
        <v>247</v>
      </c>
      <c r="D68" s="16" t="str">
        <f t="shared" si="1"/>
        <v>Street and Roadway Lighting-New</v>
      </c>
      <c r="E68" s="207" t="s">
        <v>507</v>
      </c>
      <c r="F68" t="s">
        <v>416</v>
      </c>
      <c r="G68" s="198">
        <v>6</v>
      </c>
      <c r="H68" t="s">
        <v>426</v>
      </c>
      <c r="I68" s="212" t="s">
        <v>670</v>
      </c>
      <c r="L68" s="218" t="s">
        <v>706</v>
      </c>
      <c r="R68" s="271"/>
      <c r="U68" t="s">
        <v>563</v>
      </c>
    </row>
    <row r="69" spans="1:22">
      <c r="A69" s="16" t="s">
        <v>456</v>
      </c>
      <c r="B69" s="12" t="s">
        <v>426</v>
      </c>
      <c r="C69" s="16" t="s">
        <v>248</v>
      </c>
      <c r="D69" s="16" t="str">
        <f t="shared" si="1"/>
        <v>Street and Roadway Lighting-NR</v>
      </c>
      <c r="E69" s="207" t="s">
        <v>507</v>
      </c>
      <c r="F69" t="s">
        <v>416</v>
      </c>
      <c r="G69" s="198">
        <v>6</v>
      </c>
      <c r="H69" t="s">
        <v>426</v>
      </c>
      <c r="I69" s="212" t="s">
        <v>670</v>
      </c>
      <c r="L69" s="218" t="s">
        <v>707</v>
      </c>
      <c r="R69" s="271" t="s">
        <v>697</v>
      </c>
      <c r="U69" t="s">
        <v>563</v>
      </c>
    </row>
    <row r="70" spans="1:22">
      <c r="A70" s="16" t="s">
        <v>456</v>
      </c>
      <c r="B70" s="12" t="s">
        <v>101</v>
      </c>
      <c r="C70" s="206" t="s">
        <v>247</v>
      </c>
      <c r="D70" s="16" t="str">
        <f t="shared" si="1"/>
        <v>Parking Lighting-New</v>
      </c>
      <c r="E70" s="206" t="s">
        <v>505</v>
      </c>
      <c r="F70" t="s">
        <v>15</v>
      </c>
      <c r="G70" s="198">
        <v>2</v>
      </c>
      <c r="H70" t="s">
        <v>101</v>
      </c>
      <c r="I70" s="212" t="s">
        <v>666</v>
      </c>
      <c r="L70" s="212" t="s">
        <v>667</v>
      </c>
      <c r="R70" s="271"/>
      <c r="U70" t="s">
        <v>563</v>
      </c>
      <c r="V70" s="199" t="s">
        <v>568</v>
      </c>
    </row>
    <row r="71" spans="1:22">
      <c r="A71" s="16" t="s">
        <v>456</v>
      </c>
      <c r="B71" s="12" t="s">
        <v>101</v>
      </c>
      <c r="C71" s="16" t="s">
        <v>248</v>
      </c>
      <c r="D71" s="16" t="str">
        <f t="shared" si="1"/>
        <v>Parking Lighting-NR</v>
      </c>
      <c r="E71" s="206" t="s">
        <v>505</v>
      </c>
      <c r="F71" t="s">
        <v>15</v>
      </c>
      <c r="G71" s="198">
        <v>2</v>
      </c>
      <c r="H71" t="s">
        <v>101</v>
      </c>
      <c r="I71" s="212" t="s">
        <v>666</v>
      </c>
      <c r="L71" s="212" t="s">
        <v>667</v>
      </c>
      <c r="R71" s="271" t="s">
        <v>697</v>
      </c>
      <c r="U71" t="s">
        <v>563</v>
      </c>
      <c r="V71" s="199" t="s">
        <v>568</v>
      </c>
    </row>
    <row r="72" spans="1:22">
      <c r="A72" s="205" t="s">
        <v>456</v>
      </c>
      <c r="B72" s="204" t="s">
        <v>1107</v>
      </c>
      <c r="C72" s="208" t="s">
        <v>248</v>
      </c>
      <c r="D72" s="208" t="str">
        <f t="shared" si="1"/>
        <v>Bi-Level Stairwell Lighting-NR</v>
      </c>
      <c r="E72" s="206" t="s">
        <v>505</v>
      </c>
      <c r="F72" s="218" t="s">
        <v>967</v>
      </c>
      <c r="G72" s="198">
        <v>1</v>
      </c>
      <c r="H72" s="218" t="s">
        <v>968</v>
      </c>
      <c r="I72" s="212" t="s">
        <v>666</v>
      </c>
      <c r="L72" s="212" t="s">
        <v>667</v>
      </c>
      <c r="Q72" s="213"/>
      <c r="R72" s="271" t="s">
        <v>697</v>
      </c>
      <c r="U72" t="s">
        <v>571</v>
      </c>
    </row>
    <row r="73" spans="1:22">
      <c r="A73" s="205" t="s">
        <v>456</v>
      </c>
      <c r="B73" s="203" t="s">
        <v>1108</v>
      </c>
      <c r="C73" s="208" t="s">
        <v>248</v>
      </c>
      <c r="D73" s="208" t="str">
        <f>CONCATENATE(B73,"-",C73)</f>
        <v>Low Power LF Lamps-NR</v>
      </c>
      <c r="E73" s="272" t="s">
        <v>953</v>
      </c>
      <c r="F73" s="272" t="s">
        <v>954</v>
      </c>
      <c r="G73" s="198">
        <v>2</v>
      </c>
      <c r="H73" t="s">
        <v>955</v>
      </c>
      <c r="I73" s="212" t="s">
        <v>666</v>
      </c>
      <c r="L73" s="218" t="s">
        <v>956</v>
      </c>
      <c r="Q73" s="271" t="s">
        <v>665</v>
      </c>
      <c r="R73" s="271" t="s">
        <v>697</v>
      </c>
      <c r="U73" t="s">
        <v>563</v>
      </c>
    </row>
    <row r="74" spans="1:22">
      <c r="A74" s="205" t="s">
        <v>456</v>
      </c>
      <c r="B74" s="204" t="s">
        <v>1162</v>
      </c>
      <c r="C74" s="208" t="s">
        <v>247</v>
      </c>
      <c r="D74" s="208" t="str">
        <f>CONCATENATE(B74,"-",C74)</f>
        <v>LEC Exit Sign-New</v>
      </c>
      <c r="E74" s="272" t="s">
        <v>1163</v>
      </c>
      <c r="F74" s="272" t="s">
        <v>1164</v>
      </c>
      <c r="G74" s="198"/>
      <c r="H74" s="218" t="s">
        <v>1162</v>
      </c>
      <c r="I74" s="212" t="s">
        <v>666</v>
      </c>
      <c r="L74" s="218" t="s">
        <v>1165</v>
      </c>
      <c r="Q74" s="213"/>
      <c r="R74" s="271"/>
    </row>
    <row r="75" spans="1:22">
      <c r="A75" s="205" t="s">
        <v>456</v>
      </c>
      <c r="B75" s="204" t="s">
        <v>1162</v>
      </c>
      <c r="C75" s="208" t="s">
        <v>248</v>
      </c>
      <c r="D75" s="208" t="str">
        <f>CONCATENATE(B75,"-",C75)</f>
        <v>LEC Exit Sign-NR</v>
      </c>
      <c r="E75" s="272" t="s">
        <v>1163</v>
      </c>
      <c r="F75" s="272" t="s">
        <v>1164</v>
      </c>
      <c r="G75" s="198"/>
      <c r="H75" s="218" t="s">
        <v>1162</v>
      </c>
      <c r="I75" s="212" t="s">
        <v>666</v>
      </c>
      <c r="L75" s="218" t="s">
        <v>1165</v>
      </c>
      <c r="Q75" s="213"/>
      <c r="R75" s="271"/>
    </row>
    <row r="76" spans="1:22">
      <c r="A76" s="16" t="s">
        <v>457</v>
      </c>
      <c r="B76" s="272" t="s">
        <v>936</v>
      </c>
      <c r="C76" s="16" t="s">
        <v>247</v>
      </c>
      <c r="D76" s="16" t="str">
        <f t="shared" si="1"/>
        <v>ECM-VAV-New</v>
      </c>
      <c r="E76" s="206" t="s">
        <v>505</v>
      </c>
      <c r="F76" t="s">
        <v>37</v>
      </c>
      <c r="G76" s="198">
        <v>1</v>
      </c>
      <c r="H76" t="s">
        <v>412</v>
      </c>
      <c r="I76" s="212" t="s">
        <v>666</v>
      </c>
      <c r="L76" s="212" t="s">
        <v>667</v>
      </c>
      <c r="R76" s="271" t="s">
        <v>698</v>
      </c>
      <c r="U76" t="s">
        <v>580</v>
      </c>
    </row>
    <row r="77" spans="1:22">
      <c r="A77" s="16" t="s">
        <v>457</v>
      </c>
      <c r="B77" s="272" t="s">
        <v>936</v>
      </c>
      <c r="C77" s="16" t="s">
        <v>248</v>
      </c>
      <c r="D77" s="16" t="str">
        <f t="shared" si="1"/>
        <v>ECM-VAV-NR</v>
      </c>
      <c r="E77" s="206" t="s">
        <v>505</v>
      </c>
      <c r="F77" t="s">
        <v>37</v>
      </c>
      <c r="G77" s="198">
        <v>1</v>
      </c>
      <c r="H77" t="s">
        <v>412</v>
      </c>
      <c r="I77" s="212" t="s">
        <v>666</v>
      </c>
      <c r="L77" s="212" t="s">
        <v>667</v>
      </c>
      <c r="R77" s="271" t="s">
        <v>698</v>
      </c>
      <c r="U77" t="s">
        <v>580</v>
      </c>
    </row>
    <row r="78" spans="1:22">
      <c r="A78" s="205" t="s">
        <v>457</v>
      </c>
      <c r="B78" s="201" t="s">
        <v>471</v>
      </c>
      <c r="C78" s="208" t="s">
        <v>249</v>
      </c>
      <c r="D78" s="208" t="str">
        <f t="shared" si="1"/>
        <v>Pool pumps-Retro</v>
      </c>
      <c r="E78" s="207" t="s">
        <v>507</v>
      </c>
      <c r="F78" t="s">
        <v>471</v>
      </c>
      <c r="G78" s="198">
        <v>1</v>
      </c>
      <c r="H78" t="s">
        <v>471</v>
      </c>
      <c r="I78" s="212" t="s">
        <v>668</v>
      </c>
      <c r="L78" s="212" t="s">
        <v>667</v>
      </c>
      <c r="Q78" s="213" t="s">
        <v>665</v>
      </c>
      <c r="R78" s="271" t="s">
        <v>697</v>
      </c>
      <c r="U78" t="s">
        <v>633</v>
      </c>
    </row>
    <row r="79" spans="1:22">
      <c r="A79" s="205" t="s">
        <v>457</v>
      </c>
      <c r="B79" s="201" t="s">
        <v>947</v>
      </c>
      <c r="C79" s="208" t="s">
        <v>247</v>
      </c>
      <c r="D79" s="208" t="str">
        <f t="shared" si="1"/>
        <v>MotorsRewind-New</v>
      </c>
      <c r="E79" s="207" t="s">
        <v>507</v>
      </c>
      <c r="F79" t="s">
        <v>480</v>
      </c>
      <c r="G79" s="198">
        <v>1</v>
      </c>
      <c r="H79" t="s">
        <v>480</v>
      </c>
      <c r="I79" s="212" t="s">
        <v>666</v>
      </c>
      <c r="L79" s="212" t="s">
        <v>667</v>
      </c>
      <c r="Q79" s="213" t="s">
        <v>665</v>
      </c>
      <c r="R79" s="271" t="s">
        <v>697</v>
      </c>
      <c r="U79" t="s">
        <v>580</v>
      </c>
    </row>
    <row r="80" spans="1:22">
      <c r="A80" s="205" t="s">
        <v>457</v>
      </c>
      <c r="B80" s="201" t="s">
        <v>947</v>
      </c>
      <c r="C80" s="208" t="s">
        <v>248</v>
      </c>
      <c r="D80" s="208" t="str">
        <f t="shared" si="1"/>
        <v>MotorsRewind-NR</v>
      </c>
      <c r="E80" s="207" t="s">
        <v>507</v>
      </c>
      <c r="F80" t="s">
        <v>480</v>
      </c>
      <c r="G80" s="198">
        <v>1</v>
      </c>
      <c r="H80" t="s">
        <v>480</v>
      </c>
      <c r="I80" s="212" t="s">
        <v>666</v>
      </c>
      <c r="L80" s="212" t="s">
        <v>667</v>
      </c>
      <c r="Q80" s="213" t="s">
        <v>665</v>
      </c>
      <c r="R80" s="271" t="s">
        <v>697</v>
      </c>
      <c r="U80" t="s">
        <v>580</v>
      </c>
    </row>
    <row r="81" spans="1:21">
      <c r="A81" s="16" t="s">
        <v>458</v>
      </c>
      <c r="B81" s="12" t="s">
        <v>54</v>
      </c>
      <c r="C81" s="16" t="s">
        <v>249</v>
      </c>
      <c r="D81" s="16" t="str">
        <f t="shared" si="1"/>
        <v>Municipal Sewage Treatment-Retro</v>
      </c>
      <c r="E81" s="207" t="s">
        <v>506</v>
      </c>
      <c r="F81" t="s">
        <v>16</v>
      </c>
      <c r="G81" s="198">
        <v>10</v>
      </c>
      <c r="H81" t="s">
        <v>54</v>
      </c>
      <c r="I81" s="212" t="s">
        <v>670</v>
      </c>
      <c r="J81" t="s">
        <v>500</v>
      </c>
      <c r="L81" t="s">
        <v>501</v>
      </c>
      <c r="M81" t="s">
        <v>502</v>
      </c>
      <c r="O81" t="s">
        <v>503</v>
      </c>
      <c r="R81" s="271" t="s">
        <v>697</v>
      </c>
      <c r="S81" t="s">
        <v>497</v>
      </c>
      <c r="T81" t="s">
        <v>499</v>
      </c>
      <c r="U81" t="s">
        <v>594</v>
      </c>
    </row>
    <row r="82" spans="1:21">
      <c r="A82" s="16" t="s">
        <v>458</v>
      </c>
      <c r="B82" s="12" t="s">
        <v>55</v>
      </c>
      <c r="C82" s="16" t="s">
        <v>249</v>
      </c>
      <c r="D82" s="16" t="str">
        <f t="shared" ref="D82:D96" si="2">CONCATENATE(B82,"-",C82)</f>
        <v>Municipal Water Supply-Retro</v>
      </c>
      <c r="E82" s="207" t="s">
        <v>506</v>
      </c>
      <c r="F82" t="s">
        <v>17</v>
      </c>
      <c r="G82" s="198">
        <v>5</v>
      </c>
      <c r="H82" t="s">
        <v>55</v>
      </c>
      <c r="I82" s="212" t="s">
        <v>670</v>
      </c>
      <c r="J82" t="s">
        <v>500</v>
      </c>
      <c r="L82" t="s">
        <v>501</v>
      </c>
      <c r="M82" t="s">
        <v>502</v>
      </c>
      <c r="O82" t="s">
        <v>503</v>
      </c>
      <c r="R82" s="271" t="s">
        <v>697</v>
      </c>
      <c r="S82" t="s">
        <v>497</v>
      </c>
      <c r="T82" t="s">
        <v>499</v>
      </c>
      <c r="U82" t="s">
        <v>594</v>
      </c>
    </row>
    <row r="83" spans="1:21">
      <c r="A83" s="205" t="s">
        <v>458</v>
      </c>
      <c r="B83" s="201" t="s">
        <v>483</v>
      </c>
      <c r="C83" s="208" t="s">
        <v>249</v>
      </c>
      <c r="D83" s="208" t="str">
        <f t="shared" si="2"/>
        <v>Engine Generator Block Heaters-Retro</v>
      </c>
      <c r="E83" s="207" t="s">
        <v>507</v>
      </c>
      <c r="F83" s="212" t="s">
        <v>660</v>
      </c>
      <c r="G83" s="198">
        <v>1</v>
      </c>
      <c r="H83" t="s">
        <v>483</v>
      </c>
      <c r="I83" s="212" t="s">
        <v>666</v>
      </c>
      <c r="L83" s="212" t="s">
        <v>679</v>
      </c>
      <c r="Q83" s="213" t="s">
        <v>665</v>
      </c>
      <c r="R83" s="271" t="s">
        <v>697</v>
      </c>
      <c r="U83" t="s">
        <v>591</v>
      </c>
    </row>
    <row r="84" spans="1:21">
      <c r="A84" s="16" t="s">
        <v>459</v>
      </c>
      <c r="B84" s="16" t="s">
        <v>253</v>
      </c>
      <c r="C84" s="16" t="s">
        <v>249</v>
      </c>
      <c r="D84" s="16" t="str">
        <f t="shared" si="2"/>
        <v>Grocery Refrigeration Bundle-Retro</v>
      </c>
      <c r="E84" s="206" t="s">
        <v>505</v>
      </c>
      <c r="F84" t="s">
        <v>14</v>
      </c>
      <c r="G84" s="198">
        <v>12</v>
      </c>
      <c r="H84" t="s">
        <v>253</v>
      </c>
      <c r="I84" s="212" t="s">
        <v>265</v>
      </c>
      <c r="L84" s="212" t="s">
        <v>667</v>
      </c>
      <c r="R84" s="271" t="s">
        <v>697</v>
      </c>
      <c r="U84" t="s">
        <v>617</v>
      </c>
    </row>
    <row r="85" spans="1:21">
      <c r="A85" s="16" t="s">
        <v>459</v>
      </c>
      <c r="B85" s="12" t="s">
        <v>53</v>
      </c>
      <c r="C85" s="16" t="s">
        <v>247</v>
      </c>
      <c r="D85" s="16" t="str">
        <f t="shared" si="2"/>
        <v>Packaged Refrigeration Equipment-New</v>
      </c>
      <c r="E85" s="207" t="s">
        <v>507</v>
      </c>
      <c r="F85" t="s">
        <v>419</v>
      </c>
      <c r="G85" s="198">
        <v>20</v>
      </c>
      <c r="H85" t="s">
        <v>53</v>
      </c>
      <c r="I85" s="212" t="s">
        <v>265</v>
      </c>
      <c r="L85" s="212" t="s">
        <v>667</v>
      </c>
      <c r="R85" s="271" t="s">
        <v>697</v>
      </c>
      <c r="U85" t="s">
        <v>601</v>
      </c>
    </row>
    <row r="86" spans="1:21">
      <c r="A86" s="205" t="s">
        <v>459</v>
      </c>
      <c r="B86" s="201" t="s">
        <v>465</v>
      </c>
      <c r="C86" s="208" t="s">
        <v>248</v>
      </c>
      <c r="D86" s="208" t="str">
        <f t="shared" si="2"/>
        <v>Appliances - Freezers-NR</v>
      </c>
      <c r="E86" s="207" t="s">
        <v>507</v>
      </c>
      <c r="F86" s="212" t="s">
        <v>653</v>
      </c>
      <c r="G86" s="198">
        <v>1</v>
      </c>
      <c r="H86" t="s">
        <v>465</v>
      </c>
      <c r="I86" s="212" t="s">
        <v>666</v>
      </c>
      <c r="L86" s="12" t="s">
        <v>677</v>
      </c>
      <c r="Q86" s="213" t="s">
        <v>665</v>
      </c>
      <c r="R86" s="271" t="s">
        <v>697</v>
      </c>
      <c r="U86" t="s">
        <v>617</v>
      </c>
    </row>
    <row r="87" spans="1:21">
      <c r="A87" s="205" t="s">
        <v>459</v>
      </c>
      <c r="B87" s="201" t="s">
        <v>466</v>
      </c>
      <c r="C87" s="208" t="s">
        <v>248</v>
      </c>
      <c r="D87" s="208" t="str">
        <f t="shared" si="2"/>
        <v>Appliances - Refrigerators-NR</v>
      </c>
      <c r="E87" s="207" t="s">
        <v>507</v>
      </c>
      <c r="F87" s="212" t="s">
        <v>654</v>
      </c>
      <c r="G87" s="198">
        <v>1</v>
      </c>
      <c r="H87" t="s">
        <v>466</v>
      </c>
      <c r="I87" s="212" t="s">
        <v>666</v>
      </c>
      <c r="L87" s="12" t="s">
        <v>677</v>
      </c>
      <c r="Q87" s="213" t="s">
        <v>665</v>
      </c>
      <c r="R87" s="271" t="s">
        <v>697</v>
      </c>
      <c r="U87" t="s">
        <v>617</v>
      </c>
    </row>
    <row r="88" spans="1:21">
      <c r="A88" s="205" t="s">
        <v>459</v>
      </c>
      <c r="B88" s="201" t="s">
        <v>485</v>
      </c>
      <c r="C88" s="208" t="s">
        <v>248</v>
      </c>
      <c r="D88" s="208" t="str">
        <f t="shared" si="2"/>
        <v>Water Cooler Controls-NR</v>
      </c>
      <c r="E88" s="207" t="s">
        <v>507</v>
      </c>
      <c r="F88" t="s">
        <v>485</v>
      </c>
      <c r="G88" s="198">
        <v>1</v>
      </c>
      <c r="H88" t="s">
        <v>485</v>
      </c>
      <c r="I88" s="212" t="s">
        <v>668</v>
      </c>
      <c r="L88" s="212" t="s">
        <v>678</v>
      </c>
      <c r="Q88" s="213" t="s">
        <v>665</v>
      </c>
      <c r="R88" s="271" t="s">
        <v>697</v>
      </c>
      <c r="U88" t="s">
        <v>612</v>
      </c>
    </row>
    <row r="89" spans="1:21">
      <c r="A89" s="208" t="s">
        <v>183</v>
      </c>
      <c r="B89" s="517" t="s">
        <v>944</v>
      </c>
      <c r="C89" s="208" t="s">
        <v>247</v>
      </c>
      <c r="D89" s="208" t="str">
        <f t="shared" si="2"/>
        <v>WHTanks-New</v>
      </c>
      <c r="E89" s="207" t="s">
        <v>507</v>
      </c>
      <c r="F89" t="s">
        <v>418</v>
      </c>
      <c r="G89" s="198"/>
      <c r="H89" t="s">
        <v>463</v>
      </c>
      <c r="I89" s="212" t="s">
        <v>668</v>
      </c>
      <c r="L89" s="212" t="s">
        <v>667</v>
      </c>
      <c r="R89" s="271" t="s">
        <v>697</v>
      </c>
      <c r="U89" t="s">
        <v>639</v>
      </c>
    </row>
    <row r="90" spans="1:21">
      <c r="A90" s="205" t="s">
        <v>183</v>
      </c>
      <c r="B90" s="201" t="s">
        <v>944</v>
      </c>
      <c r="C90" s="208" t="s">
        <v>248</v>
      </c>
      <c r="D90" s="208" t="str">
        <f t="shared" si="2"/>
        <v>WHTanks-NR</v>
      </c>
      <c r="E90" s="207" t="s">
        <v>507</v>
      </c>
      <c r="F90" s="212" t="s">
        <v>651</v>
      </c>
      <c r="G90" s="198">
        <v>1</v>
      </c>
      <c r="H90" t="s">
        <v>463</v>
      </c>
      <c r="I90" s="212" t="s">
        <v>666</v>
      </c>
      <c r="L90" s="212" t="s">
        <v>667</v>
      </c>
      <c r="Q90" s="213" t="s">
        <v>665</v>
      </c>
      <c r="R90" s="271" t="s">
        <v>697</v>
      </c>
      <c r="U90" t="s">
        <v>635</v>
      </c>
    </row>
    <row r="91" spans="1:21">
      <c r="A91" s="205" t="s">
        <v>183</v>
      </c>
      <c r="B91" s="201" t="s">
        <v>464</v>
      </c>
      <c r="C91" s="208" t="s">
        <v>248</v>
      </c>
      <c r="D91" s="208" t="str">
        <f t="shared" si="2"/>
        <v>Appliances - Clothes Washers-NR</v>
      </c>
      <c r="E91" s="207" t="s">
        <v>507</v>
      </c>
      <c r="F91" s="212" t="s">
        <v>652</v>
      </c>
      <c r="G91" s="198">
        <v>1</v>
      </c>
      <c r="H91" t="s">
        <v>464</v>
      </c>
      <c r="I91" s="212" t="s">
        <v>668</v>
      </c>
      <c r="L91" s="212" t="s">
        <v>667</v>
      </c>
      <c r="Q91" s="213" t="s">
        <v>665</v>
      </c>
      <c r="R91" s="271" t="s">
        <v>697</v>
      </c>
      <c r="U91" t="s">
        <v>639</v>
      </c>
    </row>
    <row r="92" spans="1:21">
      <c r="A92" s="205" t="s">
        <v>183</v>
      </c>
      <c r="B92" s="201" t="s">
        <v>644</v>
      </c>
      <c r="C92" s="208" t="s">
        <v>249</v>
      </c>
      <c r="D92" s="208" t="str">
        <f t="shared" si="2"/>
        <v>Showerheads-Retro</v>
      </c>
      <c r="E92" s="207" t="s">
        <v>507</v>
      </c>
      <c r="F92" s="212" t="s">
        <v>655</v>
      </c>
      <c r="G92" s="198">
        <v>1</v>
      </c>
      <c r="H92" t="s">
        <v>467</v>
      </c>
      <c r="I92" s="212" t="s">
        <v>668</v>
      </c>
      <c r="L92" s="212" t="s">
        <v>674</v>
      </c>
      <c r="Q92" s="213" t="s">
        <v>665</v>
      </c>
      <c r="R92" s="271" t="s">
        <v>697</v>
      </c>
      <c r="U92" t="s">
        <v>639</v>
      </c>
    </row>
    <row r="93" spans="1:21">
      <c r="A93" s="205" t="s">
        <v>183</v>
      </c>
      <c r="B93" s="202" t="s">
        <v>473</v>
      </c>
      <c r="C93" s="208" t="s">
        <v>247</v>
      </c>
      <c r="D93" s="208" t="str">
        <f t="shared" si="2"/>
        <v>Water Heating - GFHX-New</v>
      </c>
      <c r="E93" s="207" t="s">
        <v>507</v>
      </c>
      <c r="F93" s="212" t="s">
        <v>657</v>
      </c>
      <c r="G93" s="198">
        <v>1</v>
      </c>
      <c r="H93" t="s">
        <v>473</v>
      </c>
      <c r="I93" s="212" t="s">
        <v>666</v>
      </c>
      <c r="L93" s="212" t="s">
        <v>675</v>
      </c>
      <c r="Q93" s="213" t="s">
        <v>665</v>
      </c>
      <c r="R93" s="271" t="s">
        <v>697</v>
      </c>
      <c r="U93" t="s">
        <v>639</v>
      </c>
    </row>
    <row r="94" spans="1:21">
      <c r="A94" s="205" t="s">
        <v>183</v>
      </c>
      <c r="B94" s="201" t="s">
        <v>476</v>
      </c>
      <c r="C94" s="208" t="s">
        <v>249</v>
      </c>
      <c r="D94" s="208" t="str">
        <f t="shared" si="2"/>
        <v>Demand Control Circulating system DHW-Retro</v>
      </c>
      <c r="E94" s="206" t="s">
        <v>505</v>
      </c>
      <c r="F94" t="s">
        <v>476</v>
      </c>
      <c r="G94" s="198">
        <v>1</v>
      </c>
      <c r="H94" t="s">
        <v>476</v>
      </c>
      <c r="I94" s="212" t="s">
        <v>668</v>
      </c>
      <c r="L94" s="212" t="s">
        <v>667</v>
      </c>
      <c r="Q94" s="213" t="s">
        <v>665</v>
      </c>
      <c r="R94" s="271" t="s">
        <v>697</v>
      </c>
      <c r="U94" t="s">
        <v>639</v>
      </c>
    </row>
    <row r="95" spans="1:21">
      <c r="A95" s="205" t="s">
        <v>183</v>
      </c>
      <c r="B95" s="201" t="s">
        <v>486</v>
      </c>
      <c r="C95" s="208" t="s">
        <v>249</v>
      </c>
      <c r="D95" s="208" t="str">
        <f t="shared" si="2"/>
        <v>Central HPWH MF-Retro</v>
      </c>
      <c r="E95" s="207" t="s">
        <v>507</v>
      </c>
      <c r="F95" t="s">
        <v>486</v>
      </c>
      <c r="G95" s="198">
        <v>1</v>
      </c>
      <c r="H95" t="s">
        <v>486</v>
      </c>
      <c r="I95" s="212" t="s">
        <v>671</v>
      </c>
      <c r="L95" s="212" t="s">
        <v>667</v>
      </c>
      <c r="Q95" s="213" t="s">
        <v>665</v>
      </c>
      <c r="R95" s="271" t="s">
        <v>697</v>
      </c>
      <c r="U95" t="s">
        <v>635</v>
      </c>
    </row>
    <row r="96" spans="1:21">
      <c r="A96" s="16" t="s">
        <v>460</v>
      </c>
      <c r="B96" s="272" t="s">
        <v>844</v>
      </c>
      <c r="C96" s="16" t="s">
        <v>247</v>
      </c>
      <c r="D96" s="16" t="str">
        <f t="shared" si="2"/>
        <v>Ultra Low Energy Building-New</v>
      </c>
      <c r="E96" s="206" t="s">
        <v>505</v>
      </c>
      <c r="F96" t="s">
        <v>8</v>
      </c>
      <c r="G96" s="198">
        <v>13</v>
      </c>
      <c r="H96" t="str">
        <f>B96</f>
        <v>Ultra Low Energy Building</v>
      </c>
      <c r="I96" s="212" t="s">
        <v>668</v>
      </c>
      <c r="L96" s="212" t="s">
        <v>676</v>
      </c>
      <c r="R96" s="271" t="s">
        <v>106</v>
      </c>
      <c r="U96" t="s">
        <v>645</v>
      </c>
    </row>
    <row r="98" spans="1:4">
      <c r="A98" s="12"/>
      <c r="B98" s="12"/>
      <c r="C98" s="12"/>
      <c r="D98" s="12"/>
    </row>
    <row r="99" spans="1:4">
      <c r="A99" s="12"/>
      <c r="B99" s="12"/>
      <c r="C99" s="12"/>
      <c r="D99" s="12"/>
    </row>
    <row r="100" spans="1:4">
      <c r="A100" s="12"/>
      <c r="B100" s="12"/>
      <c r="C100" s="12"/>
      <c r="D100" s="12"/>
    </row>
    <row r="101" spans="1:4">
      <c r="A101" s="12"/>
      <c r="B101" s="12"/>
      <c r="C101" s="12"/>
      <c r="D101" s="12"/>
    </row>
    <row r="102" spans="1:4">
      <c r="A102" s="12"/>
      <c r="B102" s="12"/>
      <c r="C102" s="12"/>
      <c r="D102" s="12"/>
    </row>
    <row r="103" spans="1:4">
      <c r="A103" s="12"/>
      <c r="B103" s="12"/>
      <c r="C103" s="12"/>
      <c r="D103" s="12"/>
    </row>
    <row r="104" spans="1:4">
      <c r="A104" s="12"/>
      <c r="B104" s="12"/>
      <c r="C104" s="12"/>
      <c r="D104" s="12"/>
    </row>
    <row r="105" spans="1:4">
      <c r="A105" s="12"/>
      <c r="B105" s="12"/>
      <c r="C105" s="12"/>
      <c r="D105" s="12"/>
    </row>
    <row r="106" spans="1:4">
      <c r="A106" s="12"/>
      <c r="B106" s="12"/>
      <c r="C106" s="12"/>
      <c r="D106" s="12"/>
    </row>
    <row r="107" spans="1:4">
      <c r="A107" s="12"/>
      <c r="B107" s="12"/>
      <c r="C107" s="12"/>
      <c r="D107" s="12"/>
    </row>
    <row r="108" spans="1:4">
      <c r="A108" s="12"/>
      <c r="B108" s="12"/>
      <c r="C108" s="12"/>
      <c r="D108" s="12"/>
    </row>
    <row r="109" spans="1:4">
      <c r="A109" s="12"/>
      <c r="B109" s="12"/>
      <c r="C109" s="12"/>
      <c r="D109" s="12"/>
    </row>
    <row r="110" spans="1:4">
      <c r="A110" s="12"/>
      <c r="B110" s="12"/>
      <c r="C110" s="12"/>
      <c r="D110" s="12"/>
    </row>
    <row r="111" spans="1:4">
      <c r="A111" s="12"/>
      <c r="B111" s="12"/>
      <c r="C111" s="12"/>
      <c r="D111" s="12"/>
    </row>
    <row r="112" spans="1:4">
      <c r="A112" s="12"/>
      <c r="B112" s="12"/>
      <c r="C112" s="12"/>
      <c r="D112" s="12"/>
    </row>
    <row r="113" spans="1:4">
      <c r="A113" s="12"/>
      <c r="B113" s="12"/>
      <c r="C113" s="12"/>
      <c r="D113" s="12"/>
    </row>
    <row r="114" spans="1:4">
      <c r="A114" s="12"/>
      <c r="B114" s="12"/>
      <c r="C114" s="12"/>
      <c r="D114" s="12"/>
    </row>
    <row r="115" spans="1:4" ht="26.25" thickBot="1">
      <c r="A115" s="200" t="s">
        <v>461</v>
      </c>
      <c r="B115" s="211" t="s">
        <v>648</v>
      </c>
      <c r="C115" s="211" t="s">
        <v>649</v>
      </c>
    </row>
    <row r="116" spans="1:4" ht="13.5" thickTop="1">
      <c r="A116" s="199" t="s">
        <v>453</v>
      </c>
      <c r="B116" s="199" t="s">
        <v>509</v>
      </c>
      <c r="C116" s="199" t="s">
        <v>510</v>
      </c>
    </row>
    <row r="117" spans="1:4">
      <c r="A117" s="199" t="s">
        <v>454</v>
      </c>
      <c r="B117" s="199" t="s">
        <v>512</v>
      </c>
      <c r="C117" s="199" t="s">
        <v>511</v>
      </c>
    </row>
    <row r="118" spans="1:4">
      <c r="A118" s="199" t="s">
        <v>455</v>
      </c>
      <c r="B118" s="199" t="s">
        <v>523</v>
      </c>
      <c r="C118" s="199" t="s">
        <v>513</v>
      </c>
    </row>
    <row r="119" spans="1:4">
      <c r="A119" s="199" t="s">
        <v>250</v>
      </c>
      <c r="B119" s="199" t="s">
        <v>530</v>
      </c>
      <c r="C119" s="199" t="s">
        <v>514</v>
      </c>
    </row>
    <row r="120" spans="1:4">
      <c r="A120" s="199" t="s">
        <v>456</v>
      </c>
      <c r="B120" s="199" t="s">
        <v>562</v>
      </c>
      <c r="C120" s="199" t="s">
        <v>515</v>
      </c>
    </row>
    <row r="121" spans="1:4">
      <c r="A121" s="209" t="s">
        <v>457</v>
      </c>
      <c r="B121" s="199" t="s">
        <v>589</v>
      </c>
      <c r="C121" s="199" t="s">
        <v>516</v>
      </c>
    </row>
    <row r="122" spans="1:4">
      <c r="A122" s="209" t="s">
        <v>458</v>
      </c>
      <c r="B122" s="199" t="s">
        <v>536</v>
      </c>
      <c r="C122" s="199" t="s">
        <v>517</v>
      </c>
    </row>
    <row r="123" spans="1:4">
      <c r="A123" s="199" t="s">
        <v>459</v>
      </c>
      <c r="B123" s="199" t="s">
        <v>590</v>
      </c>
      <c r="C123" s="199" t="s">
        <v>518</v>
      </c>
    </row>
    <row r="124" spans="1:4">
      <c r="A124" s="199" t="s">
        <v>183</v>
      </c>
      <c r="B124" s="199" t="s">
        <v>521</v>
      </c>
      <c r="C124" s="199" t="s">
        <v>519</v>
      </c>
    </row>
    <row r="125" spans="1:4">
      <c r="A125" s="209" t="s">
        <v>460</v>
      </c>
      <c r="B125" s="199" t="s">
        <v>540</v>
      </c>
      <c r="C125" s="199" t="s">
        <v>520</v>
      </c>
    </row>
    <row r="126" spans="1:4">
      <c r="B126" s="199" t="s">
        <v>546</v>
      </c>
      <c r="C126" s="199" t="s">
        <v>522</v>
      </c>
    </row>
    <row r="127" spans="1:4">
      <c r="B127" s="199" t="s">
        <v>563</v>
      </c>
      <c r="C127" s="199" t="s">
        <v>524</v>
      </c>
    </row>
    <row r="128" spans="1:4">
      <c r="A128" s="210"/>
      <c r="B128" s="199" t="s">
        <v>571</v>
      </c>
      <c r="C128" s="199" t="s">
        <v>525</v>
      </c>
    </row>
    <row r="129" spans="1:3">
      <c r="B129" s="199" t="s">
        <v>580</v>
      </c>
      <c r="C129" s="199" t="s">
        <v>526</v>
      </c>
    </row>
    <row r="130" spans="1:3">
      <c r="B130" s="199" t="s">
        <v>582</v>
      </c>
      <c r="C130" s="199" t="s">
        <v>527</v>
      </c>
    </row>
    <row r="131" spans="1:3">
      <c r="A131" s="210"/>
      <c r="B131" s="199" t="s">
        <v>601</v>
      </c>
      <c r="C131" s="199" t="s">
        <v>529</v>
      </c>
    </row>
    <row r="132" spans="1:3">
      <c r="B132" s="199" t="s">
        <v>528</v>
      </c>
      <c r="C132" s="199" t="s">
        <v>99</v>
      </c>
    </row>
    <row r="133" spans="1:3">
      <c r="B133" s="199" t="s">
        <v>633</v>
      </c>
      <c r="C133" s="199" t="s">
        <v>531</v>
      </c>
    </row>
    <row r="134" spans="1:3">
      <c r="A134" s="210"/>
      <c r="B134" s="199" t="s">
        <v>591</v>
      </c>
      <c r="C134" s="199" t="s">
        <v>532</v>
      </c>
    </row>
    <row r="135" spans="1:3">
      <c r="B135" s="199" t="s">
        <v>594</v>
      </c>
      <c r="C135" s="199" t="s">
        <v>533</v>
      </c>
    </row>
    <row r="136" spans="1:3">
      <c r="B136" s="199" t="s">
        <v>586</v>
      </c>
      <c r="C136" s="199" t="s">
        <v>534</v>
      </c>
    </row>
    <row r="137" spans="1:3">
      <c r="B137" s="199" t="s">
        <v>612</v>
      </c>
      <c r="C137" s="199" t="s">
        <v>535</v>
      </c>
    </row>
    <row r="138" spans="1:3">
      <c r="B138" s="199" t="s">
        <v>617</v>
      </c>
      <c r="C138" s="199" t="s">
        <v>537</v>
      </c>
    </row>
    <row r="139" spans="1:3">
      <c r="B139" s="199" t="s">
        <v>577</v>
      </c>
      <c r="C139" s="199" t="s">
        <v>538</v>
      </c>
    </row>
    <row r="140" spans="1:3">
      <c r="B140" s="199" t="s">
        <v>634</v>
      </c>
      <c r="C140" s="199" t="s">
        <v>7</v>
      </c>
    </row>
    <row r="141" spans="1:3">
      <c r="B141" s="199" t="s">
        <v>635</v>
      </c>
      <c r="C141" s="199" t="s">
        <v>539</v>
      </c>
    </row>
    <row r="142" spans="1:3">
      <c r="B142" s="199" t="s">
        <v>636</v>
      </c>
      <c r="C142" s="199" t="s">
        <v>541</v>
      </c>
    </row>
    <row r="143" spans="1:3">
      <c r="A143" s="210"/>
      <c r="B143" s="199" t="s">
        <v>639</v>
      </c>
      <c r="C143" s="199" t="s">
        <v>542</v>
      </c>
    </row>
    <row r="144" spans="1:3">
      <c r="B144" s="199" t="s">
        <v>645</v>
      </c>
      <c r="C144" s="199" t="s">
        <v>543</v>
      </c>
    </row>
    <row r="145" spans="1:3">
      <c r="C145" s="199" t="s">
        <v>544</v>
      </c>
    </row>
    <row r="146" spans="1:3">
      <c r="C146" s="199" t="s">
        <v>545</v>
      </c>
    </row>
    <row r="147" spans="1:3">
      <c r="C147" s="199" t="s">
        <v>547</v>
      </c>
    </row>
    <row r="148" spans="1:3">
      <c r="C148" s="199" t="s">
        <v>548</v>
      </c>
    </row>
    <row r="149" spans="1:3">
      <c r="A149" s="210"/>
      <c r="C149" s="199" t="s">
        <v>549</v>
      </c>
    </row>
    <row r="150" spans="1:3">
      <c r="C150" s="199" t="s">
        <v>550</v>
      </c>
    </row>
    <row r="151" spans="1:3">
      <c r="A151" s="210"/>
      <c r="C151" s="199" t="s">
        <v>551</v>
      </c>
    </row>
    <row r="152" spans="1:3">
      <c r="A152" s="210"/>
      <c r="C152" s="199" t="s">
        <v>552</v>
      </c>
    </row>
    <row r="153" spans="1:3">
      <c r="C153" s="199" t="s">
        <v>553</v>
      </c>
    </row>
    <row r="154" spans="1:3">
      <c r="C154" s="199" t="s">
        <v>554</v>
      </c>
    </row>
    <row r="155" spans="1:3">
      <c r="C155" s="199" t="s">
        <v>555</v>
      </c>
    </row>
    <row r="156" spans="1:3">
      <c r="A156" s="210"/>
      <c r="C156" s="199" t="s">
        <v>556</v>
      </c>
    </row>
    <row r="157" spans="1:3">
      <c r="A157" s="210"/>
      <c r="C157" s="199" t="s">
        <v>557</v>
      </c>
    </row>
    <row r="158" spans="1:3">
      <c r="A158" s="210"/>
      <c r="C158" s="199" t="s">
        <v>558</v>
      </c>
    </row>
    <row r="159" spans="1:3">
      <c r="A159" s="210"/>
      <c r="C159" s="199" t="s">
        <v>559</v>
      </c>
    </row>
    <row r="160" spans="1:3">
      <c r="A160" s="210"/>
      <c r="C160" s="199" t="s">
        <v>560</v>
      </c>
    </row>
    <row r="161" spans="3:3">
      <c r="C161" s="199" t="s">
        <v>561</v>
      </c>
    </row>
    <row r="162" spans="3:3">
      <c r="C162" s="199" t="s">
        <v>562</v>
      </c>
    </row>
    <row r="163" spans="3:3">
      <c r="C163" s="199" t="s">
        <v>564</v>
      </c>
    </row>
    <row r="164" spans="3:3">
      <c r="C164" s="199" t="s">
        <v>565</v>
      </c>
    </row>
    <row r="165" spans="3:3">
      <c r="C165" s="199" t="s">
        <v>566</v>
      </c>
    </row>
    <row r="166" spans="3:3">
      <c r="C166" s="199" t="s">
        <v>567</v>
      </c>
    </row>
    <row r="167" spans="3:3">
      <c r="C167" s="199" t="s">
        <v>563</v>
      </c>
    </row>
    <row r="168" spans="3:3">
      <c r="C168" s="199" t="s">
        <v>568</v>
      </c>
    </row>
    <row r="169" spans="3:3">
      <c r="C169" s="199" t="s">
        <v>569</v>
      </c>
    </row>
    <row r="170" spans="3:3">
      <c r="C170" s="199" t="s">
        <v>570</v>
      </c>
    </row>
    <row r="171" spans="3:3">
      <c r="C171" s="199" t="s">
        <v>572</v>
      </c>
    </row>
    <row r="172" spans="3:3">
      <c r="C172" s="199" t="s">
        <v>573</v>
      </c>
    </row>
    <row r="173" spans="3:3">
      <c r="C173" s="199" t="s">
        <v>574</v>
      </c>
    </row>
    <row r="174" spans="3:3">
      <c r="C174" s="199" t="s">
        <v>575</v>
      </c>
    </row>
    <row r="175" spans="3:3">
      <c r="C175" s="199" t="s">
        <v>576</v>
      </c>
    </row>
    <row r="176" spans="3:3">
      <c r="C176" s="199" t="s">
        <v>578</v>
      </c>
    </row>
    <row r="177" spans="3:3">
      <c r="C177" s="199" t="s">
        <v>579</v>
      </c>
    </row>
    <row r="178" spans="3:3">
      <c r="C178" s="199" t="s">
        <v>581</v>
      </c>
    </row>
    <row r="179" spans="3:3">
      <c r="C179" s="199" t="s">
        <v>580</v>
      </c>
    </row>
    <row r="180" spans="3:3">
      <c r="C180" s="199" t="s">
        <v>583</v>
      </c>
    </row>
    <row r="181" spans="3:3">
      <c r="C181" s="199" t="s">
        <v>584</v>
      </c>
    </row>
    <row r="182" spans="3:3">
      <c r="C182" s="199" t="s">
        <v>585</v>
      </c>
    </row>
    <row r="183" spans="3:3">
      <c r="C183" s="199" t="s">
        <v>587</v>
      </c>
    </row>
    <row r="184" spans="3:3">
      <c r="C184" s="199" t="s">
        <v>588</v>
      </c>
    </row>
    <row r="185" spans="3:3">
      <c r="C185" s="199" t="s">
        <v>589</v>
      </c>
    </row>
    <row r="186" spans="3:3">
      <c r="C186" s="199" t="s">
        <v>590</v>
      </c>
    </row>
    <row r="187" spans="3:3">
      <c r="C187" s="199" t="s">
        <v>592</v>
      </c>
    </row>
    <row r="188" spans="3:3">
      <c r="C188" s="199" t="s">
        <v>593</v>
      </c>
    </row>
    <row r="189" spans="3:3">
      <c r="C189" s="199" t="s">
        <v>595</v>
      </c>
    </row>
    <row r="190" spans="3:3">
      <c r="C190" s="199" t="s">
        <v>596</v>
      </c>
    </row>
    <row r="191" spans="3:3">
      <c r="C191" s="199" t="s">
        <v>597</v>
      </c>
    </row>
    <row r="192" spans="3:3">
      <c r="C192" s="199" t="s">
        <v>598</v>
      </c>
    </row>
    <row r="193" spans="3:3">
      <c r="C193" s="199" t="s">
        <v>599</v>
      </c>
    </row>
    <row r="194" spans="3:3">
      <c r="C194" s="199" t="s">
        <v>600</v>
      </c>
    </row>
    <row r="195" spans="3:3">
      <c r="C195" s="199" t="s">
        <v>602</v>
      </c>
    </row>
    <row r="196" spans="3:3">
      <c r="C196" s="199" t="s">
        <v>603</v>
      </c>
    </row>
    <row r="197" spans="3:3">
      <c r="C197" s="199" t="s">
        <v>604</v>
      </c>
    </row>
    <row r="198" spans="3:3">
      <c r="C198" s="199" t="s">
        <v>605</v>
      </c>
    </row>
    <row r="199" spans="3:3">
      <c r="C199" s="199" t="s">
        <v>606</v>
      </c>
    </row>
    <row r="200" spans="3:3">
      <c r="C200" s="199" t="s">
        <v>607</v>
      </c>
    </row>
    <row r="201" spans="3:3">
      <c r="C201" s="199" t="s">
        <v>608</v>
      </c>
    </row>
    <row r="202" spans="3:3">
      <c r="C202" s="199" t="s">
        <v>609</v>
      </c>
    </row>
    <row r="203" spans="3:3">
      <c r="C203" s="199" t="s">
        <v>610</v>
      </c>
    </row>
    <row r="204" spans="3:3">
      <c r="C204" s="199" t="s">
        <v>611</v>
      </c>
    </row>
    <row r="205" spans="3:3">
      <c r="C205" s="199" t="s">
        <v>613</v>
      </c>
    </row>
    <row r="206" spans="3:3">
      <c r="C206" s="199" t="s">
        <v>614</v>
      </c>
    </row>
    <row r="207" spans="3:3">
      <c r="C207" s="199" t="s">
        <v>615</v>
      </c>
    </row>
    <row r="208" spans="3:3">
      <c r="C208" s="199" t="s">
        <v>616</v>
      </c>
    </row>
    <row r="209" spans="3:3">
      <c r="C209" s="199" t="s">
        <v>618</v>
      </c>
    </row>
    <row r="210" spans="3:3">
      <c r="C210" s="199" t="s">
        <v>619</v>
      </c>
    </row>
    <row r="211" spans="3:3">
      <c r="C211" s="199" t="s">
        <v>620</v>
      </c>
    </row>
    <row r="212" spans="3:3">
      <c r="C212" s="199" t="s">
        <v>621</v>
      </c>
    </row>
    <row r="213" spans="3:3">
      <c r="C213" s="199" t="s">
        <v>622</v>
      </c>
    </row>
    <row r="214" spans="3:3">
      <c r="C214" s="199" t="s">
        <v>623</v>
      </c>
    </row>
    <row r="215" spans="3:3">
      <c r="C215" s="199" t="s">
        <v>624</v>
      </c>
    </row>
    <row r="216" spans="3:3">
      <c r="C216" s="199" t="s">
        <v>625</v>
      </c>
    </row>
    <row r="217" spans="3:3">
      <c r="C217" s="199" t="s">
        <v>626</v>
      </c>
    </row>
    <row r="218" spans="3:3">
      <c r="C218" s="199" t="s">
        <v>627</v>
      </c>
    </row>
    <row r="219" spans="3:3">
      <c r="C219" s="199" t="s">
        <v>628</v>
      </c>
    </row>
    <row r="220" spans="3:3">
      <c r="C220" s="199" t="s">
        <v>629</v>
      </c>
    </row>
    <row r="221" spans="3:3">
      <c r="C221" s="199" t="s">
        <v>630</v>
      </c>
    </row>
    <row r="222" spans="3:3">
      <c r="C222" s="199" t="s">
        <v>631</v>
      </c>
    </row>
    <row r="223" spans="3:3">
      <c r="C223" s="199" t="s">
        <v>632</v>
      </c>
    </row>
    <row r="224" spans="3:3">
      <c r="C224" s="199" t="s">
        <v>481</v>
      </c>
    </row>
    <row r="225" spans="3:3">
      <c r="C225" s="199" t="s">
        <v>633</v>
      </c>
    </row>
    <row r="226" spans="3:3">
      <c r="C226" s="199" t="s">
        <v>635</v>
      </c>
    </row>
    <row r="227" spans="3:3">
      <c r="C227" s="199" t="s">
        <v>637</v>
      </c>
    </row>
    <row r="228" spans="3:3">
      <c r="C228" s="199" t="s">
        <v>638</v>
      </c>
    </row>
    <row r="229" spans="3:3">
      <c r="C229" s="199" t="s">
        <v>640</v>
      </c>
    </row>
    <row r="230" spans="3:3">
      <c r="C230" s="199" t="s">
        <v>641</v>
      </c>
    </row>
    <row r="231" spans="3:3">
      <c r="C231" s="199" t="s">
        <v>642</v>
      </c>
    </row>
    <row r="232" spans="3:3">
      <c r="C232" s="199" t="s">
        <v>643</v>
      </c>
    </row>
    <row r="233" spans="3:3">
      <c r="C233" s="199" t="s">
        <v>644</v>
      </c>
    </row>
    <row r="234" spans="3:3">
      <c r="C234" s="199" t="s">
        <v>646</v>
      </c>
    </row>
    <row r="235" spans="3:3">
      <c r="C235" s="199" t="s">
        <v>647</v>
      </c>
    </row>
  </sheetData>
  <autoFilter ref="A11:AI97"/>
  <sortState ref="A10:U88">
    <sortCondition ref="A10:A88"/>
  </sortState>
  <phoneticPr fontId="0" type="noConversion"/>
  <dataValidations count="2">
    <dataValidation type="list" allowBlank="1" showInputMessage="1" showErrorMessage="1" sqref="A12:A96">
      <formula1>$A$116:$A$125</formula1>
    </dataValidation>
    <dataValidation type="list" allowBlank="1" showInputMessage="1" showErrorMessage="1" sqref="U12:U96">
      <formula1>$B$116:$B$144</formula1>
    </dataValidation>
  </dataValidations>
  <pageMargins left="0.75" right="0.75" top="1" bottom="1" header="0.5" footer="0.5"/>
  <pageSetup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sheetPr codeName="Sheet14" enableFormatConditionsCalculation="0">
    <tabColor indexed="43"/>
  </sheetPr>
  <dimension ref="A1:AB121"/>
  <sheetViews>
    <sheetView tabSelected="1" workbookViewId="0">
      <pane xSplit="3" ySplit="11" topLeftCell="D69" activePane="bottomRight" state="frozen"/>
      <selection pane="topRight" activeCell="D1" sqref="D1"/>
      <selection pane="bottomLeft" activeCell="A12" sqref="A12"/>
      <selection pane="bottomRight" activeCell="H95" sqref="H95"/>
    </sheetView>
  </sheetViews>
  <sheetFormatPr defaultRowHeight="12.75"/>
  <cols>
    <col min="1" max="1" width="18" customWidth="1"/>
    <col min="2" max="2" width="42.42578125" customWidth="1"/>
    <col min="3" max="3" width="37.28515625" customWidth="1"/>
    <col min="4" max="4" width="10.7109375" customWidth="1"/>
    <col min="5" max="5" width="8.5703125" customWidth="1"/>
    <col min="6" max="6" width="36" customWidth="1"/>
    <col min="7" max="7" width="11.85546875" customWidth="1"/>
    <col min="8" max="8" width="13.140625" customWidth="1"/>
    <col min="9" max="9" width="12.7109375" customWidth="1"/>
    <col min="10" max="10" width="13.28515625" style="2" customWidth="1"/>
    <col min="11" max="11" width="14.85546875" style="2" customWidth="1"/>
    <col min="12" max="12" width="13.28515625" customWidth="1"/>
    <col min="13" max="13" width="10.28515625" style="8" customWidth="1"/>
    <col min="14" max="14" width="11.5703125" style="8" customWidth="1"/>
    <col min="16" max="16" width="10.7109375" customWidth="1"/>
    <col min="17" max="17" width="10.28515625" customWidth="1"/>
    <col min="18" max="18" width="10.42578125" customWidth="1"/>
    <col min="20" max="20" width="10.42578125" customWidth="1"/>
    <col min="21" max="21" width="14.28515625" customWidth="1"/>
  </cols>
  <sheetData>
    <row r="1" spans="1:28">
      <c r="A1" s="28" t="s">
        <v>110</v>
      </c>
      <c r="B1" s="236" t="s">
        <v>375</v>
      </c>
    </row>
    <row r="2" spans="1:28">
      <c r="B2" s="222"/>
      <c r="L2" s="232"/>
      <c r="M2" s="402"/>
    </row>
    <row r="3" spans="1:28">
      <c r="A3" s="180" t="s">
        <v>429</v>
      </c>
      <c r="B3" s="222"/>
      <c r="H3" s="197" t="s">
        <v>427</v>
      </c>
      <c r="J3" s="505" t="s">
        <v>929</v>
      </c>
      <c r="K3" s="506"/>
      <c r="L3" s="232"/>
    </row>
    <row r="4" spans="1:28">
      <c r="A4" s="180" t="s">
        <v>439</v>
      </c>
      <c r="B4" s="243"/>
      <c r="H4" s="197">
        <v>2035</v>
      </c>
      <c r="J4" s="506"/>
      <c r="K4" s="506"/>
      <c r="N4" s="131">
        <f>SUM(I12:I96)</f>
        <v>186.94789367386312</v>
      </c>
      <c r="O4" s="218" t="s">
        <v>975</v>
      </c>
    </row>
    <row r="5" spans="1:28">
      <c r="J5" s="508">
        <v>1467</v>
      </c>
      <c r="K5" s="509">
        <f>J5-J6</f>
        <v>1467</v>
      </c>
      <c r="N5" s="132">
        <f>N4*8760*1000</f>
        <v>1637663548.583041</v>
      </c>
      <c r="O5" s="218" t="s">
        <v>976</v>
      </c>
    </row>
    <row r="6" spans="1:28">
      <c r="B6" s="220"/>
      <c r="C6" s="7"/>
      <c r="G6" s="400" t="s">
        <v>821</v>
      </c>
      <c r="H6" s="399">
        <f>SUM(H12:H96)</f>
        <v>1738.7300793984668</v>
      </c>
      <c r="J6" s="507">
        <f>SUM(J12:J114)</f>
        <v>0</v>
      </c>
      <c r="K6" s="507">
        <f>SUM(K12:K114)</f>
        <v>1460.088481869434</v>
      </c>
      <c r="N6" s="530">
        <f>N5/916000000</f>
        <v>1.7878423019465512</v>
      </c>
      <c r="O6" s="218" t="s">
        <v>977</v>
      </c>
    </row>
    <row r="7" spans="1:28">
      <c r="A7" t="str">
        <f>TEXT(ROW(),"")</f>
        <v/>
      </c>
      <c r="H7" s="132"/>
      <c r="J7" s="132"/>
    </row>
    <row r="8" spans="1:28">
      <c r="H8" s="132"/>
      <c r="J8" s="132"/>
    </row>
    <row r="9" spans="1:28">
      <c r="H9" s="132"/>
      <c r="I9" s="132"/>
      <c r="J9" s="132"/>
    </row>
    <row r="10" spans="1:28">
      <c r="A10" s="7"/>
      <c r="B10" s="178">
        <v>1</v>
      </c>
      <c r="C10" s="178">
        <v>2</v>
      </c>
      <c r="D10" s="178">
        <v>3</v>
      </c>
      <c r="E10" s="178">
        <v>4</v>
      </c>
      <c r="F10" s="178">
        <v>5</v>
      </c>
      <c r="G10" s="178">
        <v>6</v>
      </c>
      <c r="H10" s="178">
        <v>7</v>
      </c>
      <c r="I10" s="178">
        <v>8</v>
      </c>
      <c r="J10" s="178">
        <v>9</v>
      </c>
      <c r="K10" s="178">
        <v>10</v>
      </c>
      <c r="L10" s="178">
        <v>11</v>
      </c>
      <c r="M10" s="178">
        <v>12</v>
      </c>
      <c r="N10" s="178">
        <v>13</v>
      </c>
      <c r="O10" s="178">
        <v>14</v>
      </c>
      <c r="P10" s="178">
        <v>15</v>
      </c>
      <c r="Q10" s="178">
        <v>16</v>
      </c>
      <c r="R10" s="178">
        <v>17</v>
      </c>
      <c r="S10" s="178">
        <v>18</v>
      </c>
      <c r="T10" s="178">
        <v>19</v>
      </c>
      <c r="U10" s="178">
        <v>20</v>
      </c>
      <c r="V10" s="178">
        <v>21</v>
      </c>
      <c r="W10" s="178">
        <v>22</v>
      </c>
      <c r="X10" s="178">
        <v>23</v>
      </c>
      <c r="Y10" s="178">
        <v>24</v>
      </c>
      <c r="Z10" s="178">
        <v>25</v>
      </c>
      <c r="AA10" s="178">
        <v>26</v>
      </c>
      <c r="AB10" s="178">
        <v>27</v>
      </c>
    </row>
    <row r="11" spans="1:28" s="8" customFormat="1" ht="63.75">
      <c r="A11" s="536" t="s">
        <v>985</v>
      </c>
      <c r="B11" s="241" t="s">
        <v>284</v>
      </c>
      <c r="C11" s="241" t="s">
        <v>51</v>
      </c>
      <c r="D11" s="241" t="s">
        <v>133</v>
      </c>
      <c r="E11" s="241" t="s">
        <v>73</v>
      </c>
      <c r="F11" s="237" t="s">
        <v>33</v>
      </c>
      <c r="G11" s="241" t="s">
        <v>452</v>
      </c>
      <c r="H11" s="398" t="s">
        <v>687</v>
      </c>
      <c r="I11" s="270" t="s">
        <v>974</v>
      </c>
      <c r="J11" s="270"/>
      <c r="K11" s="270" t="s">
        <v>853</v>
      </c>
      <c r="L11" s="270" t="s">
        <v>1109</v>
      </c>
      <c r="M11" s="241"/>
      <c r="N11" s="241"/>
      <c r="O11" s="244" t="s">
        <v>981</v>
      </c>
      <c r="P11" s="270" t="s">
        <v>1110</v>
      </c>
      <c r="Q11" s="270" t="s">
        <v>1111</v>
      </c>
      <c r="R11" s="270" t="s">
        <v>1113</v>
      </c>
      <c r="S11" s="270" t="s">
        <v>1115</v>
      </c>
      <c r="T11" s="270" t="s">
        <v>1112</v>
      </c>
      <c r="U11" s="270" t="s">
        <v>1114</v>
      </c>
    </row>
    <row r="12" spans="1:28">
      <c r="A12" t="str">
        <f>MLIST!A12</f>
        <v>Compressed Air</v>
      </c>
      <c r="B12" t="str">
        <f>MLIST!D12</f>
        <v>Compressed Air-Retro</v>
      </c>
      <c r="C12" s="26" t="s">
        <v>1133</v>
      </c>
      <c r="D12" s="82"/>
      <c r="F12" t="str">
        <f>MLIST!H12</f>
        <v>Compressed Air Controls</v>
      </c>
      <c r="G12" s="534"/>
      <c r="H12" s="454">
        <f>'[4]SC-Retro'!$C$10</f>
        <v>3.2238288305372076</v>
      </c>
      <c r="I12" s="454">
        <v>0</v>
      </c>
      <c r="J12" s="133"/>
      <c r="K12" s="112" t="s">
        <v>688</v>
      </c>
      <c r="L12" s="181"/>
      <c r="O12" s="535" t="s">
        <v>982</v>
      </c>
    </row>
    <row r="13" spans="1:28">
      <c r="A13" t="str">
        <f>MLIST!A13</f>
        <v>Compressed Air</v>
      </c>
      <c r="B13" s="218" t="str">
        <f>MLIST!D13</f>
        <v>Compressed Air-NR</v>
      </c>
      <c r="C13" s="26" t="s">
        <v>1133</v>
      </c>
      <c r="D13" s="81"/>
      <c r="F13" t="str">
        <f>MLIST!H13</f>
        <v>Compressed Air Improvements</v>
      </c>
      <c r="G13" s="534"/>
      <c r="H13" s="521">
        <f>'[4]SC-NR'!$C$10</f>
        <v>1.0195557332307676</v>
      </c>
      <c r="I13" s="454">
        <v>0</v>
      </c>
      <c r="J13" s="133"/>
      <c r="K13" s="112" t="s">
        <v>688</v>
      </c>
      <c r="L13" s="112"/>
      <c r="M13" s="112"/>
      <c r="O13" s="535" t="s">
        <v>982</v>
      </c>
    </row>
    <row r="14" spans="1:28">
      <c r="A14" t="str">
        <f>MLIST!A14</f>
        <v>Electronics</v>
      </c>
      <c r="B14" s="413" t="str">
        <f>MLIST!D14</f>
        <v>Network PC Power Management-Retro</v>
      </c>
      <c r="C14" s="423" t="s">
        <v>857</v>
      </c>
      <c r="D14" s="414"/>
      <c r="E14" s="413"/>
      <c r="F14" s="413" t="str">
        <f>MLIST!H14</f>
        <v>Network PC Power Management</v>
      </c>
      <c r="G14" s="534"/>
      <c r="H14" s="179"/>
      <c r="I14" s="133"/>
      <c r="J14" s="133"/>
      <c r="K14" s="112">
        <v>72.717466539008427</v>
      </c>
      <c r="L14" s="112"/>
      <c r="M14" s="112"/>
      <c r="O14" s="535"/>
    </row>
    <row r="15" spans="1:28">
      <c r="A15" t="str">
        <f>MLIST!A15</f>
        <v>Electronics</v>
      </c>
      <c r="B15" s="218" t="str">
        <f>MLIST!D15</f>
        <v>Laptop-NR</v>
      </c>
      <c r="C15" s="26" t="s">
        <v>1134</v>
      </c>
      <c r="D15" s="81"/>
      <c r="F15" t="str">
        <f>MLIST!H15</f>
        <v>ENERGY STAR Laptops</v>
      </c>
      <c r="G15" s="534"/>
      <c r="H15" s="179">
        <f>'[5]SC-NR (3)'!$C$10</f>
        <v>3.9941361655064203</v>
      </c>
      <c r="I15" s="133">
        <v>0</v>
      </c>
      <c r="J15" s="133"/>
      <c r="K15" s="112">
        <v>129.97956115621164</v>
      </c>
      <c r="L15" s="112"/>
      <c r="M15" s="112"/>
      <c r="O15" s="535" t="s">
        <v>984</v>
      </c>
    </row>
    <row r="16" spans="1:28">
      <c r="A16" t="str">
        <f>MLIST!A16</f>
        <v>Electronics</v>
      </c>
      <c r="B16" t="str">
        <f>MLIST!D16</f>
        <v>Smart Plug Power Strips-Retro</v>
      </c>
      <c r="C16" s="26" t="s">
        <v>1135</v>
      </c>
      <c r="D16" s="81"/>
      <c r="F16" t="str">
        <f>MLIST!H16</f>
        <v>Smart Plug Power Strips</v>
      </c>
      <c r="G16" s="534"/>
      <c r="H16" s="179">
        <f>'[6]SC-Retro'!$C$10</f>
        <v>46.672185845920254</v>
      </c>
      <c r="I16" s="133">
        <v>0</v>
      </c>
      <c r="J16" s="133"/>
      <c r="K16" s="112" t="s">
        <v>688</v>
      </c>
      <c r="L16" s="112"/>
      <c r="M16" s="112"/>
      <c r="O16" s="535" t="s">
        <v>982</v>
      </c>
    </row>
    <row r="17" spans="1:20">
      <c r="A17" t="str">
        <f>MLIST!A17</f>
        <v>Electronics</v>
      </c>
      <c r="B17" t="str">
        <f>MLIST!D17</f>
        <v>Data Centers-NR</v>
      </c>
      <c r="C17" s="26" t="s">
        <v>963</v>
      </c>
      <c r="D17" s="81"/>
      <c r="F17" t="str">
        <f>MLIST!H17</f>
        <v>Data Centers</v>
      </c>
      <c r="G17" s="534">
        <v>42071</v>
      </c>
      <c r="H17" s="179">
        <f>'[7]SC-NR'!$C$10</f>
        <v>261.31837015129264</v>
      </c>
      <c r="I17" s="133">
        <v>0</v>
      </c>
      <c r="J17" s="133"/>
      <c r="K17" s="112" t="s">
        <v>688</v>
      </c>
      <c r="L17" s="81"/>
      <c r="O17" s="535" t="s">
        <v>983</v>
      </c>
      <c r="P17" s="534"/>
      <c r="R17" s="534">
        <v>42069</v>
      </c>
      <c r="T17" s="534">
        <v>42069</v>
      </c>
    </row>
    <row r="18" spans="1:20">
      <c r="A18" t="str">
        <f>MLIST!A18</f>
        <v>Electronics</v>
      </c>
      <c r="B18" t="str">
        <f>MLIST!D18</f>
        <v>Monitor-NR</v>
      </c>
      <c r="C18" s="26" t="s">
        <v>1134</v>
      </c>
      <c r="D18" s="81"/>
      <c r="F18" t="str">
        <f>MLIST!H18</f>
        <v>ENERGY STAR Monitor</v>
      </c>
      <c r="G18" s="534"/>
      <c r="H18" s="179">
        <f>'[5]SC-NR'!$C$10</f>
        <v>24.336936136177435</v>
      </c>
      <c r="I18" s="133">
        <v>0</v>
      </c>
      <c r="J18" s="133"/>
      <c r="K18" s="112" t="s">
        <v>688</v>
      </c>
      <c r="L18" s="81"/>
      <c r="O18" s="535" t="s">
        <v>984</v>
      </c>
    </row>
    <row r="19" spans="1:20">
      <c r="A19" t="str">
        <f>MLIST!A19</f>
        <v>Electronics</v>
      </c>
      <c r="B19" t="str">
        <f>MLIST!D19</f>
        <v>Desktop-NR</v>
      </c>
      <c r="C19" s="26" t="s">
        <v>1134</v>
      </c>
      <c r="D19" s="81"/>
      <c r="F19" t="str">
        <f>MLIST!H19</f>
        <v>ENERGY STAR Desktop</v>
      </c>
      <c r="G19" s="534"/>
      <c r="H19" s="179">
        <f>'[5]SC-NR (2)'!$C$10</f>
        <v>55.8193241357245</v>
      </c>
      <c r="I19" s="133">
        <v>0</v>
      </c>
      <c r="J19" s="133"/>
      <c r="K19" s="112" t="s">
        <v>688</v>
      </c>
      <c r="L19" s="112"/>
      <c r="M19" s="112"/>
      <c r="O19" s="535" t="s">
        <v>984</v>
      </c>
    </row>
    <row r="20" spans="1:20">
      <c r="A20" t="str">
        <f>MLIST!A20</f>
        <v>Food Preparation</v>
      </c>
      <c r="B20" t="str">
        <f>MLIST!D20</f>
        <v>Pre-Rinse Spray Valve-Retro</v>
      </c>
      <c r="C20" s="26" t="s">
        <v>1136</v>
      </c>
      <c r="D20" s="81"/>
      <c r="F20" t="str">
        <f>MLIST!H20</f>
        <v>Pre-Rinse Spray Valve</v>
      </c>
      <c r="G20" s="534"/>
      <c r="H20" s="179">
        <f>'[8]SC-Retro'!$C$10</f>
        <v>0.97671631632425404</v>
      </c>
      <c r="I20" s="133">
        <v>0</v>
      </c>
      <c r="J20" s="420"/>
      <c r="K20" s="112">
        <v>1.8020364840570837</v>
      </c>
      <c r="L20" s="112"/>
      <c r="M20" s="112"/>
      <c r="O20" s="535" t="s">
        <v>982</v>
      </c>
    </row>
    <row r="21" spans="1:20">
      <c r="A21" t="str">
        <f>MLIST!A21</f>
        <v>Food Preparation</v>
      </c>
      <c r="B21" t="str">
        <f>MLIST!D21</f>
        <v>Cooking Equipment-NR</v>
      </c>
      <c r="C21" s="26" t="s">
        <v>1137</v>
      </c>
      <c r="D21" s="82"/>
      <c r="F21" t="str">
        <f>MLIST!H21</f>
        <v>Cooking Equipment</v>
      </c>
      <c r="G21" s="534"/>
      <c r="H21" s="179">
        <f>'[9]SC-NR'!$C$10</f>
        <v>62.597373753658673</v>
      </c>
      <c r="I21" s="133">
        <v>0</v>
      </c>
      <c r="J21" s="133"/>
      <c r="K21" s="112">
        <v>31.83672767383753</v>
      </c>
      <c r="L21" s="81"/>
      <c r="O21" s="535" t="s">
        <v>982</v>
      </c>
    </row>
    <row r="22" spans="1:20" s="218" customFormat="1">
      <c r="A22" s="218" t="str">
        <f>MLIST!A22</f>
        <v>HVAC</v>
      </c>
      <c r="B22" s="218" t="str">
        <f>MLIST!D22</f>
        <v>DHP-New</v>
      </c>
      <c r="C22" s="546"/>
      <c r="D22" s="547"/>
      <c r="F22" s="218">
        <f>MLIST!H22</f>
        <v>0</v>
      </c>
      <c r="G22" s="538"/>
      <c r="H22" s="539">
        <v>0</v>
      </c>
      <c r="I22" s="540"/>
      <c r="J22" s="540"/>
      <c r="K22" s="541">
        <v>7.3598915362035227</v>
      </c>
      <c r="L22" s="541"/>
      <c r="M22" s="541"/>
      <c r="N22" s="542"/>
      <c r="O22" s="543"/>
    </row>
    <row r="23" spans="1:20" s="218" customFormat="1">
      <c r="A23" s="218" t="str">
        <f>MLIST!A23</f>
        <v>HVAC</v>
      </c>
      <c r="B23" s="218" t="str">
        <f>MLIST!D23</f>
        <v>DHP-Retro</v>
      </c>
      <c r="C23" s="546"/>
      <c r="D23" s="547"/>
      <c r="F23" s="218">
        <f>MLIST!H23</f>
        <v>0</v>
      </c>
      <c r="G23" s="538"/>
      <c r="H23" s="539">
        <v>0</v>
      </c>
      <c r="I23" s="540"/>
      <c r="J23" s="540"/>
      <c r="K23" s="541">
        <v>28.437885955279242</v>
      </c>
      <c r="L23" s="541"/>
      <c r="M23" s="541"/>
      <c r="N23" s="542"/>
      <c r="O23" s="543"/>
    </row>
    <row r="24" spans="1:20">
      <c r="A24" t="str">
        <f>MLIST!A24</f>
        <v>HVAC</v>
      </c>
      <c r="B24" s="415" t="str">
        <f>MLIST!D24</f>
        <v>Glass-New</v>
      </c>
      <c r="C24" s="419" t="s">
        <v>860</v>
      </c>
      <c r="D24" s="417"/>
      <c r="E24" s="415"/>
      <c r="F24" s="415" t="str">
        <f>MLIST!H24</f>
        <v>Windows</v>
      </c>
      <c r="G24" s="534"/>
      <c r="H24" s="179"/>
      <c r="I24" s="133"/>
      <c r="J24" s="133"/>
      <c r="K24" s="112">
        <v>3.1359227208655991</v>
      </c>
      <c r="L24" s="112"/>
      <c r="M24" s="112"/>
      <c r="O24" s="535"/>
    </row>
    <row r="25" spans="1:20">
      <c r="A25" t="str">
        <f>MLIST!A25</f>
        <v>HVAC</v>
      </c>
      <c r="B25" s="415" t="str">
        <f>MLIST!D25</f>
        <v>Glass-NR</v>
      </c>
      <c r="C25" s="419" t="s">
        <v>860</v>
      </c>
      <c r="D25" s="417"/>
      <c r="E25" s="415"/>
      <c r="F25" s="415" t="str">
        <f>MLIST!H25</f>
        <v>Windows</v>
      </c>
      <c r="G25" s="534"/>
      <c r="H25" s="179"/>
      <c r="I25" s="133"/>
      <c r="J25" s="133"/>
      <c r="K25" s="112">
        <v>7.2056124298919988</v>
      </c>
      <c r="L25" s="112"/>
      <c r="O25" s="535"/>
    </row>
    <row r="26" spans="1:20" s="218" customFormat="1">
      <c r="A26" s="218" t="str">
        <f>MLIST!A26</f>
        <v>HVAC</v>
      </c>
      <c r="B26" s="218" t="str">
        <f>MLIST!D26</f>
        <v>ControllerLite-Retro</v>
      </c>
      <c r="C26" s="550"/>
      <c r="D26" s="547"/>
      <c r="F26" s="218" t="str">
        <f>MLIST!H26</f>
        <v>HVAC Controls</v>
      </c>
      <c r="G26" s="538"/>
      <c r="H26" s="539"/>
      <c r="I26" s="540"/>
      <c r="J26" s="540"/>
      <c r="K26" s="541">
        <v>20.889312946804694</v>
      </c>
      <c r="L26" s="541"/>
      <c r="M26" s="542"/>
      <c r="N26" s="542"/>
      <c r="O26" s="543"/>
    </row>
    <row r="27" spans="1:20">
      <c r="A27" t="str">
        <f>MLIST!A27</f>
        <v>HVAC</v>
      </c>
      <c r="B27" t="str">
        <f>MLIST!D27</f>
        <v>Advanced Rooftop Controller-New</v>
      </c>
      <c r="C27" s="26"/>
      <c r="D27" s="82"/>
      <c r="F27" t="str">
        <f>MLIST!H27</f>
        <v>Advanced Rooftop Controller</v>
      </c>
      <c r="G27" s="534"/>
      <c r="H27" s="179"/>
      <c r="I27" s="133"/>
      <c r="J27" s="133"/>
      <c r="K27" s="112" t="s">
        <v>688</v>
      </c>
      <c r="L27" s="81"/>
      <c r="O27" s="535" t="s">
        <v>982</v>
      </c>
    </row>
    <row r="28" spans="1:20">
      <c r="A28" t="str">
        <f>MLIST!A28</f>
        <v>HVAC</v>
      </c>
      <c r="B28" t="str">
        <f>MLIST!D28</f>
        <v>Advanced Rooftop Controller-NR</v>
      </c>
      <c r="C28" s="26"/>
      <c r="D28" s="81"/>
      <c r="F28" t="str">
        <f>MLIST!H28</f>
        <v>Advanced Rooftop Controller</v>
      </c>
      <c r="G28" s="534"/>
      <c r="H28" s="179"/>
      <c r="I28" s="133"/>
      <c r="J28" s="133"/>
      <c r="K28" s="112" t="s">
        <v>688</v>
      </c>
      <c r="L28" s="112"/>
      <c r="O28" s="535" t="s">
        <v>982</v>
      </c>
    </row>
    <row r="29" spans="1:20">
      <c r="A29" t="str">
        <f>MLIST!A29</f>
        <v>HVAC</v>
      </c>
      <c r="B29" t="str">
        <f>MLIST!D29</f>
        <v>Advanced Rooftop Controller-Retro</v>
      </c>
      <c r="C29" s="26" t="s">
        <v>1126</v>
      </c>
      <c r="D29" s="81"/>
      <c r="F29" t="str">
        <f>MLIST!H29</f>
        <v>Advanced Rooftop Controller</v>
      </c>
      <c r="G29" s="534"/>
      <c r="H29" s="539">
        <f>'[10]SC Retro'!$C$10</f>
        <v>119.37282587197582</v>
      </c>
      <c r="I29" s="133">
        <v>0</v>
      </c>
      <c r="J29" s="133"/>
      <c r="K29" s="112" t="s">
        <v>688</v>
      </c>
      <c r="L29" s="112"/>
      <c r="O29" s="535" t="s">
        <v>982</v>
      </c>
    </row>
    <row r="30" spans="1:20">
      <c r="A30" t="str">
        <f>MLIST!A30</f>
        <v>HVAC</v>
      </c>
      <c r="B30" s="415" t="str">
        <f>MLIST!D30</f>
        <v>Variable Speed Chiller-New</v>
      </c>
      <c r="C30" s="415"/>
      <c r="D30" s="417"/>
      <c r="E30" s="415"/>
      <c r="F30" s="415" t="str">
        <f>MLIST!H30</f>
        <v>Variable Speed Chiller</v>
      </c>
      <c r="G30" s="534"/>
      <c r="H30" s="179"/>
      <c r="I30" s="133"/>
      <c r="J30" s="133"/>
      <c r="K30" s="112">
        <v>1.1125921894779771</v>
      </c>
      <c r="L30" s="81"/>
      <c r="O30" s="535"/>
    </row>
    <row r="31" spans="1:20">
      <c r="A31" t="str">
        <f>MLIST!A31</f>
        <v>HVAC</v>
      </c>
      <c r="B31" s="415" t="str">
        <f>MLIST!D31</f>
        <v>Variable Speed Chiller-NR</v>
      </c>
      <c r="C31" s="416"/>
      <c r="D31" s="417"/>
      <c r="E31" s="415"/>
      <c r="F31" s="415" t="str">
        <f>MLIST!H31</f>
        <v>Variable Speed Chiller</v>
      </c>
      <c r="G31" s="534"/>
      <c r="H31" s="179"/>
      <c r="I31" s="133"/>
      <c r="J31" s="133"/>
      <c r="K31" s="112">
        <v>12.287439737441444</v>
      </c>
      <c r="L31" s="112"/>
      <c r="O31" s="535"/>
    </row>
    <row r="32" spans="1:20">
      <c r="A32" t="str">
        <f>MLIST!A32</f>
        <v>HVAC</v>
      </c>
      <c r="B32" t="str">
        <f>MLIST!D32</f>
        <v>Commercial EM-New</v>
      </c>
      <c r="C32" s="26"/>
      <c r="D32" s="81"/>
      <c r="F32" s="415" t="str">
        <f>MLIST!H32</f>
        <v>Commercial Energy Management For Complex systems</v>
      </c>
      <c r="G32" s="534"/>
      <c r="H32" s="179"/>
      <c r="I32" s="133"/>
      <c r="J32" s="420"/>
      <c r="K32" s="112">
        <v>9.3003260024451517</v>
      </c>
      <c r="L32" s="112"/>
      <c r="O32" s="535"/>
    </row>
    <row r="33" spans="1:15">
      <c r="A33" t="str">
        <f>MLIST!A33</f>
        <v>HVAC</v>
      </c>
      <c r="B33" t="str">
        <f>MLIST!D33</f>
        <v>Commercial EM-NR</v>
      </c>
      <c r="C33" s="26"/>
      <c r="D33" s="81"/>
      <c r="F33" t="str">
        <f>MLIST!H33</f>
        <v>Commercial Energy Management For Complex systems</v>
      </c>
      <c r="G33" s="534"/>
      <c r="H33" s="179"/>
      <c r="I33" s="133"/>
      <c r="J33" s="420"/>
      <c r="K33" s="112">
        <v>0</v>
      </c>
      <c r="L33" s="112"/>
      <c r="O33" s="535" t="s">
        <v>982</v>
      </c>
    </row>
    <row r="34" spans="1:15">
      <c r="A34" t="str">
        <f>MLIST!A34</f>
        <v>HVAC</v>
      </c>
      <c r="B34" t="str">
        <f>MLIST!D34</f>
        <v>Commercial EM-Retro</v>
      </c>
      <c r="C34" s="26" t="s">
        <v>1138</v>
      </c>
      <c r="D34" s="82"/>
      <c r="F34" t="str">
        <f>MLIST!H34</f>
        <v>Commercial Energy Management For Complex systems</v>
      </c>
      <c r="G34" s="534"/>
      <c r="H34" s="179">
        <f>'[11]SC Retro'!$C$10</f>
        <v>76.986931526097095</v>
      </c>
      <c r="I34" s="133">
        <f>15%*H34</f>
        <v>11.548039728914564</v>
      </c>
      <c r="J34" s="420"/>
      <c r="K34" s="112">
        <v>120.33075078506094</v>
      </c>
      <c r="L34" s="112"/>
      <c r="O34" s="535" t="s">
        <v>982</v>
      </c>
    </row>
    <row r="35" spans="1:15">
      <c r="A35" t="str">
        <f>MLIST!A35</f>
        <v>HVAC</v>
      </c>
      <c r="B35" s="415" t="str">
        <f>MLIST!D35</f>
        <v>Evaporative Assist Cooling-New</v>
      </c>
      <c r="C35" s="419" t="s">
        <v>862</v>
      </c>
      <c r="D35" s="417"/>
      <c r="E35" s="415"/>
      <c r="F35" s="415" t="str">
        <f>MLIST!H35</f>
        <v>Evaporative Assist Cooling</v>
      </c>
      <c r="G35" s="534"/>
      <c r="H35" s="179"/>
      <c r="I35" s="133"/>
      <c r="J35" s="133"/>
      <c r="K35" s="112">
        <v>0</v>
      </c>
      <c r="L35" s="112"/>
      <c r="O35" s="535"/>
    </row>
    <row r="36" spans="1:15">
      <c r="A36" t="str">
        <f>MLIST!A36</f>
        <v>HVAC</v>
      </c>
      <c r="B36" s="415" t="str">
        <f>MLIST!D36</f>
        <v>Evaporative Assist Cooling-NR</v>
      </c>
      <c r="C36" s="419" t="s">
        <v>862</v>
      </c>
      <c r="D36" s="417"/>
      <c r="E36" s="415"/>
      <c r="F36" s="415" t="str">
        <f>MLIST!H36</f>
        <v>Evaporative Assist Cooling</v>
      </c>
      <c r="G36" s="534"/>
      <c r="H36" s="179"/>
      <c r="I36" s="133"/>
      <c r="J36" s="133"/>
      <c r="K36" s="112">
        <v>0</v>
      </c>
      <c r="L36" s="112"/>
      <c r="O36" s="535"/>
    </row>
    <row r="37" spans="1:15" s="218" customFormat="1">
      <c r="A37" s="218" t="str">
        <f>MLIST!A37</f>
        <v>HVAC</v>
      </c>
      <c r="B37" s="218" t="str">
        <f>MLIST!D37</f>
        <v>Economizer-Retro</v>
      </c>
      <c r="C37" s="26" t="s">
        <v>1125</v>
      </c>
      <c r="D37" s="537"/>
      <c r="F37" s="218" t="str">
        <f>MLIST!H37</f>
        <v>Economizer maintenance and repair</v>
      </c>
      <c r="G37" s="538"/>
      <c r="H37" s="539">
        <f>'[12]SC-Retro'!$C$10</f>
        <v>26.426181974293137</v>
      </c>
      <c r="I37" s="540"/>
      <c r="J37" s="540"/>
      <c r="K37" s="541">
        <v>5.9129303419382238</v>
      </c>
      <c r="L37" s="541"/>
      <c r="M37" s="542"/>
      <c r="N37" s="542"/>
      <c r="O37" s="543"/>
    </row>
    <row r="38" spans="1:15">
      <c r="A38" t="str">
        <f>MLIST!A38</f>
        <v>HVAC</v>
      </c>
      <c r="B38" t="str">
        <f>MLIST!D38</f>
        <v>Demand Control Ventilation-New</v>
      </c>
      <c r="C38" s="26"/>
      <c r="D38" s="81"/>
      <c r="F38" t="str">
        <f>MLIST!H38</f>
        <v>Demand Control Ventilation</v>
      </c>
      <c r="G38" s="534"/>
      <c r="H38" s="179"/>
      <c r="I38" s="133"/>
      <c r="J38" s="133"/>
      <c r="K38" s="112">
        <v>3.7806867212698152</v>
      </c>
      <c r="L38" s="112"/>
      <c r="O38" s="535" t="s">
        <v>982</v>
      </c>
    </row>
    <row r="39" spans="1:15">
      <c r="A39" t="str">
        <f>MLIST!A39</f>
        <v>HVAC</v>
      </c>
      <c r="B39" t="str">
        <f>MLIST!D39</f>
        <v>Demand Control Ventilation-NR</v>
      </c>
      <c r="D39" s="81"/>
      <c r="F39" t="str">
        <f>MLIST!H39</f>
        <v>Demand Control Ventilation</v>
      </c>
      <c r="G39" s="534"/>
      <c r="H39" s="179"/>
      <c r="I39" s="133"/>
      <c r="J39" s="133"/>
      <c r="K39" s="112">
        <v>3.1208141189685712</v>
      </c>
      <c r="L39" s="81"/>
      <c r="O39" s="535" t="s">
        <v>982</v>
      </c>
    </row>
    <row r="40" spans="1:15">
      <c r="A40" t="str">
        <f>MLIST!A40</f>
        <v>HVAC</v>
      </c>
      <c r="B40" t="str">
        <f>MLIST!D40</f>
        <v>Demand Control Ventilation-Retro</v>
      </c>
      <c r="C40" s="26" t="s">
        <v>1139</v>
      </c>
      <c r="D40" s="81"/>
      <c r="F40" t="str">
        <f>MLIST!H40</f>
        <v>Demand Control Ventilation</v>
      </c>
      <c r="G40" s="534"/>
      <c r="H40" s="179">
        <f>'[13]SC-RETRO'!$C$10</f>
        <v>21.228186154993367</v>
      </c>
      <c r="I40" s="133">
        <v>0</v>
      </c>
      <c r="J40" s="133"/>
      <c r="K40" s="112">
        <v>18.586994736156402</v>
      </c>
      <c r="L40" s="112"/>
      <c r="M40" s="112"/>
      <c r="O40" s="535" t="s">
        <v>982</v>
      </c>
    </row>
    <row r="41" spans="1:15">
      <c r="A41" t="str">
        <f>MLIST!A41</f>
        <v>HVAC</v>
      </c>
      <c r="B41" t="str">
        <f>MLIST!D41</f>
        <v>Premium Fume Hood-NR</v>
      </c>
      <c r="C41" s="26" t="s">
        <v>1140</v>
      </c>
      <c r="D41" s="81"/>
      <c r="F41" t="str">
        <f>MLIST!H41</f>
        <v>Premium Fume Hood</v>
      </c>
      <c r="G41" s="534"/>
      <c r="H41" s="179">
        <f>'[14]SC-NR'!$C$10</f>
        <v>3.8878892674922914</v>
      </c>
      <c r="I41" s="133">
        <v>0</v>
      </c>
      <c r="J41" s="133"/>
      <c r="K41" s="112">
        <v>19.625784442962761</v>
      </c>
      <c r="L41" s="81"/>
      <c r="O41" s="535" t="s">
        <v>982</v>
      </c>
    </row>
    <row r="42" spans="1:15">
      <c r="A42" t="str">
        <f>MLIST!A42</f>
        <v>HVAC</v>
      </c>
      <c r="B42" t="str">
        <f>MLIST!D42</f>
        <v>DCV Restaurant Hood-Retro</v>
      </c>
      <c r="C42" s="26"/>
      <c r="D42" s="81"/>
      <c r="F42" t="str">
        <f>MLIST!H42</f>
        <v>DCV Restaurant Hood</v>
      </c>
      <c r="G42" s="534"/>
      <c r="H42" s="179"/>
      <c r="I42" s="133"/>
      <c r="J42" s="133"/>
      <c r="K42" s="112">
        <v>5.2084283011879595</v>
      </c>
      <c r="L42" s="112"/>
      <c r="M42" s="112"/>
      <c r="O42" s="535" t="s">
        <v>982</v>
      </c>
    </row>
    <row r="43" spans="1:15" ht="13.5" customHeight="1">
      <c r="A43" t="str">
        <f>MLIST!A43</f>
        <v>HVAC</v>
      </c>
      <c r="B43" t="str">
        <f>MLIST!D43</f>
        <v>DCV Parking Garage-Retro</v>
      </c>
      <c r="C43" s="26" t="s">
        <v>1122</v>
      </c>
      <c r="D43" s="81"/>
      <c r="F43" t="str">
        <f>MLIST!H43</f>
        <v>DCV Parking Garage</v>
      </c>
      <c r="G43" s="534"/>
      <c r="H43" s="179">
        <f>'[15]SC-Retro'!$C$10</f>
        <v>12.888276850646843</v>
      </c>
      <c r="I43" s="133"/>
      <c r="J43" s="133"/>
      <c r="K43" s="112">
        <v>0</v>
      </c>
      <c r="L43" s="112"/>
      <c r="O43" s="535" t="s">
        <v>982</v>
      </c>
    </row>
    <row r="44" spans="1:15">
      <c r="A44" t="str">
        <f>MLIST!A44</f>
        <v>HVAC</v>
      </c>
      <c r="B44" s="415" t="str">
        <f>MLIST!D44</f>
        <v>Weatherization - School-Retro</v>
      </c>
      <c r="C44" s="416"/>
      <c r="D44" s="417"/>
      <c r="E44" s="415"/>
      <c r="F44" s="415" t="str">
        <f>MLIST!H44</f>
        <v>Weatherization - School</v>
      </c>
      <c r="G44" s="534"/>
      <c r="H44" s="179"/>
      <c r="I44" s="133"/>
      <c r="J44" s="133"/>
      <c r="K44" s="112" t="s">
        <v>688</v>
      </c>
      <c r="L44" s="112"/>
      <c r="O44" s="535"/>
    </row>
    <row r="45" spans="1:15">
      <c r="A45" t="str">
        <f>MLIST!A45</f>
        <v>HVAC</v>
      </c>
      <c r="B45" s="415" t="str">
        <f>MLIST!D45</f>
        <v>Energy Recovery Ventilator-NR</v>
      </c>
      <c r="C45" s="415" t="s">
        <v>863</v>
      </c>
      <c r="D45" s="417"/>
      <c r="E45" s="415"/>
      <c r="F45" s="415" t="str">
        <f>MLIST!H45</f>
        <v>Heat Recovery Ventilation</v>
      </c>
      <c r="G45" s="534"/>
      <c r="H45" s="179"/>
      <c r="I45" s="133"/>
      <c r="J45" s="133"/>
      <c r="K45" s="112" t="s">
        <v>688</v>
      </c>
      <c r="L45" s="81"/>
      <c r="O45" s="535"/>
    </row>
    <row r="46" spans="1:15">
      <c r="A46" t="str">
        <f>MLIST!A46</f>
        <v>HVAC</v>
      </c>
      <c r="B46" s="415" t="str">
        <f>MLIST!D46</f>
        <v>AC Heat Recovery for Water Heating-NR</v>
      </c>
      <c r="C46" s="419" t="s">
        <v>857</v>
      </c>
      <c r="D46" s="417"/>
      <c r="E46" s="415"/>
      <c r="F46" s="415" t="str">
        <f>MLIST!H46</f>
        <v>AC Heat Recovery for Water Heating</v>
      </c>
      <c r="G46" s="534"/>
      <c r="H46" s="179"/>
      <c r="I46" s="133"/>
      <c r="J46" s="133"/>
      <c r="K46" s="112" t="s">
        <v>688</v>
      </c>
      <c r="L46" s="112"/>
      <c r="M46" s="132"/>
      <c r="O46" s="535"/>
    </row>
    <row r="47" spans="1:15">
      <c r="A47" t="str">
        <f>MLIST!A47</f>
        <v>HVAC</v>
      </c>
      <c r="B47" s="415" t="str">
        <f>MLIST!D47</f>
        <v>Room Occupancy Sensors in Lodging-Retro</v>
      </c>
      <c r="C47" s="419" t="s">
        <v>857</v>
      </c>
      <c r="D47" s="418"/>
      <c r="E47" s="415"/>
      <c r="F47" s="415" t="str">
        <f>MLIST!H47</f>
        <v>Room Occupancy Sensors in Lodging</v>
      </c>
      <c r="G47" s="534"/>
      <c r="H47" s="179"/>
      <c r="I47" s="133"/>
      <c r="J47" s="133"/>
      <c r="K47" s="112" t="s">
        <v>688</v>
      </c>
      <c r="L47" s="81"/>
      <c r="O47" s="535"/>
    </row>
    <row r="48" spans="1:15">
      <c r="A48" t="str">
        <f>MLIST!A48</f>
        <v>HVAC</v>
      </c>
      <c r="B48" s="415" t="str">
        <f>MLIST!D48</f>
        <v>Chiller - chilled water retrofit-Retro</v>
      </c>
      <c r="C48" s="415" t="s">
        <v>862</v>
      </c>
      <c r="D48" s="418"/>
      <c r="E48" s="415"/>
      <c r="F48" s="415" t="str">
        <f>MLIST!H48</f>
        <v>Chiller - chilled water retrofit</v>
      </c>
      <c r="G48" s="534"/>
      <c r="H48" s="179"/>
      <c r="I48" s="133"/>
      <c r="J48" s="133"/>
      <c r="K48" s="112" t="s">
        <v>688</v>
      </c>
      <c r="L48" s="81"/>
      <c r="O48" s="535"/>
    </row>
    <row r="49" spans="1:21">
      <c r="A49" t="str">
        <f>MLIST!A49</f>
        <v>HVAC</v>
      </c>
      <c r="B49" s="415" t="str">
        <f>MLIST!D49</f>
        <v>Chiller - equip retrofits-Retro</v>
      </c>
      <c r="C49" s="415" t="s">
        <v>862</v>
      </c>
      <c r="D49" s="418"/>
      <c r="E49" s="415"/>
      <c r="F49" s="415" t="str">
        <f>MLIST!H49</f>
        <v>Chiller - equip retrofits</v>
      </c>
      <c r="G49" s="534"/>
      <c r="H49" s="179"/>
      <c r="I49" s="133"/>
      <c r="J49" s="133"/>
      <c r="K49" s="112" t="s">
        <v>688</v>
      </c>
      <c r="L49" s="112"/>
      <c r="O49" s="535"/>
    </row>
    <row r="50" spans="1:21">
      <c r="A50" t="str">
        <f>MLIST!A50</f>
        <v>HVAC</v>
      </c>
      <c r="B50" s="415" t="str">
        <f>MLIST!D50</f>
        <v>Pool Blankets-Retro</v>
      </c>
      <c r="C50" s="419" t="s">
        <v>857</v>
      </c>
      <c r="D50" s="417"/>
      <c r="E50" s="415"/>
      <c r="F50" s="415" t="str">
        <f>MLIST!H50</f>
        <v>Pool Blankets</v>
      </c>
      <c r="G50" s="534"/>
      <c r="H50" s="179"/>
      <c r="I50" s="133"/>
      <c r="J50" s="133"/>
      <c r="K50" s="112" t="s">
        <v>688</v>
      </c>
      <c r="L50" s="112"/>
      <c r="O50" s="535"/>
    </row>
    <row r="51" spans="1:21">
      <c r="A51" t="str">
        <f>MLIST!A51</f>
        <v>HVAC</v>
      </c>
      <c r="B51" s="415" t="str">
        <f>MLIST!D51</f>
        <v>Web-Enabled Thermostats-Retro</v>
      </c>
      <c r="C51" s="419" t="s">
        <v>857</v>
      </c>
      <c r="D51" s="417"/>
      <c r="E51" s="415"/>
      <c r="F51" s="415" t="str">
        <f>MLIST!H51</f>
        <v>Web-Enabled Thermostats</v>
      </c>
      <c r="G51" s="534"/>
      <c r="H51" s="179"/>
      <c r="I51" s="133"/>
      <c r="J51" s="133"/>
      <c r="K51" s="112" t="s">
        <v>688</v>
      </c>
      <c r="L51" s="112"/>
      <c r="O51" s="535"/>
    </row>
    <row r="52" spans="1:21">
      <c r="A52" t="str">
        <f>MLIST!A52</f>
        <v>HVAC</v>
      </c>
      <c r="B52" s="415" t="str">
        <f>MLIST!D52</f>
        <v>Garage CO2 ventilation-Retro</v>
      </c>
      <c r="C52" s="422" t="s">
        <v>854</v>
      </c>
      <c r="D52" s="81"/>
      <c r="F52" t="str">
        <f>MLIST!H52</f>
        <v>Garage CO2 ventilation</v>
      </c>
      <c r="G52" s="534"/>
      <c r="H52" s="179"/>
      <c r="I52" s="133"/>
      <c r="J52" s="133"/>
      <c r="K52" s="112" t="s">
        <v>688</v>
      </c>
      <c r="O52" s="535" t="s">
        <v>982</v>
      </c>
    </row>
    <row r="53" spans="1:21">
      <c r="A53" t="str">
        <f>MLIST!A53</f>
        <v>HVAC</v>
      </c>
      <c r="B53" s="415" t="str">
        <f>MLIST!D53</f>
        <v>Circ Pump ECM and drive-Retro</v>
      </c>
      <c r="C53" s="416"/>
      <c r="D53" s="417"/>
      <c r="E53" s="415"/>
      <c r="F53" s="415" t="str">
        <f>MLIST!H53</f>
        <v>Circ Pump ECM and drive</v>
      </c>
      <c r="G53" s="534"/>
      <c r="H53" s="179"/>
      <c r="I53" s="133"/>
      <c r="J53" s="133"/>
      <c r="K53" s="112" t="s">
        <v>688</v>
      </c>
      <c r="O53" s="535"/>
    </row>
    <row r="54" spans="1:21">
      <c r="A54" t="str">
        <f>MLIST!A54</f>
        <v>HVAC</v>
      </c>
      <c r="B54" t="str">
        <f>MLIST!D54</f>
        <v>VRF-New</v>
      </c>
      <c r="C54" s="26" t="s">
        <v>1121</v>
      </c>
      <c r="D54" s="81"/>
      <c r="F54" t="str">
        <f>MLIST!H54</f>
        <v>Variable Refrigerant Flow</v>
      </c>
      <c r="G54" s="534"/>
      <c r="H54" s="179">
        <f>'[16]SC-New'!$C$10</f>
        <v>61.089028709904269</v>
      </c>
      <c r="I54" s="133">
        <f>H54</f>
        <v>61.089028709904269</v>
      </c>
      <c r="J54" s="133"/>
      <c r="K54" s="112" t="s">
        <v>688</v>
      </c>
      <c r="O54" s="535" t="s">
        <v>982</v>
      </c>
    </row>
    <row r="55" spans="1:21">
      <c r="A55" t="str">
        <f>MLIST!A55</f>
        <v>HVAC</v>
      </c>
      <c r="B55" s="218" t="str">
        <f>MLIST!D55</f>
        <v>VRF-Retro</v>
      </c>
      <c r="C55" s="26" t="s">
        <v>1121</v>
      </c>
      <c r="D55" s="417"/>
      <c r="E55" s="415"/>
      <c r="F55" t="str">
        <f>MLIST!H55</f>
        <v>Variable Refrigerant Flow</v>
      </c>
      <c r="G55" s="534"/>
      <c r="H55" s="179">
        <f>'[16]SC-Retro'!$C$10</f>
        <v>31.395155521232557</v>
      </c>
      <c r="I55" s="133"/>
      <c r="J55" s="133"/>
      <c r="K55" s="112" t="s">
        <v>688</v>
      </c>
      <c r="O55" s="535" t="s">
        <v>982</v>
      </c>
    </row>
    <row r="56" spans="1:21">
      <c r="A56" t="str">
        <f>MLIST!A56</f>
        <v>HVAC</v>
      </c>
      <c r="B56" s="415" t="str">
        <f>MLIST!D56</f>
        <v>Evaporator Roof Top HVAC-Retro</v>
      </c>
      <c r="C56" s="419" t="s">
        <v>857</v>
      </c>
      <c r="D56" s="417"/>
      <c r="E56" s="415"/>
      <c r="F56" s="415" t="str">
        <f>MLIST!H56</f>
        <v>Evaporator Roof Top HVAC</v>
      </c>
      <c r="G56" s="534"/>
      <c r="H56" s="179"/>
      <c r="I56" s="133"/>
      <c r="J56" s="133"/>
      <c r="K56" s="112" t="s">
        <v>688</v>
      </c>
      <c r="O56" s="535"/>
    </row>
    <row r="57" spans="1:21">
      <c r="A57" t="str">
        <f>MLIST!A57</f>
        <v>HVAC</v>
      </c>
      <c r="B57" t="str">
        <f>MLIST!D57</f>
        <v>Secondary Glazing Systems-Retro</v>
      </c>
      <c r="C57" s="26" t="s">
        <v>1131</v>
      </c>
      <c r="D57" s="81"/>
      <c r="F57" t="str">
        <f>MLIST!H57</f>
        <v>Secondary Glazing Systems</v>
      </c>
      <c r="G57" s="534">
        <v>42071</v>
      </c>
      <c r="H57" s="179">
        <f>'[17]SC-Retro'!$C$10</f>
        <v>40.390797895321441</v>
      </c>
      <c r="I57" s="133"/>
      <c r="J57" s="133"/>
      <c r="K57" s="112" t="s">
        <v>688</v>
      </c>
      <c r="O57" s="535" t="s">
        <v>983</v>
      </c>
      <c r="P57" s="534"/>
      <c r="R57" s="534">
        <v>42069</v>
      </c>
      <c r="T57" s="534">
        <v>42069</v>
      </c>
    </row>
    <row r="58" spans="1:21">
      <c r="A58" t="str">
        <f>MLIST!A58</f>
        <v>Lighting</v>
      </c>
      <c r="B58" t="str">
        <f>MLIST!D58</f>
        <v>LPD Package-New</v>
      </c>
      <c r="C58" s="26" t="s">
        <v>1117</v>
      </c>
      <c r="D58" s="81"/>
      <c r="F58" t="str">
        <f>MLIST!H58</f>
        <v>Lighting Power Density</v>
      </c>
      <c r="G58" s="534">
        <v>42071</v>
      </c>
      <c r="H58" s="179">
        <f>'[18]SC-New'!$C$10</f>
        <v>77.181342695273457</v>
      </c>
      <c r="I58" s="133">
        <f>H58</f>
        <v>77.181342695273457</v>
      </c>
      <c r="J58" s="133"/>
      <c r="K58" s="112">
        <v>43.425816906114818</v>
      </c>
      <c r="O58" s="535" t="s">
        <v>983</v>
      </c>
      <c r="P58" s="534">
        <v>42070</v>
      </c>
      <c r="Q58" s="534">
        <v>42070</v>
      </c>
      <c r="R58" s="534">
        <v>42069</v>
      </c>
      <c r="T58" s="534">
        <v>42069</v>
      </c>
      <c r="U58" s="534">
        <v>42070</v>
      </c>
    </row>
    <row r="59" spans="1:21">
      <c r="A59" t="str">
        <f>MLIST!A59</f>
        <v>Lighting</v>
      </c>
      <c r="B59" t="str">
        <f>MLIST!D59</f>
        <v>LPD Package-NR</v>
      </c>
      <c r="C59" s="26" t="s">
        <v>1117</v>
      </c>
      <c r="D59" s="81"/>
      <c r="F59" t="str">
        <f>MLIST!H59</f>
        <v>Lighting Power Density</v>
      </c>
      <c r="G59" s="534">
        <v>42071</v>
      </c>
      <c r="H59" s="179">
        <f>'[18]SC-NR'!$C$10</f>
        <v>209.62341372597962</v>
      </c>
      <c r="I59" s="133"/>
      <c r="J59" s="133"/>
      <c r="K59" s="112">
        <v>288.64083212829757</v>
      </c>
      <c r="L59" s="112"/>
      <c r="O59" s="535" t="s">
        <v>983</v>
      </c>
      <c r="P59" s="534">
        <v>42070</v>
      </c>
      <c r="Q59" s="534">
        <v>42070</v>
      </c>
      <c r="R59" s="534">
        <v>42069</v>
      </c>
      <c r="T59" s="534">
        <v>42069</v>
      </c>
      <c r="U59" s="534">
        <v>42070</v>
      </c>
    </row>
    <row r="60" spans="1:21">
      <c r="A60" t="str">
        <f>MLIST!A60</f>
        <v>Lighting</v>
      </c>
      <c r="B60" t="str">
        <f>MLIST!D60</f>
        <v>LPD Package-Retro</v>
      </c>
      <c r="C60" s="26" t="s">
        <v>1117</v>
      </c>
      <c r="D60" s="81"/>
      <c r="F60" t="str">
        <f>MLIST!H60</f>
        <v>Lighting Power Density</v>
      </c>
      <c r="G60" s="534">
        <v>42071</v>
      </c>
      <c r="H60" s="179">
        <f>'[18]SC-Retro'!$C$10</f>
        <v>108.93189922488979</v>
      </c>
      <c r="I60" s="133"/>
      <c r="J60" s="133"/>
      <c r="K60" s="112">
        <v>32.215584324387343</v>
      </c>
      <c r="O60" s="535" t="s">
        <v>983</v>
      </c>
      <c r="P60" s="534">
        <v>42070</v>
      </c>
      <c r="Q60" s="534">
        <v>42070</v>
      </c>
      <c r="R60" s="534">
        <v>42069</v>
      </c>
      <c r="T60" s="534">
        <v>42069</v>
      </c>
      <c r="U60" s="534">
        <v>42070</v>
      </c>
    </row>
    <row r="61" spans="1:21">
      <c r="A61" t="str">
        <f>MLIST!A61</f>
        <v>Lighting</v>
      </c>
      <c r="B61" s="415" t="str">
        <f>MLIST!D61</f>
        <v>Top Daylighting-New</v>
      </c>
      <c r="C61" s="419" t="s">
        <v>860</v>
      </c>
      <c r="D61" s="82"/>
      <c r="F61" t="str">
        <f>MLIST!H61</f>
        <v>Daylighting with Skylights</v>
      </c>
      <c r="G61" s="534"/>
      <c r="H61" s="179"/>
      <c r="I61" s="133"/>
      <c r="J61" s="133"/>
      <c r="K61" s="112">
        <v>17.425003592262602</v>
      </c>
      <c r="O61" s="535" t="s">
        <v>983</v>
      </c>
      <c r="P61" s="534"/>
      <c r="R61" s="534">
        <v>42069</v>
      </c>
      <c r="T61" s="534">
        <v>42069</v>
      </c>
    </row>
    <row r="62" spans="1:21">
      <c r="A62" t="str">
        <f>MLIST!A62</f>
        <v>Lighting</v>
      </c>
      <c r="B62" s="415" t="str">
        <f>MLIST!D62</f>
        <v>Perimeter Daylighting Controls Advanced-New</v>
      </c>
      <c r="C62" s="419" t="s">
        <v>860</v>
      </c>
      <c r="D62" s="81"/>
      <c r="F62" t="str">
        <f>MLIST!H62</f>
        <v>Daylighting with Windows</v>
      </c>
      <c r="G62" s="534"/>
      <c r="H62" s="179"/>
      <c r="I62" s="133"/>
      <c r="J62" s="133"/>
      <c r="K62" s="112">
        <v>3.1006916194307825</v>
      </c>
      <c r="O62" s="535" t="s">
        <v>983</v>
      </c>
      <c r="P62" s="534"/>
      <c r="R62" s="534">
        <v>42069</v>
      </c>
      <c r="T62" s="534">
        <v>42069</v>
      </c>
    </row>
    <row r="63" spans="1:21" ht="12.75" customHeight="1">
      <c r="A63" t="str">
        <f>MLIST!A63</f>
        <v>Lighting</v>
      </c>
      <c r="B63" t="str">
        <f>MLIST!D63</f>
        <v>Perimeter Daylighting Controls Advanced-NR</v>
      </c>
      <c r="C63" s="26"/>
      <c r="D63" s="81"/>
      <c r="F63" t="str">
        <f>MLIST!H63</f>
        <v>Daylighting with Windows</v>
      </c>
      <c r="G63" s="534"/>
      <c r="H63" s="179"/>
      <c r="I63" s="133"/>
      <c r="J63" s="133"/>
      <c r="K63" s="112">
        <v>11.866846651298719</v>
      </c>
      <c r="L63" s="112"/>
      <c r="O63" s="535" t="s">
        <v>983</v>
      </c>
      <c r="P63" s="534"/>
      <c r="R63" s="534">
        <v>42069</v>
      </c>
      <c r="T63" s="534">
        <v>42069</v>
      </c>
    </row>
    <row r="64" spans="1:21">
      <c r="A64" t="str">
        <f>MLIST!A64</f>
        <v>Lighting</v>
      </c>
      <c r="B64" t="str">
        <f>MLIST!D64</f>
        <v>Lighting Controls Interior-New</v>
      </c>
      <c r="C64" s="26" t="s">
        <v>1118</v>
      </c>
      <c r="F64" t="str">
        <f>MLIST!H64</f>
        <v>Lighting Controls Interior</v>
      </c>
      <c r="G64" s="534">
        <v>42071</v>
      </c>
      <c r="H64" s="179">
        <f>'[19]SC-New'!$C$10</f>
        <v>10.950320424220106</v>
      </c>
      <c r="I64" s="133">
        <f>H64</f>
        <v>10.950320424220106</v>
      </c>
      <c r="J64" s="133"/>
      <c r="K64" s="112">
        <v>5.4534720066331879</v>
      </c>
      <c r="O64" s="535" t="s">
        <v>983</v>
      </c>
      <c r="P64" s="534"/>
      <c r="R64" s="534">
        <v>42069</v>
      </c>
      <c r="T64" s="534">
        <v>42069</v>
      </c>
    </row>
    <row r="65" spans="1:21">
      <c r="A65" t="str">
        <f>MLIST!A65</f>
        <v>Lighting</v>
      </c>
      <c r="B65" t="str">
        <f>MLIST!D65</f>
        <v>Lighting Controls Interior-NR</v>
      </c>
      <c r="C65" s="26" t="s">
        <v>1118</v>
      </c>
      <c r="F65" t="str">
        <f>MLIST!H65</f>
        <v>Lighting Controls Interior</v>
      </c>
      <c r="G65" s="534">
        <v>42071</v>
      </c>
      <c r="H65" s="179">
        <f>'[19]SC-NR'!$C$10</f>
        <v>26.31391009160577</v>
      </c>
      <c r="I65" s="133"/>
      <c r="J65" s="133"/>
      <c r="K65" s="112">
        <v>53.550862716639848</v>
      </c>
      <c r="O65" s="535" t="s">
        <v>983</v>
      </c>
      <c r="P65" s="534"/>
      <c r="R65" s="534">
        <v>42069</v>
      </c>
      <c r="T65" s="534">
        <v>42069</v>
      </c>
    </row>
    <row r="66" spans="1:21">
      <c r="A66" t="str">
        <f>MLIST!A66</f>
        <v>Lighting</v>
      </c>
      <c r="B66" t="str">
        <f>MLIST!D66</f>
        <v>Exterior Building Lighting-New</v>
      </c>
      <c r="C66" s="26" t="s">
        <v>1119</v>
      </c>
      <c r="F66" t="str">
        <f>MLIST!H66</f>
        <v>Exterior Building Lighting</v>
      </c>
      <c r="G66" s="534">
        <v>42070</v>
      </c>
      <c r="H66" s="179">
        <f>'[20]SC-New'!$C$10</f>
        <v>18.695722892998404</v>
      </c>
      <c r="I66" s="133">
        <f>H66</f>
        <v>18.695722892998404</v>
      </c>
      <c r="J66" s="133"/>
      <c r="K66" s="112">
        <v>23.218243762601482</v>
      </c>
      <c r="O66" s="535" t="s">
        <v>983</v>
      </c>
      <c r="P66" s="534">
        <v>42069</v>
      </c>
      <c r="Q66" s="534">
        <v>42069</v>
      </c>
      <c r="R66" s="534">
        <v>42069</v>
      </c>
      <c r="T66" s="534">
        <v>42069</v>
      </c>
      <c r="U66" s="534">
        <v>42069</v>
      </c>
    </row>
    <row r="67" spans="1:21">
      <c r="A67" t="str">
        <f>MLIST!A67</f>
        <v>Lighting</v>
      </c>
      <c r="B67" t="str">
        <f>MLIST!D67</f>
        <v>Exterior Building Lighting-NR</v>
      </c>
      <c r="C67" s="26" t="s">
        <v>1119</v>
      </c>
      <c r="F67" t="str">
        <f>MLIST!H67</f>
        <v>Exterior Building Lighting</v>
      </c>
      <c r="G67" s="534">
        <v>42070</v>
      </c>
      <c r="H67" s="179">
        <f>'[20]SC-NR'!$C$10</f>
        <v>123.72449000056638</v>
      </c>
      <c r="I67" s="133"/>
      <c r="J67" s="133"/>
      <c r="K67" s="112">
        <v>65.152385048123932</v>
      </c>
      <c r="O67" s="535" t="s">
        <v>983</v>
      </c>
      <c r="P67" s="534">
        <v>42069</v>
      </c>
      <c r="Q67" s="534">
        <v>42069</v>
      </c>
      <c r="R67" s="534">
        <v>42069</v>
      </c>
      <c r="T67" s="534">
        <v>42069</v>
      </c>
      <c r="U67" s="534">
        <v>42069</v>
      </c>
    </row>
    <row r="68" spans="1:21">
      <c r="A68" t="str">
        <f>MLIST!A68</f>
        <v>Lighting</v>
      </c>
      <c r="B68" t="str">
        <f>MLIST!D68</f>
        <v>Street and Roadway Lighting-New</v>
      </c>
      <c r="C68" s="26" t="s">
        <v>1129</v>
      </c>
      <c r="F68" t="str">
        <f>MLIST!H68</f>
        <v>Street and Roadway Lighting</v>
      </c>
      <c r="G68" s="534">
        <v>42070</v>
      </c>
      <c r="H68" s="179">
        <f>'[21]SC-New'!$C$10</f>
        <v>6.6186035002887733</v>
      </c>
      <c r="I68" s="133"/>
      <c r="J68" s="133"/>
      <c r="K68" s="112">
        <v>8.0478163439427366</v>
      </c>
      <c r="O68" s="535" t="s">
        <v>983</v>
      </c>
      <c r="P68" s="534">
        <v>42069</v>
      </c>
      <c r="Q68" s="534">
        <v>42069</v>
      </c>
      <c r="R68" s="534">
        <v>42069</v>
      </c>
      <c r="T68" s="534">
        <v>42069</v>
      </c>
      <c r="U68" s="534">
        <v>42069</v>
      </c>
    </row>
    <row r="69" spans="1:21">
      <c r="A69" t="str">
        <f>MLIST!A69</f>
        <v>Lighting</v>
      </c>
      <c r="B69" t="str">
        <f>MLIST!D69</f>
        <v>Street and Roadway Lighting-NR</v>
      </c>
      <c r="C69" s="26" t="s">
        <v>1129</v>
      </c>
      <c r="D69" s="81"/>
      <c r="F69" t="str">
        <f>MLIST!H69</f>
        <v>Street and Roadway Lighting</v>
      </c>
      <c r="G69" s="534">
        <v>42070</v>
      </c>
      <c r="H69" s="179">
        <f>'[21]SC-NR'!$C$10</f>
        <v>54.214701088024171</v>
      </c>
      <c r="I69" s="133"/>
      <c r="J69" s="133"/>
      <c r="K69" s="112">
        <v>35.768242090251178</v>
      </c>
      <c r="O69" s="535" t="s">
        <v>983</v>
      </c>
      <c r="P69" s="534">
        <v>42069</v>
      </c>
      <c r="Q69" s="534">
        <v>42069</v>
      </c>
      <c r="R69" s="534">
        <v>42069</v>
      </c>
      <c r="T69" s="534">
        <v>42069</v>
      </c>
      <c r="U69" s="534">
        <v>42069</v>
      </c>
    </row>
    <row r="70" spans="1:21">
      <c r="A70" t="str">
        <f>MLIST!A70</f>
        <v>Lighting</v>
      </c>
      <c r="B70" t="str">
        <f>MLIST!D70</f>
        <v>Parking Lighting-New</v>
      </c>
      <c r="C70" s="26" t="s">
        <v>964</v>
      </c>
      <c r="D70" s="81"/>
      <c r="F70" t="str">
        <f>MLIST!H70</f>
        <v>Parking Lighting</v>
      </c>
      <c r="G70" s="534"/>
      <c r="H70" s="179"/>
      <c r="I70" s="133">
        <v>0</v>
      </c>
      <c r="J70" s="133"/>
      <c r="K70" s="112">
        <v>8.3762581743454216</v>
      </c>
      <c r="O70" s="535" t="s">
        <v>983</v>
      </c>
      <c r="P70" s="534"/>
      <c r="R70" s="534">
        <v>42069</v>
      </c>
      <c r="T70" s="534">
        <v>42069</v>
      </c>
    </row>
    <row r="71" spans="1:21">
      <c r="A71" t="str">
        <f>MLIST!A71</f>
        <v>Lighting</v>
      </c>
      <c r="B71" t="str">
        <f>MLIST!D71</f>
        <v>Parking Lighting-NR</v>
      </c>
      <c r="C71" s="26" t="s">
        <v>964</v>
      </c>
      <c r="D71" s="81"/>
      <c r="F71" t="str">
        <f>MLIST!H71</f>
        <v>Parking Lighting</v>
      </c>
      <c r="G71" s="534">
        <v>42081</v>
      </c>
      <c r="H71" s="179">
        <f>'[22]SC-NR'!$C$10</f>
        <v>8.4133728390346398</v>
      </c>
      <c r="I71" s="133"/>
      <c r="J71" s="133"/>
      <c r="K71" s="112">
        <v>45.816647060114327</v>
      </c>
      <c r="O71" s="535" t="s">
        <v>983</v>
      </c>
      <c r="P71" s="534"/>
      <c r="R71" s="534">
        <v>42069</v>
      </c>
      <c r="T71" s="534">
        <v>42069</v>
      </c>
    </row>
    <row r="72" spans="1:21">
      <c r="A72" t="str">
        <f>MLIST!A72</f>
        <v>Lighting</v>
      </c>
      <c r="B72" t="str">
        <f>MLIST!D72</f>
        <v>Bi-Level Stairwell Lighting-NR</v>
      </c>
      <c r="C72" s="26" t="s">
        <v>969</v>
      </c>
      <c r="D72" s="81"/>
      <c r="F72" t="str">
        <f>MLIST!H72</f>
        <v>Bi-Level Stairwell</v>
      </c>
      <c r="G72" s="534">
        <v>42081</v>
      </c>
      <c r="H72" s="179">
        <f>'[23]SC-NR'!$C$10</f>
        <v>11.858348727423326</v>
      </c>
      <c r="I72" s="133"/>
      <c r="J72" s="133"/>
      <c r="K72" s="112" t="s">
        <v>688</v>
      </c>
      <c r="O72" s="535" t="s">
        <v>983</v>
      </c>
      <c r="P72" s="534"/>
      <c r="R72" s="534">
        <v>42069</v>
      </c>
      <c r="T72" s="534">
        <v>42069</v>
      </c>
    </row>
    <row r="73" spans="1:21">
      <c r="A73" t="str">
        <f>MLIST!A73</f>
        <v>Lighting</v>
      </c>
      <c r="B73" t="str">
        <f>MLIST!D73</f>
        <v>Low Power LF Lamps-NR</v>
      </c>
      <c r="C73" s="26" t="s">
        <v>1116</v>
      </c>
      <c r="D73" s="81"/>
      <c r="F73" t="s">
        <v>957</v>
      </c>
      <c r="G73" s="534">
        <v>42057</v>
      </c>
      <c r="H73" s="179">
        <f>'[32]SC-NR'!$C$10</f>
        <v>40.479721787784023</v>
      </c>
      <c r="I73" s="133"/>
      <c r="J73" s="420"/>
      <c r="K73" s="112"/>
      <c r="L73" s="112"/>
      <c r="O73" s="535" t="s">
        <v>983</v>
      </c>
      <c r="P73" s="534">
        <v>42070</v>
      </c>
      <c r="Q73" s="534">
        <v>42070</v>
      </c>
      <c r="R73" s="534">
        <v>42069</v>
      </c>
      <c r="T73" s="534">
        <v>42069</v>
      </c>
      <c r="U73" s="534">
        <v>42070</v>
      </c>
    </row>
    <row r="74" spans="1:21">
      <c r="A74" t="str">
        <f>MLIST!A74</f>
        <v>Lighting</v>
      </c>
      <c r="B74" t="str">
        <f>MLIST!D74</f>
        <v>LEC Exit Sign-New</v>
      </c>
      <c r="C74" s="26" t="s">
        <v>1167</v>
      </c>
      <c r="D74" s="81"/>
      <c r="F74" s="218" t="s">
        <v>1166</v>
      </c>
      <c r="G74" s="534">
        <v>42086</v>
      </c>
      <c r="H74" s="179">
        <f>'[34]SC-New'!$C$10</f>
        <v>3.3822770456856448</v>
      </c>
      <c r="I74" s="133"/>
      <c r="J74" s="420"/>
      <c r="K74" s="112"/>
      <c r="L74" s="112"/>
      <c r="O74" s="535"/>
      <c r="P74" s="534"/>
      <c r="Q74" s="534"/>
      <c r="R74" s="534"/>
      <c r="T74" s="534"/>
      <c r="U74" s="534"/>
    </row>
    <row r="75" spans="1:21">
      <c r="A75" t="str">
        <f>MLIST!A75</f>
        <v>Lighting</v>
      </c>
      <c r="B75" t="str">
        <f>MLIST!D75</f>
        <v>LEC Exit Sign-NR</v>
      </c>
      <c r="C75" s="26" t="s">
        <v>1167</v>
      </c>
      <c r="D75" s="81"/>
      <c r="F75" s="218" t="s">
        <v>1166</v>
      </c>
      <c r="G75" s="534">
        <v>42086</v>
      </c>
      <c r="H75" s="179">
        <f>'[34]SC-NR'!$C$10</f>
        <v>15.949208540122836</v>
      </c>
      <c r="I75" s="133"/>
      <c r="J75" s="133"/>
      <c r="K75" s="112"/>
      <c r="O75" s="535"/>
      <c r="P75" s="534"/>
      <c r="R75" s="534"/>
      <c r="T75" s="534"/>
    </row>
    <row r="76" spans="1:21">
      <c r="A76" t="str">
        <f>MLIST!A76</f>
        <v>Motors/Drives</v>
      </c>
      <c r="B76" t="str">
        <f>MLIST!D76</f>
        <v>ECM-VAV-New</v>
      </c>
      <c r="C76" s="26" t="s">
        <v>1141</v>
      </c>
      <c r="F76" t="str">
        <f>MLIST!H76</f>
        <v>ECM Motors on Variable Air Volume Boxes</v>
      </c>
      <c r="G76" s="534"/>
      <c r="H76" s="179">
        <f>'[24]SC-New'!$C$10</f>
        <v>6.3907640383945719</v>
      </c>
      <c r="I76" s="133">
        <f>H76</f>
        <v>6.3907640383945719</v>
      </c>
      <c r="J76" s="133"/>
      <c r="K76" s="112">
        <v>2.5095329434297415</v>
      </c>
      <c r="O76" s="535" t="s">
        <v>982</v>
      </c>
    </row>
    <row r="77" spans="1:21">
      <c r="A77" t="str">
        <f>MLIST!A77</f>
        <v>Motors/Drives</v>
      </c>
      <c r="B77" t="str">
        <f>MLIST!D77</f>
        <v>ECM-VAV-NR</v>
      </c>
      <c r="C77" s="26" t="s">
        <v>1141</v>
      </c>
      <c r="F77" t="str">
        <f>MLIST!H77</f>
        <v>ECM Motors on Variable Air Volume Boxes</v>
      </c>
      <c r="G77" s="534"/>
      <c r="H77" s="179">
        <f>'[24]SC-NR'!$C$10</f>
        <v>27.229691418576945</v>
      </c>
      <c r="I77" s="133"/>
      <c r="J77" s="133"/>
      <c r="K77" s="112">
        <v>8.5068284449929461</v>
      </c>
      <c r="O77" s="535" t="s">
        <v>982</v>
      </c>
    </row>
    <row r="78" spans="1:21">
      <c r="A78" t="str">
        <f>MLIST!A78</f>
        <v>Motors/Drives</v>
      </c>
      <c r="B78" s="415" t="str">
        <f>MLIST!D78</f>
        <v>Pool pumps-Retro</v>
      </c>
      <c r="C78" s="419" t="s">
        <v>857</v>
      </c>
      <c r="D78" s="415"/>
      <c r="E78" s="415"/>
      <c r="F78" s="415" t="str">
        <f>MLIST!H78</f>
        <v>Pool pumps</v>
      </c>
      <c r="G78" s="534"/>
      <c r="H78" s="179"/>
      <c r="I78" s="133"/>
      <c r="J78" s="133"/>
      <c r="K78" s="112" t="s">
        <v>688</v>
      </c>
      <c r="O78" s="535"/>
    </row>
    <row r="79" spans="1:21">
      <c r="A79" t="str">
        <f>MLIST!A79</f>
        <v>Motors/Drives</v>
      </c>
      <c r="B79" t="str">
        <f>MLIST!D79</f>
        <v>MotorsRewind-New</v>
      </c>
      <c r="C79" s="26" t="s">
        <v>1142</v>
      </c>
      <c r="D79" s="81"/>
      <c r="F79" s="218" t="str">
        <f>MLIST!H79</f>
        <v>Motors - Rewind</v>
      </c>
      <c r="G79" s="534"/>
      <c r="H79" s="179">
        <f>'[25]SC-New'!$C$10</f>
        <v>0.59897056594621811</v>
      </c>
      <c r="I79" s="133">
        <f>H79</f>
        <v>0.59897056594621811</v>
      </c>
      <c r="J79" s="133"/>
      <c r="K79" s="113" t="s">
        <v>688</v>
      </c>
      <c r="L79" s="112"/>
      <c r="O79" s="535" t="s">
        <v>982</v>
      </c>
    </row>
    <row r="80" spans="1:21">
      <c r="A80" t="str">
        <f>MLIST!A80</f>
        <v>Motors/Drives</v>
      </c>
      <c r="B80" t="str">
        <f>MLIST!D80</f>
        <v>MotorsRewind-NR</v>
      </c>
      <c r="C80" s="26" t="s">
        <v>1142</v>
      </c>
      <c r="F80" s="218" t="str">
        <f>MLIST!H80</f>
        <v>Motors - Rewind</v>
      </c>
      <c r="G80" s="534"/>
      <c r="H80" s="179">
        <f>'[25]SC-NR'!$C$10</f>
        <v>2.6079890407215234</v>
      </c>
      <c r="I80" s="133"/>
      <c r="J80" s="133"/>
      <c r="K80" s="112" t="s">
        <v>688</v>
      </c>
      <c r="L80" s="112"/>
      <c r="O80" s="535" t="s">
        <v>982</v>
      </c>
    </row>
    <row r="81" spans="1:20">
      <c r="A81" t="str">
        <f>MLIST!A81</f>
        <v>Process Loads</v>
      </c>
      <c r="B81" t="str">
        <f>MLIST!D81</f>
        <v>Municipal Sewage Treatment-Retro</v>
      </c>
      <c r="C81" s="26" t="s">
        <v>1143</v>
      </c>
      <c r="D81" s="81" t="s">
        <v>74</v>
      </c>
      <c r="E81" t="s">
        <v>249</v>
      </c>
      <c r="F81" t="str">
        <f>MLIST!H81</f>
        <v>Municipal Sewage Treatment</v>
      </c>
      <c r="G81" s="534"/>
      <c r="H81" s="179">
        <f>'[26]SC-Retro'!$C$10</f>
        <v>35.292674678530631</v>
      </c>
      <c r="I81" s="133"/>
      <c r="J81" s="133"/>
      <c r="K81" s="112">
        <v>35.639494471243012</v>
      </c>
      <c r="L81" s="112"/>
      <c r="N81" s="132"/>
      <c r="O81" s="535" t="s">
        <v>982</v>
      </c>
    </row>
    <row r="82" spans="1:20">
      <c r="A82" t="str">
        <f>MLIST!A82</f>
        <v>Process Loads</v>
      </c>
      <c r="B82" t="str">
        <f>MLIST!D82</f>
        <v>Municipal Water Supply-Retro</v>
      </c>
      <c r="C82" s="26" t="s">
        <v>1144</v>
      </c>
      <c r="D82" s="81" t="s">
        <v>74</v>
      </c>
      <c r="E82" t="s">
        <v>249</v>
      </c>
      <c r="F82" t="str">
        <f>MLIST!H82</f>
        <v>Municipal Water Supply</v>
      </c>
      <c r="G82" s="534"/>
      <c r="H82" s="179">
        <f>'[27]SC-Retro'!$C$10</f>
        <v>14.042252983626129</v>
      </c>
      <c r="I82" s="133"/>
      <c r="J82" s="133"/>
      <c r="K82" s="112">
        <v>13.786942026010605</v>
      </c>
      <c r="L82" s="112"/>
      <c r="O82" s="535" t="s">
        <v>982</v>
      </c>
    </row>
    <row r="83" spans="1:20">
      <c r="A83" t="str">
        <f>MLIST!A83</f>
        <v>Process Loads</v>
      </c>
      <c r="B83" s="415" t="str">
        <f>MLIST!D83</f>
        <v>Engine Generator Block Heaters-Retro</v>
      </c>
      <c r="C83" s="419" t="s">
        <v>857</v>
      </c>
      <c r="D83" s="417"/>
      <c r="E83" s="415"/>
      <c r="F83" s="415" t="str">
        <f>MLIST!H83</f>
        <v>Engine Generator Block Heaters</v>
      </c>
      <c r="G83" s="534"/>
      <c r="H83" s="179"/>
      <c r="I83" s="133"/>
      <c r="J83" s="133"/>
      <c r="K83" s="112" t="s">
        <v>688</v>
      </c>
      <c r="L83" s="112"/>
      <c r="N83" s="132"/>
      <c r="O83" s="535"/>
    </row>
    <row r="84" spans="1:20">
      <c r="A84" t="str">
        <f>MLIST!A84</f>
        <v>Refrigeration</v>
      </c>
      <c r="B84" t="str">
        <f>MLIST!D84</f>
        <v>Grocery Refrigeration Bundle-Retro</v>
      </c>
      <c r="C84" s="26" t="s">
        <v>1132</v>
      </c>
      <c r="F84" t="str">
        <f>MLIST!H84</f>
        <v>Grocery Refrigeration Bundle</v>
      </c>
      <c r="G84" s="534">
        <v>42081</v>
      </c>
      <c r="H84" s="179">
        <f>'[28]SC-Retro'!$C$10</f>
        <v>63.16626946870079</v>
      </c>
      <c r="I84" s="133"/>
      <c r="J84" s="133"/>
      <c r="K84" s="112">
        <v>85.641041401934004</v>
      </c>
      <c r="L84" s="112"/>
      <c r="O84" s="535" t="s">
        <v>983</v>
      </c>
      <c r="P84" s="534"/>
      <c r="R84" s="534">
        <v>42069</v>
      </c>
      <c r="T84" s="534">
        <v>42069</v>
      </c>
    </row>
    <row r="85" spans="1:20">
      <c r="A85" t="str">
        <f>MLIST!A85</f>
        <v>Refrigeration</v>
      </c>
      <c r="B85" s="415" t="str">
        <f>MLIST!D85</f>
        <v>Packaged Refrigeration Equipment-New</v>
      </c>
      <c r="C85" s="419" t="s">
        <v>864</v>
      </c>
      <c r="D85" s="415"/>
      <c r="E85" s="415"/>
      <c r="F85" s="415" t="str">
        <f>MLIST!H85</f>
        <v>Packaged Refrigeration Equipment</v>
      </c>
      <c r="G85" s="534"/>
      <c r="H85" s="179"/>
      <c r="I85" s="133"/>
      <c r="J85" s="133"/>
      <c r="K85" s="112">
        <v>49.431909921506794</v>
      </c>
      <c r="O85" s="535"/>
    </row>
    <row r="86" spans="1:20">
      <c r="A86" t="str">
        <f>MLIST!A86</f>
        <v>Refrigeration</v>
      </c>
      <c r="B86" s="415" t="str">
        <f>MLIST!D86</f>
        <v>Appliances - Freezers-NR</v>
      </c>
      <c r="C86" s="416"/>
      <c r="D86" s="415"/>
      <c r="E86" s="415"/>
      <c r="F86" s="415" t="str">
        <f>MLIST!H86</f>
        <v>Appliances - Freezers</v>
      </c>
      <c r="G86" s="534"/>
      <c r="H86" s="179"/>
      <c r="I86" s="133"/>
      <c r="J86" s="133"/>
      <c r="K86" s="112" t="s">
        <v>688</v>
      </c>
      <c r="L86" s="112"/>
      <c r="O86" s="535"/>
    </row>
    <row r="87" spans="1:20">
      <c r="A87" t="str">
        <f>MLIST!A87</f>
        <v>Refrigeration</v>
      </c>
      <c r="B87" s="415" t="str">
        <f>MLIST!D87</f>
        <v>Appliances - Refrigerators-NR</v>
      </c>
      <c r="C87" s="416"/>
      <c r="D87" s="415"/>
      <c r="E87" s="415"/>
      <c r="F87" s="415" t="str">
        <f>MLIST!H87</f>
        <v>Appliances - Refrigerators</v>
      </c>
      <c r="G87" s="534"/>
      <c r="H87" s="179"/>
      <c r="I87" s="133"/>
      <c r="J87" s="133"/>
      <c r="K87" s="112" t="s">
        <v>688</v>
      </c>
      <c r="O87" s="535"/>
    </row>
    <row r="88" spans="1:20">
      <c r="A88" t="str">
        <f>MLIST!A88</f>
        <v>Refrigeration</v>
      </c>
      <c r="B88" t="str">
        <f>MLIST!D88</f>
        <v>Water Cooler Controls-NR</v>
      </c>
      <c r="C88" s="26" t="s">
        <v>1130</v>
      </c>
      <c r="F88" t="str">
        <f>MLIST!H88</f>
        <v>Water Cooler Controls</v>
      </c>
      <c r="G88" s="534">
        <v>42081</v>
      </c>
      <c r="H88" s="179">
        <f>'[29]SC-NR'!$C$10</f>
        <v>13.180394293600866</v>
      </c>
      <c r="I88" s="133"/>
      <c r="J88" s="133"/>
      <c r="K88" s="112" t="s">
        <v>688</v>
      </c>
      <c r="L88" s="112"/>
      <c r="O88" s="535" t="s">
        <v>983</v>
      </c>
      <c r="P88" s="534"/>
      <c r="R88" s="534">
        <v>42069</v>
      </c>
      <c r="T88" s="534">
        <v>42069</v>
      </c>
    </row>
    <row r="89" spans="1:20">
      <c r="A89" t="str">
        <f>MLIST!A89</f>
        <v>Water Heating</v>
      </c>
      <c r="B89" s="218" t="str">
        <f>MLIST!D89</f>
        <v>WHTanks-New</v>
      </c>
      <c r="C89" s="26" t="s">
        <v>1145</v>
      </c>
      <c r="D89" s="81"/>
      <c r="F89" t="str">
        <f>MLIST!H89</f>
        <v>DHW - Efficient Tanks</v>
      </c>
      <c r="G89" s="534"/>
      <c r="H89" s="179">
        <f>'[30]SC-New'!$C$10</f>
        <v>0.49370461821151984</v>
      </c>
      <c r="I89" s="133">
        <f>H89</f>
        <v>0.49370461821151984</v>
      </c>
      <c r="J89" s="133"/>
      <c r="K89" s="112">
        <v>0</v>
      </c>
      <c r="L89" s="112"/>
      <c r="O89" s="535" t="s">
        <v>982</v>
      </c>
    </row>
    <row r="90" spans="1:20">
      <c r="A90" t="str">
        <f>MLIST!A90</f>
        <v>Water Heating</v>
      </c>
      <c r="B90" t="str">
        <f>MLIST!D90</f>
        <v>WHTanks-NR</v>
      </c>
      <c r="C90" s="26" t="s">
        <v>1145</v>
      </c>
      <c r="D90" s="81"/>
      <c r="F90" t="str">
        <f>MLIST!H90</f>
        <v>DHW - Efficient Tanks</v>
      </c>
      <c r="G90" s="534"/>
      <c r="H90" s="179">
        <f>'[30]SC-NR'!$C$10</f>
        <v>2.0446577325813005</v>
      </c>
      <c r="I90" s="133"/>
      <c r="J90" s="133"/>
      <c r="K90" s="112" t="s">
        <v>688</v>
      </c>
      <c r="L90" s="112"/>
      <c r="O90" s="535" t="s">
        <v>982</v>
      </c>
    </row>
    <row r="91" spans="1:20">
      <c r="A91" t="str">
        <f>MLIST!A91</f>
        <v>Water Heating</v>
      </c>
      <c r="B91" s="415" t="str">
        <f>MLIST!D91</f>
        <v>Appliances - Clothes Washers-NR</v>
      </c>
      <c r="C91" s="416"/>
      <c r="D91" s="417"/>
      <c r="E91" s="415"/>
      <c r="F91" s="415" t="str">
        <f>MLIST!H91</f>
        <v>Appliances - Clothes Washers</v>
      </c>
      <c r="G91" s="534"/>
      <c r="H91" s="179"/>
      <c r="I91" s="133"/>
      <c r="J91" s="133"/>
      <c r="K91" s="112" t="s">
        <v>688</v>
      </c>
      <c r="L91" s="112"/>
      <c r="O91" s="535"/>
    </row>
    <row r="92" spans="1:20">
      <c r="A92" t="str">
        <f>MLIST!A92</f>
        <v>Water Heating</v>
      </c>
      <c r="B92" t="str">
        <f>MLIST!D92</f>
        <v>Showerheads-Retro</v>
      </c>
      <c r="C92" s="26" t="s">
        <v>1146</v>
      </c>
      <c r="D92" s="81"/>
      <c r="F92" t="str">
        <f>MLIST!H92</f>
        <v>DHW - Showerheads</v>
      </c>
      <c r="G92" s="534"/>
      <c r="H92" s="179">
        <f>'[31]SC-Retro'!$C$10</f>
        <v>3.7216771353503777</v>
      </c>
      <c r="I92" s="133"/>
      <c r="J92" s="133"/>
      <c r="K92" s="112" t="s">
        <v>688</v>
      </c>
      <c r="L92" s="112"/>
      <c r="O92" s="535" t="s">
        <v>982</v>
      </c>
    </row>
    <row r="93" spans="1:20">
      <c r="A93" t="str">
        <f>MLIST!A93</f>
        <v>Water Heating</v>
      </c>
      <c r="B93" s="415" t="str">
        <f>MLIST!D93</f>
        <v>Water Heating - GFHX-New</v>
      </c>
      <c r="C93" s="419" t="s">
        <v>857</v>
      </c>
      <c r="D93" s="417"/>
      <c r="E93" s="415"/>
      <c r="F93" s="415" t="str">
        <f>MLIST!H93</f>
        <v>Water Heating - GFHX</v>
      </c>
      <c r="G93" s="534"/>
      <c r="H93" s="179"/>
      <c r="I93" s="133"/>
      <c r="J93" s="133"/>
      <c r="K93" s="112" t="s">
        <v>688</v>
      </c>
      <c r="L93" s="112"/>
      <c r="O93" s="535"/>
    </row>
    <row r="94" spans="1:20">
      <c r="A94" t="str">
        <f>MLIST!A94</f>
        <v>Water Heating</v>
      </c>
      <c r="B94" s="415" t="str">
        <f>MLIST!D94</f>
        <v>Demand Control Circulating system DHW-Retro</v>
      </c>
      <c r="C94" s="419" t="s">
        <v>857</v>
      </c>
      <c r="D94" s="417"/>
      <c r="E94" s="415"/>
      <c r="F94" s="415" t="str">
        <f>MLIST!H94</f>
        <v>Demand Control Circulating system DHW</v>
      </c>
      <c r="G94" s="534"/>
      <c r="H94" s="179"/>
      <c r="I94" s="133"/>
      <c r="J94" s="133"/>
      <c r="K94" s="112" t="s">
        <v>688</v>
      </c>
      <c r="L94" s="112"/>
      <c r="O94" s="535"/>
    </row>
    <row r="95" spans="1:20">
      <c r="A95" t="str">
        <f>MLIST!A95</f>
        <v>Water Heating</v>
      </c>
      <c r="B95" s="223" t="str">
        <f>MLIST!D95</f>
        <v>Central HPWH MF-Retro</v>
      </c>
      <c r="C95" s="26"/>
      <c r="D95" s="81"/>
      <c r="F95" t="str">
        <f>MLIST!H95</f>
        <v>Central HPWH MF</v>
      </c>
      <c r="G95" s="534"/>
      <c r="H95" s="179"/>
      <c r="I95" s="133"/>
      <c r="J95" s="133"/>
      <c r="K95" s="112" t="s">
        <v>688</v>
      </c>
      <c r="L95" s="112"/>
      <c r="O95" s="535"/>
    </row>
    <row r="96" spans="1:20">
      <c r="A96" t="str">
        <f>MLIST!A96</f>
        <v>Whole Bldg/Meter Level</v>
      </c>
      <c r="B96" t="str">
        <f>MLIST!D96</f>
        <v>Ultra Low Energy Building-New</v>
      </c>
      <c r="C96" s="26"/>
      <c r="D96" s="81"/>
      <c r="F96" t="str">
        <f>MLIST!H96</f>
        <v>Ultra Low Energy Building</v>
      </c>
      <c r="G96" s="534"/>
      <c r="H96" s="179"/>
      <c r="I96" s="133"/>
      <c r="J96" s="420"/>
      <c r="K96" s="112">
        <v>57.012696990717721</v>
      </c>
      <c r="L96" s="112"/>
      <c r="O96" s="535" t="s">
        <v>983</v>
      </c>
      <c r="P96" s="534"/>
      <c r="R96" s="534">
        <v>42069</v>
      </c>
      <c r="T96" s="534">
        <v>42069</v>
      </c>
    </row>
    <row r="98" spans="2:14">
      <c r="C98" s="26"/>
      <c r="D98" s="81"/>
      <c r="G98" s="81"/>
      <c r="H98" s="179"/>
      <c r="I98" s="133"/>
      <c r="J98" s="133"/>
      <c r="K98" s="112"/>
      <c r="L98" s="112"/>
    </row>
    <row r="99" spans="2:14">
      <c r="B99" s="421" t="s">
        <v>847</v>
      </c>
      <c r="C99" s="26"/>
      <c r="D99" s="81"/>
      <c r="G99" s="81"/>
      <c r="H99" s="179"/>
      <c r="I99" s="133"/>
      <c r="J99" s="135"/>
      <c r="K99" s="112"/>
      <c r="L99" s="112"/>
      <c r="M99" s="132"/>
    </row>
    <row r="100" spans="2:14">
      <c r="B100" s="415" t="s">
        <v>845</v>
      </c>
      <c r="C100" s="419" t="s">
        <v>857</v>
      </c>
      <c r="D100" s="81"/>
      <c r="G100" s="81"/>
      <c r="H100" s="179"/>
      <c r="I100" s="133"/>
      <c r="J100" s="420"/>
      <c r="K100" s="112">
        <v>1.1088142099641565</v>
      </c>
      <c r="L100" s="112"/>
    </row>
    <row r="101" spans="2:14">
      <c r="B101" s="415" t="s">
        <v>846</v>
      </c>
      <c r="C101" s="419" t="s">
        <v>857</v>
      </c>
      <c r="D101" s="81"/>
      <c r="G101" s="81"/>
      <c r="H101" s="179"/>
      <c r="I101" s="133"/>
      <c r="J101" s="420"/>
      <c r="K101" s="112">
        <v>5.6760557940938234</v>
      </c>
      <c r="L101" s="112"/>
    </row>
    <row r="102" spans="2:14">
      <c r="B102" s="415" t="s">
        <v>848</v>
      </c>
      <c r="C102" s="419" t="s">
        <v>857</v>
      </c>
      <c r="D102" s="81"/>
      <c r="G102" s="81"/>
      <c r="H102" s="179">
        <v>741</v>
      </c>
      <c r="I102" s="133"/>
      <c r="J102" s="133"/>
      <c r="K102" s="112">
        <v>4.88794421832577</v>
      </c>
      <c r="L102" s="112"/>
    </row>
    <row r="103" spans="2:14">
      <c r="B103" s="415" t="s">
        <v>849</v>
      </c>
      <c r="C103" s="419" t="s">
        <v>857</v>
      </c>
      <c r="D103" s="81"/>
      <c r="G103" s="81"/>
      <c r="H103" s="179"/>
      <c r="I103" s="136"/>
      <c r="J103" s="135"/>
      <c r="K103" s="112">
        <v>24.79389803241914</v>
      </c>
      <c r="L103" s="112"/>
      <c r="N103" s="132"/>
    </row>
    <row r="104" spans="2:14">
      <c r="B104" t="s">
        <v>850</v>
      </c>
      <c r="C104" s="504" t="s">
        <v>1152</v>
      </c>
      <c r="D104" s="81"/>
      <c r="G104" s="81"/>
      <c r="H104" s="179"/>
      <c r="I104" s="133"/>
      <c r="J104" s="135"/>
      <c r="K104" s="112">
        <v>4.3297471414332787</v>
      </c>
      <c r="L104" s="112"/>
      <c r="N104" s="132"/>
    </row>
    <row r="105" spans="2:14">
      <c r="B105" t="s">
        <v>851</v>
      </c>
      <c r="C105" s="504" t="s">
        <v>1152</v>
      </c>
      <c r="D105" s="81"/>
      <c r="G105" s="81"/>
      <c r="H105" s="179"/>
      <c r="I105" s="134"/>
      <c r="J105" s="135"/>
      <c r="K105" s="112">
        <v>8.0798753943758364</v>
      </c>
      <c r="L105" s="112"/>
      <c r="N105" s="132"/>
    </row>
    <row r="106" spans="2:14">
      <c r="B106" t="s">
        <v>852</v>
      </c>
      <c r="C106" s="504" t="s">
        <v>1152</v>
      </c>
      <c r="D106" s="81"/>
      <c r="G106" s="81"/>
      <c r="H106" s="179"/>
      <c r="J106" s="135"/>
      <c r="K106" s="112">
        <v>13.993833635474468</v>
      </c>
    </row>
    <row r="107" spans="2:14">
      <c r="B107" s="415" t="s">
        <v>972</v>
      </c>
      <c r="C107" s="419" t="s">
        <v>858</v>
      </c>
      <c r="H107" s="179"/>
    </row>
    <row r="108" spans="2:14">
      <c r="B108" s="223" t="s">
        <v>1123</v>
      </c>
      <c r="C108" s="223"/>
      <c r="D108" s="223"/>
      <c r="E108" s="223"/>
      <c r="F108" s="223" t="s">
        <v>131</v>
      </c>
      <c r="H108" s="179"/>
    </row>
    <row r="109" spans="2:14">
      <c r="B109" s="415" t="s">
        <v>1150</v>
      </c>
      <c r="C109" s="419" t="s">
        <v>861</v>
      </c>
      <c r="D109" s="223"/>
      <c r="E109" s="223"/>
      <c r="F109" s="223"/>
      <c r="H109" s="179"/>
    </row>
    <row r="110" spans="2:14">
      <c r="B110" s="415" t="s">
        <v>1151</v>
      </c>
      <c r="C110" s="415" t="s">
        <v>861</v>
      </c>
      <c r="H110" s="179"/>
    </row>
    <row r="111" spans="2:14">
      <c r="B111" s="516" t="s">
        <v>941</v>
      </c>
      <c r="H111" s="179"/>
    </row>
    <row r="112" spans="2:14">
      <c r="B112" s="415" t="s">
        <v>938</v>
      </c>
      <c r="C112" s="415" t="s">
        <v>863</v>
      </c>
      <c r="H112" s="179"/>
    </row>
    <row r="113" spans="2:12">
      <c r="B113" s="415" t="s">
        <v>939</v>
      </c>
      <c r="C113" s="419" t="s">
        <v>857</v>
      </c>
      <c r="H113" s="179"/>
    </row>
    <row r="114" spans="2:12">
      <c r="B114" s="415" t="s">
        <v>940</v>
      </c>
      <c r="C114" s="419" t="s">
        <v>857</v>
      </c>
      <c r="D114" s="419" t="s">
        <v>857</v>
      </c>
      <c r="E114" s="419" t="s">
        <v>857</v>
      </c>
      <c r="F114" s="419" t="s">
        <v>857</v>
      </c>
      <c r="H114" s="179"/>
    </row>
    <row r="115" spans="2:12">
      <c r="B115" s="415" t="s">
        <v>946</v>
      </c>
      <c r="C115" s="419" t="s">
        <v>857</v>
      </c>
      <c r="D115" s="419" t="s">
        <v>857</v>
      </c>
      <c r="E115" s="419" t="s">
        <v>857</v>
      </c>
      <c r="F115" s="419" t="s">
        <v>857</v>
      </c>
    </row>
    <row r="116" spans="2:12">
      <c r="B116" s="415" t="s">
        <v>948</v>
      </c>
      <c r="C116" s="415" t="s">
        <v>949</v>
      </c>
      <c r="D116" s="415"/>
      <c r="E116" s="415"/>
      <c r="F116" s="415" t="s">
        <v>479</v>
      </c>
      <c r="J116" s="134"/>
      <c r="K116" s="83"/>
      <c r="L116" t="s">
        <v>135</v>
      </c>
    </row>
    <row r="117" spans="2:12">
      <c r="D117" s="82"/>
      <c r="F117" s="415">
        <f>MLIST!H128</f>
        <v>0</v>
      </c>
      <c r="L117" t="s">
        <v>430</v>
      </c>
    </row>
    <row r="118" spans="2:12">
      <c r="L118" t="s">
        <v>431</v>
      </c>
    </row>
    <row r="119" spans="2:12">
      <c r="B119" s="223" t="s">
        <v>1156</v>
      </c>
      <c r="C119" s="223" t="s">
        <v>860</v>
      </c>
      <c r="D119" s="223"/>
      <c r="E119" s="223"/>
      <c r="F119" s="223" t="s">
        <v>7</v>
      </c>
    </row>
    <row r="120" spans="2:12">
      <c r="B120" s="223" t="s">
        <v>1157</v>
      </c>
      <c r="C120" s="223" t="s">
        <v>860</v>
      </c>
      <c r="D120" s="223"/>
      <c r="E120" s="223"/>
      <c r="F120" s="223" t="s">
        <v>7</v>
      </c>
    </row>
    <row r="121" spans="2:12">
      <c r="B121" s="223" t="s">
        <v>1158</v>
      </c>
      <c r="C121" s="223" t="s">
        <v>843</v>
      </c>
      <c r="D121" s="223"/>
      <c r="E121" s="223"/>
      <c r="F121" s="223" t="s">
        <v>7</v>
      </c>
    </row>
  </sheetData>
  <autoFilter ref="A11:S97">
    <filterColumn colId="14"/>
  </autoFilter>
  <phoneticPr fontId="0" type="noConversion"/>
  <hyperlinks>
    <hyperlink ref="C82" r:id="rId1"/>
    <hyperlink ref="C81" r:id="rId2"/>
    <hyperlink ref="C21" r:id="rId3"/>
    <hyperlink ref="C20" r:id="rId4"/>
    <hyperlink ref="C54" r:id="rId5"/>
    <hyperlink ref="C43" r:id="rId6"/>
    <hyperlink ref="C13" r:id="rId7"/>
    <hyperlink ref="C41" r:id="rId8"/>
    <hyperlink ref="C18" r:id="rId9"/>
    <hyperlink ref="C76" r:id="rId10"/>
    <hyperlink ref="C92" r:id="rId11"/>
    <hyperlink ref="C89" r:id="rId12"/>
    <hyperlink ref="C17" r:id="rId13"/>
    <hyperlink ref="C71" r:id="rId14"/>
    <hyperlink ref="C12" r:id="rId15"/>
    <hyperlink ref="C16" r:id="rId16"/>
    <hyperlink ref="C55" r:id="rId17"/>
    <hyperlink ref="C72" r:id="rId18"/>
    <hyperlink ref="C15" r:id="rId19"/>
    <hyperlink ref="C29" r:id="rId20"/>
    <hyperlink ref="C34" r:id="rId21"/>
    <hyperlink ref="C40" r:id="rId22"/>
    <hyperlink ref="C79" r:id="rId23"/>
    <hyperlink ref="C73" r:id="rId24"/>
    <hyperlink ref="C58" r:id="rId25"/>
    <hyperlink ref="C59:C60" r:id="rId26" display="Com-LightingInterior-7P_v36.xlsx"/>
    <hyperlink ref="C64" r:id="rId27"/>
    <hyperlink ref="C65" r:id="rId28"/>
    <hyperlink ref="C66" r:id="rId29"/>
    <hyperlink ref="C67" r:id="rId30"/>
    <hyperlink ref="C37" r:id="rId31"/>
    <hyperlink ref="C68" r:id="rId32"/>
    <hyperlink ref="C69" r:id="rId33"/>
    <hyperlink ref="C70" r:id="rId34"/>
    <hyperlink ref="C88" r:id="rId35"/>
    <hyperlink ref="C57" r:id="rId36"/>
    <hyperlink ref="C84" r:id="rId37"/>
    <hyperlink ref="C19" r:id="rId38"/>
    <hyperlink ref="C77" r:id="rId39"/>
    <hyperlink ref="C80" r:id="rId40"/>
    <hyperlink ref="C90" r:id="rId41"/>
    <hyperlink ref="C74" r:id="rId42"/>
    <hyperlink ref="C75" r:id="rId43"/>
  </hyperlinks>
  <pageMargins left="0.75" right="0.75" top="1" bottom="1" header="0.5" footer="0.5"/>
  <pageSetup orientation="portrait" r:id="rId44"/>
  <headerFooter alignWithMargins="0"/>
  <drawing r:id="rId45"/>
</worksheet>
</file>

<file path=xl/worksheets/sheet4.xml><?xml version="1.0" encoding="utf-8"?>
<worksheet xmlns="http://schemas.openxmlformats.org/spreadsheetml/2006/main" xmlns:r="http://schemas.openxmlformats.org/officeDocument/2006/relationships">
  <sheetPr codeName="Sheet1" enableFormatConditionsCalculation="0">
    <tabColor indexed="43"/>
    <pageSetUpPr fitToPage="1"/>
  </sheetPr>
  <dimension ref="A1:AR167"/>
  <sheetViews>
    <sheetView workbookViewId="0">
      <pane xSplit="2" ySplit="11" topLeftCell="T64" activePane="bottomRight" state="frozen"/>
      <selection activeCell="A8" sqref="A8:XFD9"/>
      <selection pane="topRight" activeCell="A8" sqref="A8:XFD9"/>
      <selection pane="bottomLeft" activeCell="A8" sqref="A8:XFD9"/>
      <selection pane="bottomRight" activeCell="A73" sqref="A73:B75"/>
    </sheetView>
  </sheetViews>
  <sheetFormatPr defaultRowHeight="12.75"/>
  <cols>
    <col min="1" max="1" width="17" customWidth="1"/>
    <col min="2" max="2" width="41.42578125" customWidth="1"/>
    <col min="4" max="4" width="10.5703125" customWidth="1"/>
    <col min="6" max="6" width="10" customWidth="1"/>
    <col min="9" max="9" width="7.28515625" customWidth="1"/>
    <col min="10" max="10" width="9.7109375" customWidth="1"/>
    <col min="12" max="12" width="10.7109375" customWidth="1"/>
    <col min="13" max="13" width="9.7109375" customWidth="1"/>
    <col min="14" max="14" width="8.7109375" customWidth="1"/>
    <col min="15" max="15" width="9.7109375" customWidth="1"/>
    <col min="18" max="19" width="10.28515625" customWidth="1"/>
    <col min="21" max="21" width="19.42578125" customWidth="1"/>
    <col min="22" max="22" width="10.7109375" customWidth="1"/>
    <col min="33" max="33" width="12.140625" customWidth="1"/>
    <col min="36" max="36" width="11.28515625" customWidth="1"/>
    <col min="39" max="39" width="12.5703125" customWidth="1"/>
    <col min="42" max="42" width="16.5703125" customWidth="1"/>
    <col min="43" max="43" width="26.7109375" customWidth="1"/>
  </cols>
  <sheetData>
    <row r="1" spans="1:43">
      <c r="A1" s="222" t="s">
        <v>364</v>
      </c>
      <c r="B1" s="222" t="s">
        <v>365</v>
      </c>
      <c r="C1" s="222"/>
      <c r="D1" s="236" t="str">
        <f ca="1">CELL("filename")</f>
        <v>Q:\SeventhPlan\Conservation Analysis\Com\[Com_Master_7P.xlsm]FILES</v>
      </c>
      <c r="E1" s="222"/>
      <c r="F1" s="222"/>
      <c r="G1" s="222"/>
      <c r="H1" s="222"/>
      <c r="I1" s="222"/>
      <c r="J1" s="222"/>
      <c r="K1" s="222"/>
    </row>
    <row r="2" spans="1:43">
      <c r="B2" s="28"/>
      <c r="C2" s="220"/>
    </row>
    <row r="3" spans="1:43">
      <c r="A3" s="218" t="s">
        <v>930</v>
      </c>
      <c r="B3" s="83"/>
      <c r="C3" s="25"/>
      <c r="D3" s="32"/>
      <c r="E3" s="32"/>
      <c r="F3" s="32"/>
      <c r="G3" s="32"/>
      <c r="H3" s="32"/>
      <c r="I3" s="32"/>
      <c r="J3" s="32"/>
      <c r="K3" s="32"/>
      <c r="L3" s="32"/>
      <c r="M3" s="32"/>
      <c r="N3" s="32"/>
      <c r="O3" s="32"/>
      <c r="P3" s="32"/>
      <c r="Q3" s="32"/>
      <c r="R3" s="32"/>
      <c r="S3" s="32"/>
      <c r="T3" s="32"/>
    </row>
    <row r="4" spans="1:43">
      <c r="B4" s="83"/>
      <c r="C4" s="32"/>
      <c r="D4" s="32"/>
      <c r="E4" s="32"/>
      <c r="F4" s="32"/>
      <c r="G4" s="32"/>
      <c r="H4" s="32"/>
      <c r="I4" s="32"/>
      <c r="J4" s="32"/>
      <c r="K4" s="32"/>
      <c r="L4" s="32"/>
      <c r="M4" s="32"/>
      <c r="N4" s="32"/>
      <c r="O4" s="32"/>
      <c r="P4" s="32"/>
      <c r="Q4" s="32"/>
      <c r="R4" s="32"/>
      <c r="S4" s="32"/>
      <c r="T4" s="32"/>
    </row>
    <row r="5" spans="1:43">
      <c r="B5" s="83"/>
      <c r="X5">
        <v>1</v>
      </c>
      <c r="Y5" s="232">
        <f>X5+1</f>
        <v>2</v>
      </c>
      <c r="Z5" s="232">
        <f t="shared" ref="Z5:AP5" si="0">Y5+1</f>
        <v>3</v>
      </c>
      <c r="AA5" s="232">
        <f t="shared" si="0"/>
        <v>4</v>
      </c>
      <c r="AB5" s="232">
        <f t="shared" si="0"/>
        <v>5</v>
      </c>
      <c r="AC5" s="232">
        <f t="shared" si="0"/>
        <v>6</v>
      </c>
      <c r="AD5" s="232">
        <f t="shared" si="0"/>
        <v>7</v>
      </c>
      <c r="AE5" s="232">
        <f t="shared" si="0"/>
        <v>8</v>
      </c>
      <c r="AF5" s="232">
        <f t="shared" si="0"/>
        <v>9</v>
      </c>
      <c r="AG5" s="232">
        <f t="shared" si="0"/>
        <v>10</v>
      </c>
      <c r="AH5" s="232">
        <f t="shared" si="0"/>
        <v>11</v>
      </c>
      <c r="AI5" s="232">
        <f t="shared" si="0"/>
        <v>12</v>
      </c>
      <c r="AJ5" s="232">
        <f t="shared" si="0"/>
        <v>13</v>
      </c>
      <c r="AK5" s="232">
        <f t="shared" si="0"/>
        <v>14</v>
      </c>
      <c r="AL5" s="232">
        <f t="shared" si="0"/>
        <v>15</v>
      </c>
      <c r="AM5" s="232">
        <f t="shared" si="0"/>
        <v>16</v>
      </c>
      <c r="AN5" s="232">
        <f t="shared" si="0"/>
        <v>17</v>
      </c>
      <c r="AO5" s="232">
        <f t="shared" si="0"/>
        <v>18</v>
      </c>
      <c r="AP5" s="232">
        <f t="shared" si="0"/>
        <v>19</v>
      </c>
    </row>
    <row r="6" spans="1:43">
      <c r="B6" s="111"/>
      <c r="U6" s="2">
        <f t="shared" ref="C6:V7" si="1">COLUMN()-1</f>
        <v>20</v>
      </c>
      <c r="V6" s="2">
        <f t="shared" si="1"/>
        <v>21</v>
      </c>
      <c r="W6" s="2">
        <f t="shared" ref="W6:AP6" si="2">COLUMN()-1</f>
        <v>22</v>
      </c>
      <c r="X6" s="2">
        <f t="shared" si="2"/>
        <v>23</v>
      </c>
      <c r="Y6" s="2">
        <f t="shared" si="2"/>
        <v>24</v>
      </c>
      <c r="Z6" s="2">
        <f t="shared" si="2"/>
        <v>25</v>
      </c>
      <c r="AA6" s="2">
        <f t="shared" si="2"/>
        <v>26</v>
      </c>
      <c r="AB6" s="2">
        <f t="shared" si="2"/>
        <v>27</v>
      </c>
      <c r="AC6" s="2">
        <f t="shared" si="2"/>
        <v>28</v>
      </c>
      <c r="AD6" s="2">
        <f t="shared" si="2"/>
        <v>29</v>
      </c>
      <c r="AE6" s="2">
        <f t="shared" si="2"/>
        <v>30</v>
      </c>
      <c r="AF6" s="2">
        <f t="shared" si="2"/>
        <v>31</v>
      </c>
      <c r="AG6" s="2">
        <f t="shared" si="2"/>
        <v>32</v>
      </c>
      <c r="AH6" s="2">
        <f t="shared" si="2"/>
        <v>33</v>
      </c>
      <c r="AI6" s="2">
        <f t="shared" si="2"/>
        <v>34</v>
      </c>
      <c r="AJ6" s="2">
        <f t="shared" si="2"/>
        <v>35</v>
      </c>
      <c r="AK6" s="2">
        <f t="shared" si="2"/>
        <v>36</v>
      </c>
      <c r="AL6" s="2">
        <f t="shared" si="2"/>
        <v>37</v>
      </c>
      <c r="AM6" s="2">
        <f t="shared" si="2"/>
        <v>38</v>
      </c>
      <c r="AN6" s="2">
        <f t="shared" si="2"/>
        <v>39</v>
      </c>
      <c r="AO6" s="2">
        <f t="shared" si="2"/>
        <v>40</v>
      </c>
      <c r="AP6" s="2">
        <f t="shared" si="2"/>
        <v>41</v>
      </c>
    </row>
    <row r="7" spans="1:43">
      <c r="A7" s="2"/>
      <c r="B7" s="2">
        <f>COLUMN()-1</f>
        <v>1</v>
      </c>
      <c r="C7" s="2">
        <f t="shared" si="1"/>
        <v>2</v>
      </c>
      <c r="D7" s="2">
        <f t="shared" si="1"/>
        <v>3</v>
      </c>
      <c r="E7" s="2">
        <f t="shared" si="1"/>
        <v>4</v>
      </c>
      <c r="F7" s="2">
        <f t="shared" si="1"/>
        <v>5</v>
      </c>
      <c r="G7" s="2">
        <f t="shared" si="1"/>
        <v>6</v>
      </c>
      <c r="H7" s="2">
        <f t="shared" si="1"/>
        <v>7</v>
      </c>
      <c r="I7" s="2">
        <f t="shared" si="1"/>
        <v>8</v>
      </c>
      <c r="J7" s="2">
        <f t="shared" si="1"/>
        <v>9</v>
      </c>
      <c r="K7" s="2">
        <f t="shared" si="1"/>
        <v>10</v>
      </c>
      <c r="L7" s="2">
        <f t="shared" si="1"/>
        <v>11</v>
      </c>
      <c r="M7" s="2">
        <f t="shared" si="1"/>
        <v>12</v>
      </c>
      <c r="N7" s="2">
        <f t="shared" si="1"/>
        <v>13</v>
      </c>
      <c r="O7" s="2">
        <f t="shared" si="1"/>
        <v>14</v>
      </c>
      <c r="P7" s="2">
        <f t="shared" si="1"/>
        <v>15</v>
      </c>
      <c r="Q7" s="2">
        <f t="shared" si="1"/>
        <v>16</v>
      </c>
      <c r="R7" s="2">
        <f t="shared" si="1"/>
        <v>17</v>
      </c>
      <c r="S7" s="2">
        <f t="shared" si="1"/>
        <v>18</v>
      </c>
      <c r="T7" s="2">
        <f t="shared" si="1"/>
        <v>19</v>
      </c>
      <c r="U7" s="2">
        <f t="shared" si="1"/>
        <v>20</v>
      </c>
      <c r="X7" s="551" t="s">
        <v>214</v>
      </c>
      <c r="Y7" s="551"/>
      <c r="Z7" s="551"/>
      <c r="AA7" s="551"/>
      <c r="AB7" s="551"/>
      <c r="AC7" s="551"/>
      <c r="AD7" s="551"/>
      <c r="AE7" s="551"/>
      <c r="AF7" s="551"/>
      <c r="AG7" s="551"/>
      <c r="AH7" s="551"/>
      <c r="AI7" s="551"/>
      <c r="AJ7" s="551"/>
      <c r="AK7" s="551"/>
      <c r="AL7" s="551"/>
      <c r="AM7" s="551"/>
      <c r="AN7" s="551"/>
      <c r="AO7" s="551"/>
      <c r="AP7" s="551"/>
    </row>
    <row r="8" spans="1:43">
      <c r="A8" s="2"/>
      <c r="B8" s="2"/>
      <c r="C8" s="2"/>
      <c r="D8" s="2"/>
      <c r="E8" s="2"/>
      <c r="F8" s="2"/>
      <c r="G8" s="2"/>
      <c r="H8" s="2"/>
      <c r="I8" s="2"/>
      <c r="J8" s="2"/>
      <c r="K8" s="2"/>
      <c r="L8" s="2"/>
      <c r="M8" s="2"/>
      <c r="N8" s="2"/>
      <c r="O8" s="2"/>
      <c r="P8" s="2"/>
      <c r="Q8" s="2"/>
      <c r="R8" s="2"/>
      <c r="S8" s="2"/>
      <c r="T8" s="2"/>
      <c r="U8" s="2"/>
      <c r="X8" s="356"/>
      <c r="Y8" s="356"/>
      <c r="Z8" s="356"/>
      <c r="AA8" s="356"/>
      <c r="AB8" s="356"/>
      <c r="AC8" s="356"/>
      <c r="AD8" s="356"/>
      <c r="AE8" s="357"/>
      <c r="AF8" s="358"/>
      <c r="AG8" s="356"/>
      <c r="AH8" s="357"/>
      <c r="AI8" s="358"/>
      <c r="AJ8" s="356"/>
      <c r="AK8" s="356"/>
      <c r="AL8" s="356"/>
      <c r="AM8" s="356"/>
      <c r="AN8" s="251"/>
      <c r="AO8" s="251"/>
      <c r="AP8" s="367"/>
    </row>
    <row r="9" spans="1:43">
      <c r="A9" s="2"/>
      <c r="B9" s="2"/>
      <c r="C9" s="2"/>
      <c r="D9" s="2"/>
      <c r="E9" s="2"/>
      <c r="F9" s="2"/>
      <c r="G9" s="2"/>
      <c r="H9" s="2"/>
      <c r="I9" s="2"/>
      <c r="J9" s="2"/>
      <c r="K9" s="2"/>
      <c r="L9" s="2"/>
      <c r="M9" s="2"/>
      <c r="N9" s="2"/>
      <c r="O9" s="2"/>
      <c r="P9" s="2"/>
      <c r="Q9" s="2"/>
      <c r="R9" s="2"/>
      <c r="S9" s="2"/>
      <c r="T9" s="2"/>
      <c r="U9" s="2"/>
      <c r="X9" s="356"/>
      <c r="Y9" s="356"/>
      <c r="Z9" s="356"/>
      <c r="AA9" s="356"/>
      <c r="AB9" s="356"/>
      <c r="AC9" s="356"/>
      <c r="AD9" s="356"/>
      <c r="AE9" s="357"/>
      <c r="AF9" s="358"/>
      <c r="AG9" s="356"/>
      <c r="AH9" s="357"/>
      <c r="AI9" s="358"/>
      <c r="AJ9" s="356"/>
      <c r="AK9" s="356"/>
      <c r="AL9" s="356"/>
      <c r="AM9" s="356"/>
      <c r="AN9" s="251"/>
      <c r="AO9" s="251"/>
      <c r="AP9" s="367"/>
    </row>
    <row r="10" spans="1:43">
      <c r="A10" s="245"/>
      <c r="B10" s="245"/>
      <c r="C10" s="551" t="s">
        <v>256</v>
      </c>
      <c r="D10" s="551"/>
      <c r="E10" s="551"/>
      <c r="F10" s="551" t="s">
        <v>261</v>
      </c>
      <c r="G10" s="551"/>
      <c r="H10" s="551"/>
      <c r="I10" s="551"/>
      <c r="J10" s="552" t="s">
        <v>262</v>
      </c>
      <c r="K10" s="553"/>
      <c r="L10" s="246" t="s">
        <v>264</v>
      </c>
      <c r="M10" s="552" t="s">
        <v>265</v>
      </c>
      <c r="N10" s="553"/>
      <c r="O10" s="246" t="s">
        <v>266</v>
      </c>
      <c r="P10" s="246" t="s">
        <v>267</v>
      </c>
      <c r="Q10" s="551" t="s">
        <v>270</v>
      </c>
      <c r="R10" s="551"/>
      <c r="S10" s="348" t="s">
        <v>311</v>
      </c>
      <c r="T10" s="246" t="s">
        <v>272</v>
      </c>
      <c r="U10" s="248"/>
      <c r="V10" s="249"/>
      <c r="X10" s="554" t="str">
        <f t="shared" ref="X10:AG11" si="3">C10</f>
        <v>Office</v>
      </c>
      <c r="Y10" s="554">
        <f t="shared" si="3"/>
        <v>0</v>
      </c>
      <c r="Z10" s="554">
        <f t="shared" si="3"/>
        <v>0</v>
      </c>
      <c r="AA10" s="554" t="str">
        <f t="shared" si="3"/>
        <v>Retail</v>
      </c>
      <c r="AB10" s="554">
        <f t="shared" si="3"/>
        <v>0</v>
      </c>
      <c r="AC10" s="554">
        <f t="shared" si="3"/>
        <v>0</v>
      </c>
      <c r="AD10" s="554">
        <f t="shared" si="3"/>
        <v>0</v>
      </c>
      <c r="AE10" s="555" t="str">
        <f t="shared" si="3"/>
        <v>School</v>
      </c>
      <c r="AF10" s="556">
        <f t="shared" si="3"/>
        <v>0</v>
      </c>
      <c r="AG10" s="233" t="str">
        <f t="shared" si="3"/>
        <v>Warehouse</v>
      </c>
      <c r="AH10" s="555" t="str">
        <f t="shared" ref="AH10:AP11" si="4">M10</f>
        <v>Grocery</v>
      </c>
      <c r="AI10" s="556">
        <f t="shared" si="4"/>
        <v>0</v>
      </c>
      <c r="AJ10" s="233" t="str">
        <f t="shared" si="4"/>
        <v>Restaurant</v>
      </c>
      <c r="AK10" s="233" t="str">
        <f t="shared" si="4"/>
        <v>Lodging</v>
      </c>
      <c r="AL10" s="554" t="str">
        <f t="shared" si="4"/>
        <v>Health</v>
      </c>
      <c r="AM10" s="554">
        <f t="shared" si="4"/>
        <v>0</v>
      </c>
      <c r="AN10" s="251" t="str">
        <f t="shared" si="4"/>
        <v>Assembly</v>
      </c>
      <c r="AO10" s="252" t="str">
        <f t="shared" si="4"/>
        <v>Other</v>
      </c>
      <c r="AP10" s="196">
        <f t="shared" si="4"/>
        <v>0</v>
      </c>
    </row>
    <row r="11" spans="1:43">
      <c r="A11" s="250" t="s">
        <v>254</v>
      </c>
      <c r="B11" s="233" t="s">
        <v>284</v>
      </c>
      <c r="C11" s="246" t="str">
        <f ca="1">OFFSET(Labels!$D$4,A7,0)</f>
        <v>Large Off</v>
      </c>
      <c r="D11" s="246" t="str">
        <f ca="1">OFFSET(Labels!$D$4,B7,0)</f>
        <v>Medium Off</v>
      </c>
      <c r="E11" s="246" t="str">
        <f ca="1">OFFSET(Labels!$D$4,C7,0)</f>
        <v>Small Off</v>
      </c>
      <c r="F11" s="246" t="str">
        <f ca="1">OFFSET(Labels!$D$4,D7,0)</f>
        <v>Xlarge Ret</v>
      </c>
      <c r="G11" s="246" t="str">
        <f ca="1">OFFSET(Labels!$D$4,E7,0)</f>
        <v>Large Ret</v>
      </c>
      <c r="H11" s="246" t="str">
        <f ca="1">OFFSET(Labels!$D$4,F7,0)</f>
        <v>Medium Ret</v>
      </c>
      <c r="I11" s="246" t="str">
        <f ca="1">OFFSET(Labels!$D$4,G7,0)</f>
        <v>Small Ret</v>
      </c>
      <c r="J11" s="246" t="str">
        <f ca="1">OFFSET(Labels!$D$4,H7,0)</f>
        <v>School K-12</v>
      </c>
      <c r="K11" s="246" t="str">
        <f ca="1">OFFSET(Labels!$D$4,I7,0)</f>
        <v>University</v>
      </c>
      <c r="L11" s="246" t="str">
        <f ca="1">OFFSET(Labels!$D$4,J7,0)</f>
        <v>Warehouse</v>
      </c>
      <c r="M11" s="246" t="str">
        <f ca="1">OFFSET(Labels!$D$4,K7,0)</f>
        <v>Supermarket</v>
      </c>
      <c r="N11" s="246" t="str">
        <f ca="1">OFFSET(Labels!$D$4,L7,0)</f>
        <v>MiniMart</v>
      </c>
      <c r="O11" s="246" t="str">
        <f ca="1">OFFSET(Labels!$D$4,M7,0)</f>
        <v>Restaurant</v>
      </c>
      <c r="P11" s="246" t="str">
        <f ca="1">OFFSET(Labels!$D$4,N7,0)</f>
        <v>Lodging</v>
      </c>
      <c r="Q11" s="246" t="str">
        <f ca="1">OFFSET(Labels!$D$4,O7,0)</f>
        <v>Hospital</v>
      </c>
      <c r="R11" s="246" t="str">
        <f ca="1">OFFSET(Labels!$D$4,P7,0)</f>
        <v>Residential Care</v>
      </c>
      <c r="S11" s="246" t="str">
        <f ca="1">OFFSET(Labels!$D$4,Q7,0)</f>
        <v>Assembly</v>
      </c>
      <c r="T11" s="246" t="str">
        <f ca="1">OFFSET(Labels!$D$4,R7,0)</f>
        <v>Other</v>
      </c>
      <c r="U11" s="246" t="s">
        <v>104</v>
      </c>
      <c r="V11" s="246" t="s">
        <v>105</v>
      </c>
      <c r="X11" s="246" t="str">
        <f t="shared" ca="1" si="3"/>
        <v>Large Off</v>
      </c>
      <c r="Y11" s="246" t="str">
        <f t="shared" ca="1" si="3"/>
        <v>Medium Off</v>
      </c>
      <c r="Z11" s="246" t="str">
        <f t="shared" ca="1" si="3"/>
        <v>Small Off</v>
      </c>
      <c r="AA11" s="246" t="str">
        <f t="shared" ca="1" si="3"/>
        <v>Xlarge Ret</v>
      </c>
      <c r="AB11" s="246" t="str">
        <f t="shared" ca="1" si="3"/>
        <v>Large Ret</v>
      </c>
      <c r="AC11" s="246" t="str">
        <f t="shared" ca="1" si="3"/>
        <v>Medium Ret</v>
      </c>
      <c r="AD11" s="246" t="str">
        <f t="shared" ca="1" si="3"/>
        <v>Small Ret</v>
      </c>
      <c r="AE11" s="246" t="str">
        <f t="shared" ca="1" si="3"/>
        <v>School K-12</v>
      </c>
      <c r="AF11" s="246" t="str">
        <f t="shared" ca="1" si="3"/>
        <v>University</v>
      </c>
      <c r="AG11" s="246" t="str">
        <f t="shared" ca="1" si="3"/>
        <v>Warehouse</v>
      </c>
      <c r="AH11" s="246" t="str">
        <f t="shared" ca="1" si="4"/>
        <v>Supermarket</v>
      </c>
      <c r="AI11" s="246" t="str">
        <f t="shared" ca="1" si="4"/>
        <v>MiniMart</v>
      </c>
      <c r="AJ11" s="246" t="str">
        <f t="shared" ca="1" si="4"/>
        <v>Restaurant</v>
      </c>
      <c r="AK11" s="246" t="str">
        <f t="shared" ca="1" si="4"/>
        <v>Lodging</v>
      </c>
      <c r="AL11" s="246" t="str">
        <f t="shared" ca="1" si="4"/>
        <v>Hospital</v>
      </c>
      <c r="AM11" s="246" t="str">
        <f t="shared" ca="1" si="4"/>
        <v>Residential Care</v>
      </c>
      <c r="AN11" s="246" t="str">
        <f t="shared" ca="1" si="4"/>
        <v>Assembly</v>
      </c>
      <c r="AO11" s="246" t="str">
        <f t="shared" ca="1" si="4"/>
        <v>Other</v>
      </c>
      <c r="AP11" s="246" t="str">
        <f t="shared" si="4"/>
        <v>Non-Building Stock</v>
      </c>
      <c r="AQ11" s="246" t="s">
        <v>105</v>
      </c>
    </row>
    <row r="12" spans="1:43" ht="12.6" customHeight="1">
      <c r="A12" t="str">
        <f>MLIST!A12</f>
        <v>Compressed Air</v>
      </c>
      <c r="B12" t="str">
        <f>MLIST!D12</f>
        <v>Compressed Air-Retro</v>
      </c>
      <c r="C12" s="227">
        <f>X12*(1-BASE!C12)</f>
        <v>0.01</v>
      </c>
      <c r="D12" s="227">
        <f>Y12*(1-BASE!D12)</f>
        <v>0.01</v>
      </c>
      <c r="E12" s="227">
        <f>Z12*(1-BASE!E12)</f>
        <v>0.01</v>
      </c>
      <c r="F12" s="227">
        <f>AA12*(1-BASE!F12)</f>
        <v>0.01</v>
      </c>
      <c r="G12" s="227">
        <f>AB12*(1-BASE!G12)</f>
        <v>0.01</v>
      </c>
      <c r="H12" s="227">
        <f>AC12*(1-BASE!H12)</f>
        <v>0.01</v>
      </c>
      <c r="I12" s="227">
        <f>AD12*(1-BASE!I12)</f>
        <v>0.01</v>
      </c>
      <c r="J12" s="227">
        <f>AE12*(1-BASE!J12)</f>
        <v>0.01</v>
      </c>
      <c r="K12" s="227">
        <f>AF12*(1-BASE!K12)</f>
        <v>0.01</v>
      </c>
      <c r="L12" s="227">
        <f>AG12*(1-BASE!L12)</f>
        <v>0.01</v>
      </c>
      <c r="M12" s="227">
        <f>AH12*(1-BASE!M12)</f>
        <v>0.01</v>
      </c>
      <c r="N12" s="227">
        <f>AI12*(1-BASE!N12)</f>
        <v>0.01</v>
      </c>
      <c r="O12" s="227">
        <f>AJ12*(1-BASE!O12)</f>
        <v>0.01</v>
      </c>
      <c r="P12" s="227">
        <f>AK12*(1-BASE!P12)</f>
        <v>0.01</v>
      </c>
      <c r="Q12" s="227">
        <f>AL12*(1-BASE!Q12)</f>
        <v>0.01</v>
      </c>
      <c r="R12" s="227">
        <f>AM12*(1-BASE!R12)</f>
        <v>0.01</v>
      </c>
      <c r="S12" s="227">
        <f>AN12*(1-BASE!S12)</f>
        <v>0.01</v>
      </c>
      <c r="T12" s="227">
        <f>AO12*(1-BASE!T12)</f>
        <v>0.01</v>
      </c>
      <c r="V12" s="224"/>
      <c r="X12" s="226">
        <v>0.01</v>
      </c>
      <c r="Y12" s="226">
        <v>0.01</v>
      </c>
      <c r="Z12" s="226">
        <v>0.01</v>
      </c>
      <c r="AA12" s="226">
        <v>0.01</v>
      </c>
      <c r="AB12" s="226">
        <v>0.01</v>
      </c>
      <c r="AC12" s="226">
        <v>0.01</v>
      </c>
      <c r="AD12" s="226">
        <v>0.01</v>
      </c>
      <c r="AE12" s="226">
        <v>0.01</v>
      </c>
      <c r="AF12" s="226">
        <v>0.01</v>
      </c>
      <c r="AG12" s="226">
        <v>0.01</v>
      </c>
      <c r="AH12" s="226">
        <v>0.01</v>
      </c>
      <c r="AI12" s="226">
        <v>0.01</v>
      </c>
      <c r="AJ12" s="226">
        <v>0.01</v>
      </c>
      <c r="AK12" s="226">
        <v>0.01</v>
      </c>
      <c r="AL12" s="226">
        <v>0.01</v>
      </c>
      <c r="AM12" s="226">
        <v>0.01</v>
      </c>
      <c r="AN12" s="226">
        <v>0.01</v>
      </c>
      <c r="AO12" s="226">
        <v>0.01</v>
      </c>
      <c r="AP12" s="226">
        <v>0.01</v>
      </c>
    </row>
    <row r="13" spans="1:43">
      <c r="A13" t="str">
        <f>MLIST!A13</f>
        <v>Compressed Air</v>
      </c>
      <c r="B13" s="218" t="str">
        <f>MLIST!D13</f>
        <v>Compressed Air-NR</v>
      </c>
      <c r="C13" s="227">
        <f>X13*(1-C$12)*(1-BASE!C13)</f>
        <v>9.9000000000000008E-3</v>
      </c>
      <c r="D13" s="227">
        <f>Y13*(1-D$12)*(1-BASE!D13)</f>
        <v>9.9000000000000008E-3</v>
      </c>
      <c r="E13" s="227">
        <f>Z13*(1-E$12)*(1-BASE!E13)</f>
        <v>9.9000000000000008E-3</v>
      </c>
      <c r="F13" s="227">
        <f>AA13*(1-F$12)*(1-BASE!F13)</f>
        <v>9.9000000000000008E-3</v>
      </c>
      <c r="G13" s="227">
        <f>AB13*(1-G$12)*(1-BASE!G13)</f>
        <v>9.9000000000000008E-3</v>
      </c>
      <c r="H13" s="227">
        <f>AC13*(1-H$12)*(1-BASE!H13)</f>
        <v>9.9000000000000008E-3</v>
      </c>
      <c r="I13" s="227">
        <f>AD13*(1-I$12)*(1-BASE!I13)</f>
        <v>9.9000000000000008E-3</v>
      </c>
      <c r="J13" s="227">
        <f>AE13*(1-J$12)*(1-BASE!J13)</f>
        <v>9.9000000000000008E-3</v>
      </c>
      <c r="K13" s="227">
        <f>AF13*(1-K$12)*(1-BASE!K13)</f>
        <v>9.9000000000000008E-3</v>
      </c>
      <c r="L13" s="227">
        <f>AG13*(1-L$12)*(1-BASE!L13)</f>
        <v>9.9000000000000008E-3</v>
      </c>
      <c r="M13" s="227">
        <f>AH13*(1-M$12)*(1-BASE!M13)</f>
        <v>9.9000000000000008E-3</v>
      </c>
      <c r="N13" s="227">
        <f>AI13*(1-N$12)*(1-BASE!N13)</f>
        <v>9.9000000000000008E-3</v>
      </c>
      <c r="O13" s="227">
        <f>AJ13*(1-O$12)*(1-BASE!O13)</f>
        <v>9.9000000000000008E-3</v>
      </c>
      <c r="P13" s="227">
        <f>AK13*(1-P$12)*(1-BASE!P13)</f>
        <v>9.9000000000000008E-3</v>
      </c>
      <c r="Q13" s="227">
        <f>AL13*(1-Q$12)*(1-BASE!Q13)</f>
        <v>9.9000000000000008E-3</v>
      </c>
      <c r="R13" s="227">
        <f>AM13*(1-R$12)*(1-BASE!R13)</f>
        <v>9.9000000000000008E-3</v>
      </c>
      <c r="S13" s="227">
        <f>AN13*(1-S$12)*(1-BASE!S13)</f>
        <v>9.9000000000000008E-3</v>
      </c>
      <c r="T13" s="227">
        <f>AO13*(1-T$12)*(1-BASE!T13)</f>
        <v>9.9000000000000008E-3</v>
      </c>
      <c r="V13" s="224"/>
      <c r="X13" s="226">
        <v>0.01</v>
      </c>
      <c r="Y13" s="226">
        <v>0.01</v>
      </c>
      <c r="Z13" s="226">
        <v>0.01</v>
      </c>
      <c r="AA13" s="226">
        <v>0.01</v>
      </c>
      <c r="AB13" s="226">
        <v>0.01</v>
      </c>
      <c r="AC13" s="226">
        <v>0.01</v>
      </c>
      <c r="AD13" s="226">
        <v>0.01</v>
      </c>
      <c r="AE13" s="226">
        <v>0.01</v>
      </c>
      <c r="AF13" s="226">
        <v>0.01</v>
      </c>
      <c r="AG13" s="226">
        <v>0.01</v>
      </c>
      <c r="AH13" s="226">
        <v>0.01</v>
      </c>
      <c r="AI13" s="226">
        <v>0.01</v>
      </c>
      <c r="AJ13" s="226">
        <v>0.01</v>
      </c>
      <c r="AK13" s="226">
        <v>0.01</v>
      </c>
      <c r="AL13" s="226">
        <v>0.01</v>
      </c>
      <c r="AM13" s="226">
        <v>0.01</v>
      </c>
      <c r="AN13" s="226">
        <v>0.01</v>
      </c>
      <c r="AO13" s="226">
        <v>0.01</v>
      </c>
      <c r="AP13" s="226">
        <v>0.01</v>
      </c>
    </row>
    <row r="14" spans="1:43">
      <c r="A14" t="str">
        <f>MLIST!A14</f>
        <v>Electronics</v>
      </c>
      <c r="B14" s="413" t="str">
        <f>MLIST!D14</f>
        <v>Network PC Power Management-Retro</v>
      </c>
      <c r="C14" s="227">
        <f>X14*(1-BASE!C14)</f>
        <v>0</v>
      </c>
      <c r="D14" s="227">
        <f>Y14*(1-BASE!D14)</f>
        <v>0</v>
      </c>
      <c r="E14" s="227">
        <f>Z14*(1-BASE!E14)</f>
        <v>0</v>
      </c>
      <c r="F14" s="227">
        <f>AA14*(1-BASE!F14)</f>
        <v>0</v>
      </c>
      <c r="G14" s="227">
        <f>AB14*(1-BASE!G14)</f>
        <v>0</v>
      </c>
      <c r="H14" s="227">
        <f>AC14*(1-BASE!H14)</f>
        <v>0</v>
      </c>
      <c r="I14" s="227">
        <f>AD14*(1-BASE!I14)</f>
        <v>0</v>
      </c>
      <c r="J14" s="227">
        <f>AE14*(1-BASE!J14)</f>
        <v>0</v>
      </c>
      <c r="K14" s="227">
        <f>AF14*(1-BASE!K14)</f>
        <v>0</v>
      </c>
      <c r="L14" s="227">
        <f>AG14*(1-BASE!L14)</f>
        <v>0</v>
      </c>
      <c r="M14" s="227">
        <f>AH14*(1-BASE!M14)</f>
        <v>0</v>
      </c>
      <c r="N14" s="227">
        <f>AI14*(1-BASE!N14)</f>
        <v>0</v>
      </c>
      <c r="O14" s="227">
        <f>AJ14*(1-BASE!O14)</f>
        <v>0</v>
      </c>
      <c r="P14" s="227">
        <f>AK14*(1-BASE!P14)</f>
        <v>0</v>
      </c>
      <c r="Q14" s="227">
        <f>AL14*(1-BASE!Q14)</f>
        <v>0</v>
      </c>
      <c r="R14" s="227">
        <f>AM14*(1-BASE!R14)</f>
        <v>0</v>
      </c>
      <c r="S14" s="227">
        <f>AN14*(1-BASE!S14)</f>
        <v>0</v>
      </c>
      <c r="T14" s="227">
        <f>AO14*(1-BASE!T14)</f>
        <v>0</v>
      </c>
      <c r="V14" s="224"/>
      <c r="X14" s="226">
        <v>0</v>
      </c>
      <c r="Y14" s="226">
        <v>0</v>
      </c>
      <c r="Z14" s="226">
        <v>0</v>
      </c>
      <c r="AA14" s="226">
        <v>0</v>
      </c>
      <c r="AB14" s="226">
        <v>0</v>
      </c>
      <c r="AC14" s="226">
        <v>0</v>
      </c>
      <c r="AD14" s="226">
        <v>0</v>
      </c>
      <c r="AE14" s="226">
        <v>0</v>
      </c>
      <c r="AF14" s="226">
        <v>0</v>
      </c>
      <c r="AG14" s="226">
        <v>0</v>
      </c>
      <c r="AH14" s="226">
        <v>0</v>
      </c>
      <c r="AI14" s="226">
        <v>0</v>
      </c>
      <c r="AJ14" s="226">
        <v>0</v>
      </c>
      <c r="AK14" s="226">
        <v>0</v>
      </c>
      <c r="AL14" s="226">
        <v>0</v>
      </c>
      <c r="AM14" s="226">
        <v>0</v>
      </c>
      <c r="AN14" s="226">
        <v>0</v>
      </c>
      <c r="AO14" s="226">
        <v>0</v>
      </c>
      <c r="AP14" s="226">
        <v>0</v>
      </c>
    </row>
    <row r="15" spans="1:43" s="218" customFormat="1">
      <c r="A15" s="218" t="str">
        <f>MLIST!A15</f>
        <v>Electronics</v>
      </c>
      <c r="B15" s="218" t="str">
        <f>MLIST!D15</f>
        <v>Laptop-NR</v>
      </c>
      <c r="C15" s="282">
        <f>X15*(1-BASE!C15)</f>
        <v>0</v>
      </c>
      <c r="D15" s="282">
        <f>Y15*(1-BASE!D15)</f>
        <v>0</v>
      </c>
      <c r="E15" s="282">
        <f>Z15*(1-BASE!E15)</f>
        <v>0</v>
      </c>
      <c r="F15" s="282">
        <f>AA15*(1-BASE!F15)</f>
        <v>0</v>
      </c>
      <c r="G15" s="282">
        <f>AB15*(1-BASE!G15)</f>
        <v>0</v>
      </c>
      <c r="H15" s="282">
        <f>AC15*(1-BASE!H15)</f>
        <v>0</v>
      </c>
      <c r="I15" s="282">
        <f>AD15*(1-BASE!I15)</f>
        <v>0</v>
      </c>
      <c r="J15" s="282">
        <f>AE15*(1-BASE!J15)</f>
        <v>0</v>
      </c>
      <c r="K15" s="282">
        <f>AF15*(1-BASE!K15)</f>
        <v>0</v>
      </c>
      <c r="L15" s="282">
        <f>AG15*(1-BASE!L15)</f>
        <v>0</v>
      </c>
      <c r="M15" s="282">
        <f>AH15*(1-BASE!M15)</f>
        <v>0</v>
      </c>
      <c r="N15" s="282">
        <f>AI15*(1-BASE!N15)</f>
        <v>0</v>
      </c>
      <c r="O15" s="282">
        <f>AJ15*(1-BASE!O15)</f>
        <v>0</v>
      </c>
      <c r="P15" s="282">
        <f>AK15*(1-BASE!P15)</f>
        <v>0</v>
      </c>
      <c r="Q15" s="282">
        <f>AL15*(1-BASE!Q15)</f>
        <v>0</v>
      </c>
      <c r="R15" s="282">
        <f>AM15*(1-BASE!R15)</f>
        <v>0</v>
      </c>
      <c r="S15" s="282">
        <f>AN15*(1-BASE!S15)</f>
        <v>0</v>
      </c>
      <c r="T15" s="282">
        <f>AO15*(1-BASE!T15)</f>
        <v>0</v>
      </c>
      <c r="U15" s="276">
        <f>AP15*(1-BASE!U15)</f>
        <v>9.9999999999999978E-2</v>
      </c>
      <c r="X15" s="276">
        <v>0</v>
      </c>
      <c r="Y15" s="276">
        <v>0</v>
      </c>
      <c r="Z15" s="276">
        <v>0</v>
      </c>
      <c r="AA15" s="276">
        <v>0</v>
      </c>
      <c r="AB15" s="276">
        <v>0</v>
      </c>
      <c r="AC15" s="276">
        <v>0</v>
      </c>
      <c r="AD15" s="276">
        <v>0</v>
      </c>
      <c r="AE15" s="276">
        <v>0</v>
      </c>
      <c r="AF15" s="276">
        <v>0</v>
      </c>
      <c r="AG15" s="276">
        <v>0</v>
      </c>
      <c r="AH15" s="276">
        <v>0</v>
      </c>
      <c r="AI15" s="276">
        <v>0</v>
      </c>
      <c r="AJ15" s="276">
        <v>0</v>
      </c>
      <c r="AK15" s="276">
        <v>0</v>
      </c>
      <c r="AL15" s="276">
        <v>0</v>
      </c>
      <c r="AM15" s="276">
        <v>0</v>
      </c>
      <c r="AN15" s="276">
        <v>0</v>
      </c>
      <c r="AO15" s="276">
        <v>0</v>
      </c>
      <c r="AP15" s="276">
        <v>1</v>
      </c>
    </row>
    <row r="16" spans="1:43">
      <c r="A16" t="str">
        <f>MLIST!A16</f>
        <v>Electronics</v>
      </c>
      <c r="B16" t="str">
        <f>MLIST!D16</f>
        <v>Smart Plug Power Strips-Retro</v>
      </c>
      <c r="C16" s="227">
        <f>X16*(1-BASE!C16)</f>
        <v>0.01</v>
      </c>
      <c r="D16" s="227">
        <f>Y16*(1-BASE!D16)</f>
        <v>0.01</v>
      </c>
      <c r="E16" s="227">
        <f>Z16*(1-BASE!E16)</f>
        <v>0.01</v>
      </c>
      <c r="F16" s="227">
        <f>AA16*(1-BASE!F16)</f>
        <v>0.01</v>
      </c>
      <c r="G16" s="227">
        <f>AB16*(1-BASE!G16)</f>
        <v>0.01</v>
      </c>
      <c r="H16" s="227">
        <f>AC16*(1-BASE!H16)</f>
        <v>0.01</v>
      </c>
      <c r="I16" s="227">
        <f>AD16*(1-BASE!I16)</f>
        <v>0.01</v>
      </c>
      <c r="J16" s="227">
        <f>AE16*(1-BASE!J16)</f>
        <v>0.01</v>
      </c>
      <c r="K16" s="227">
        <f>AF16*(1-BASE!K16)</f>
        <v>0.01</v>
      </c>
      <c r="L16" s="227">
        <f>AG16*(1-BASE!L16)</f>
        <v>0.01</v>
      </c>
      <c r="M16" s="227">
        <f>AH16*(1-BASE!M16)</f>
        <v>0.01</v>
      </c>
      <c r="N16" s="227">
        <f>AI16*(1-BASE!N16)</f>
        <v>0.01</v>
      </c>
      <c r="O16" s="227">
        <f>AJ16*(1-BASE!O16)</f>
        <v>0.01</v>
      </c>
      <c r="P16" s="227">
        <f>AK16*(1-BASE!P16)</f>
        <v>0.01</v>
      </c>
      <c r="Q16" s="227">
        <f>AL16*(1-BASE!Q16)</f>
        <v>0.01</v>
      </c>
      <c r="R16" s="227">
        <f>AM16*(1-BASE!R16)</f>
        <v>0.01</v>
      </c>
      <c r="S16" s="227">
        <f>AN16*(1-BASE!S16)</f>
        <v>0.01</v>
      </c>
      <c r="T16" s="227">
        <f>AO16*(1-BASE!T16)</f>
        <v>0.01</v>
      </c>
      <c r="U16" s="273">
        <f>AP16*(1-BASE!U16)</f>
        <v>0.6</v>
      </c>
      <c r="V16" s="224"/>
      <c r="X16" s="226">
        <v>0.01</v>
      </c>
      <c r="Y16" s="226">
        <v>0.01</v>
      </c>
      <c r="Z16" s="226">
        <v>0.01</v>
      </c>
      <c r="AA16" s="226">
        <v>0.01</v>
      </c>
      <c r="AB16" s="226">
        <v>0.01</v>
      </c>
      <c r="AC16" s="226">
        <v>0.01</v>
      </c>
      <c r="AD16" s="226">
        <v>0.01</v>
      </c>
      <c r="AE16" s="226">
        <v>0.01</v>
      </c>
      <c r="AF16" s="226">
        <v>0.01</v>
      </c>
      <c r="AG16" s="226">
        <v>0.01</v>
      </c>
      <c r="AH16" s="226">
        <v>0.01</v>
      </c>
      <c r="AI16" s="226">
        <v>0.01</v>
      </c>
      <c r="AJ16" s="226">
        <v>0.01</v>
      </c>
      <c r="AK16" s="226">
        <v>0.01</v>
      </c>
      <c r="AL16" s="226">
        <v>0.01</v>
      </c>
      <c r="AM16" s="226">
        <v>0.01</v>
      </c>
      <c r="AN16" s="226">
        <v>0.01</v>
      </c>
      <c r="AO16" s="226">
        <v>0.01</v>
      </c>
      <c r="AP16" s="226">
        <v>1</v>
      </c>
    </row>
    <row r="17" spans="1:44">
      <c r="A17" t="str">
        <f>MLIST!A17</f>
        <v>Electronics</v>
      </c>
      <c r="B17" t="str">
        <f>MLIST!D17</f>
        <v>Data Centers-NR</v>
      </c>
      <c r="C17" s="227">
        <f>X17*(1-BASE!C17)</f>
        <v>0.01</v>
      </c>
      <c r="D17" s="227">
        <f>Y17*(1-BASE!D17)</f>
        <v>0.01</v>
      </c>
      <c r="E17" s="227">
        <f>Z17*(1-BASE!E17)</f>
        <v>0.01</v>
      </c>
      <c r="F17" s="227">
        <f>AA17*(1-BASE!F17)</f>
        <v>0.01</v>
      </c>
      <c r="G17" s="227">
        <f>AB17*(1-BASE!G17)</f>
        <v>0.01</v>
      </c>
      <c r="H17" s="227">
        <f>AC17*(1-BASE!H17)</f>
        <v>0.01</v>
      </c>
      <c r="I17" s="227">
        <f>AD17*(1-BASE!I17)</f>
        <v>0.01</v>
      </c>
      <c r="J17" s="227">
        <f>AE17*(1-BASE!J17)</f>
        <v>0.01</v>
      </c>
      <c r="K17" s="227">
        <f>AF17*(1-BASE!K17)</f>
        <v>0.01</v>
      </c>
      <c r="L17" s="227">
        <f>AG17*(1-BASE!L17)</f>
        <v>0.01</v>
      </c>
      <c r="M17" s="227">
        <f>AH17*(1-BASE!M17)</f>
        <v>0.01</v>
      </c>
      <c r="N17" s="227">
        <f>AI17*(1-BASE!N17)</f>
        <v>0.01</v>
      </c>
      <c r="O17" s="227">
        <f>AJ17*(1-BASE!O17)</f>
        <v>0.01</v>
      </c>
      <c r="P17" s="227">
        <f>AK17*(1-BASE!P17)</f>
        <v>0.01</v>
      </c>
      <c r="Q17" s="227">
        <f>AL17*(1-BASE!Q17)</f>
        <v>0.01</v>
      </c>
      <c r="R17" s="227">
        <f>AM17*(1-BASE!R17)</f>
        <v>0.01</v>
      </c>
      <c r="S17" s="227">
        <f>AN17*(1-BASE!S17)</f>
        <v>0.01</v>
      </c>
      <c r="T17" s="227">
        <f>AO17*(1-BASE!T17)</f>
        <v>0.01</v>
      </c>
      <c r="U17" s="273">
        <f>AP17*(1-BASE!U17)</f>
        <v>0.8</v>
      </c>
      <c r="V17" s="224"/>
      <c r="X17" s="226">
        <v>0.01</v>
      </c>
      <c r="Y17" s="226">
        <v>0.01</v>
      </c>
      <c r="Z17" s="226">
        <v>0.01</v>
      </c>
      <c r="AA17" s="226">
        <v>0.01</v>
      </c>
      <c r="AB17" s="226">
        <v>0.01</v>
      </c>
      <c r="AC17" s="226">
        <v>0.01</v>
      </c>
      <c r="AD17" s="226">
        <v>0.01</v>
      </c>
      <c r="AE17" s="226">
        <v>0.01</v>
      </c>
      <c r="AF17" s="226">
        <v>0.01</v>
      </c>
      <c r="AG17" s="226">
        <v>0.01</v>
      </c>
      <c r="AH17" s="226">
        <v>0.01</v>
      </c>
      <c r="AI17" s="226">
        <v>0.01</v>
      </c>
      <c r="AJ17" s="226">
        <v>0.01</v>
      </c>
      <c r="AK17" s="226">
        <v>0.01</v>
      </c>
      <c r="AL17" s="226">
        <v>0.01</v>
      </c>
      <c r="AM17" s="226">
        <v>0.01</v>
      </c>
      <c r="AN17" s="226">
        <v>0.01</v>
      </c>
      <c r="AO17" s="226">
        <v>0.01</v>
      </c>
      <c r="AP17" s="276">
        <v>1</v>
      </c>
    </row>
    <row r="18" spans="1:44">
      <c r="A18" t="str">
        <f>MLIST!A18</f>
        <v>Electronics</v>
      </c>
      <c r="B18" t="str">
        <f>MLIST!D18</f>
        <v>Monitor-NR</v>
      </c>
      <c r="C18" s="227">
        <f>X18*(1-BASE!C18)</f>
        <v>0.01</v>
      </c>
      <c r="D18" s="227">
        <f>Y18*(1-BASE!D18)</f>
        <v>0.01</v>
      </c>
      <c r="E18" s="227">
        <f>Z18*(1-BASE!E18)</f>
        <v>0.01</v>
      </c>
      <c r="F18" s="227">
        <f>AA18*(1-BASE!F18)</f>
        <v>0.01</v>
      </c>
      <c r="G18" s="227">
        <f>AB18*(1-BASE!G18)</f>
        <v>0.01</v>
      </c>
      <c r="H18" s="227">
        <f>AC18*(1-BASE!H18)</f>
        <v>0.01</v>
      </c>
      <c r="I18" s="227">
        <f>AD18*(1-BASE!I18)</f>
        <v>0.01</v>
      </c>
      <c r="J18" s="227">
        <f>AE18*(1-BASE!J18)</f>
        <v>0.01</v>
      </c>
      <c r="K18" s="227">
        <f>AF18*(1-BASE!K18)</f>
        <v>0.01</v>
      </c>
      <c r="L18" s="227">
        <f>AG18*(1-BASE!L18)</f>
        <v>0.01</v>
      </c>
      <c r="M18" s="227">
        <f>AH18*(1-BASE!M18)</f>
        <v>0.01</v>
      </c>
      <c r="N18" s="227">
        <f>AI18*(1-BASE!N18)</f>
        <v>0.01</v>
      </c>
      <c r="O18" s="227">
        <f>AJ18*(1-BASE!O18)</f>
        <v>0.01</v>
      </c>
      <c r="P18" s="227">
        <f>AK18*(1-BASE!P18)</f>
        <v>0.01</v>
      </c>
      <c r="Q18" s="227">
        <f>AL18*(1-BASE!Q18)</f>
        <v>0.01</v>
      </c>
      <c r="R18" s="227">
        <f>AM18*(1-BASE!R18)</f>
        <v>0.01</v>
      </c>
      <c r="S18" s="227">
        <f>AN18*(1-BASE!S18)</f>
        <v>0.01</v>
      </c>
      <c r="T18" s="227">
        <f>AO18*(1-BASE!T18)</f>
        <v>0.01</v>
      </c>
      <c r="U18" s="273">
        <f>AP18*(1-BASE!U18)</f>
        <v>0.44999999999999996</v>
      </c>
      <c r="V18" s="224"/>
      <c r="X18" s="226">
        <v>0.01</v>
      </c>
      <c r="Y18" s="226">
        <v>0.01</v>
      </c>
      <c r="Z18" s="226">
        <v>0.01</v>
      </c>
      <c r="AA18" s="226">
        <v>0.01</v>
      </c>
      <c r="AB18" s="226">
        <v>0.01</v>
      </c>
      <c r="AC18" s="226">
        <v>0.01</v>
      </c>
      <c r="AD18" s="226">
        <v>0.01</v>
      </c>
      <c r="AE18" s="226">
        <v>0.01</v>
      </c>
      <c r="AF18" s="226">
        <v>0.01</v>
      </c>
      <c r="AG18" s="226">
        <v>0.01</v>
      </c>
      <c r="AH18" s="226">
        <v>0.01</v>
      </c>
      <c r="AI18" s="226">
        <v>0.01</v>
      </c>
      <c r="AJ18" s="226">
        <v>0.01</v>
      </c>
      <c r="AK18" s="226">
        <v>0.01</v>
      </c>
      <c r="AL18" s="226">
        <v>0.01</v>
      </c>
      <c r="AM18" s="226">
        <v>0.01</v>
      </c>
      <c r="AN18" s="226">
        <v>0.01</v>
      </c>
      <c r="AO18" s="226">
        <v>0.01</v>
      </c>
      <c r="AP18" s="276">
        <v>1</v>
      </c>
    </row>
    <row r="19" spans="1:44">
      <c r="A19" t="str">
        <f>MLIST!A19</f>
        <v>Electronics</v>
      </c>
      <c r="B19" t="str">
        <f>MLIST!D19</f>
        <v>Desktop-NR</v>
      </c>
      <c r="C19" s="227">
        <f>X19*(1-BASE!C19)</f>
        <v>0.01</v>
      </c>
      <c r="D19" s="227">
        <f>Y19*(1-BASE!D19)</f>
        <v>0.01</v>
      </c>
      <c r="E19" s="227">
        <f>Z19*(1-BASE!E19)</f>
        <v>0.01</v>
      </c>
      <c r="F19" s="227">
        <f>AA19*(1-BASE!F19)</f>
        <v>0.01</v>
      </c>
      <c r="G19" s="227">
        <f>AB19*(1-BASE!G19)</f>
        <v>0.01</v>
      </c>
      <c r="H19" s="227">
        <f>AC19*(1-BASE!H19)</f>
        <v>0.01</v>
      </c>
      <c r="I19" s="227">
        <f>AD19*(1-BASE!I19)</f>
        <v>0.01</v>
      </c>
      <c r="J19" s="227">
        <f>AE19*(1-BASE!J19)</f>
        <v>0.01</v>
      </c>
      <c r="K19" s="227">
        <f>AF19*(1-BASE!K19)</f>
        <v>0.01</v>
      </c>
      <c r="L19" s="227">
        <f>AG19*(1-BASE!L19)</f>
        <v>0.01</v>
      </c>
      <c r="M19" s="227">
        <f>AH19*(1-BASE!M19)</f>
        <v>0.01</v>
      </c>
      <c r="N19" s="227">
        <f>AI19*(1-BASE!N19)</f>
        <v>0.01</v>
      </c>
      <c r="O19" s="227">
        <f>AJ19*(1-BASE!O19)</f>
        <v>0.01</v>
      </c>
      <c r="P19" s="227">
        <f>AK19*(1-BASE!P19)</f>
        <v>0.01</v>
      </c>
      <c r="Q19" s="227">
        <f>AL19*(1-BASE!Q19)</f>
        <v>0.01</v>
      </c>
      <c r="R19" s="227">
        <f>AM19*(1-BASE!R19)</f>
        <v>0.01</v>
      </c>
      <c r="S19" s="227">
        <f>AN19*(1-BASE!S19)</f>
        <v>0.01</v>
      </c>
      <c r="T19" s="227">
        <f>AO19*(1-BASE!T19)</f>
        <v>0.01</v>
      </c>
      <c r="U19" s="273">
        <f>AP19*(1-BASE!U19)</f>
        <v>0.25</v>
      </c>
      <c r="V19" s="224"/>
      <c r="X19" s="226">
        <v>0.01</v>
      </c>
      <c r="Y19" s="226">
        <v>0.01</v>
      </c>
      <c r="Z19" s="226">
        <v>0.01</v>
      </c>
      <c r="AA19" s="226">
        <v>0.01</v>
      </c>
      <c r="AB19" s="226">
        <v>0.01</v>
      </c>
      <c r="AC19" s="226">
        <v>0.01</v>
      </c>
      <c r="AD19" s="226">
        <v>0.01</v>
      </c>
      <c r="AE19" s="226">
        <v>0.01</v>
      </c>
      <c r="AF19" s="226">
        <v>0.01</v>
      </c>
      <c r="AG19" s="226">
        <v>0.01</v>
      </c>
      <c r="AH19" s="226">
        <v>0.01</v>
      </c>
      <c r="AI19" s="226">
        <v>0.01</v>
      </c>
      <c r="AJ19" s="226">
        <v>0.01</v>
      </c>
      <c r="AK19" s="226">
        <v>0.01</v>
      </c>
      <c r="AL19" s="226">
        <v>0.01</v>
      </c>
      <c r="AM19" s="226">
        <v>0.01</v>
      </c>
      <c r="AN19" s="226">
        <v>0.01</v>
      </c>
      <c r="AO19" s="226">
        <v>0.01</v>
      </c>
      <c r="AP19" s="276">
        <v>1</v>
      </c>
    </row>
    <row r="20" spans="1:44">
      <c r="A20" t="str">
        <f>MLIST!A20</f>
        <v>Food Preparation</v>
      </c>
      <c r="B20" t="str">
        <f>MLIST!D20</f>
        <v>Pre-Rinse Spray Valve-Retro</v>
      </c>
      <c r="C20" s="274">
        <f>X20*(1-BASE!C20)</f>
        <v>0</v>
      </c>
      <c r="D20" s="274">
        <f>Y20*(1-BASE!D20)</f>
        <v>0</v>
      </c>
      <c r="E20" s="274">
        <f>Z20*(1-BASE!E20)</f>
        <v>0</v>
      </c>
      <c r="F20" s="274">
        <f>AA20*(1-BASE!F20)</f>
        <v>0</v>
      </c>
      <c r="G20" s="274">
        <f>AB20*(1-BASE!G20)</f>
        <v>0</v>
      </c>
      <c r="H20" s="274">
        <f>AC20*(1-BASE!H20)</f>
        <v>0</v>
      </c>
      <c r="I20" s="274">
        <f>AD20*(1-BASE!I20)</f>
        <v>0</v>
      </c>
      <c r="J20" s="274">
        <f>AE20*(1-BASE!J20)</f>
        <v>0</v>
      </c>
      <c r="K20" s="274">
        <f>AF20*(1-BASE!K20)</f>
        <v>0</v>
      </c>
      <c r="L20" s="274">
        <f>AG20*(1-BASE!L20)</f>
        <v>0</v>
      </c>
      <c r="M20" s="274">
        <f>AH20*(1-BASE!M20)</f>
        <v>0</v>
      </c>
      <c r="N20" s="274">
        <f>AI20*(1-BASE!N20)</f>
        <v>0</v>
      </c>
      <c r="O20" s="274">
        <f>AJ20*(1-BASE!O20)</f>
        <v>0</v>
      </c>
      <c r="P20" s="274">
        <f>AK20*(1-BASE!P20)</f>
        <v>0</v>
      </c>
      <c r="Q20" s="274">
        <f>AL20*(1-BASE!Q20)</f>
        <v>0</v>
      </c>
      <c r="R20" s="274">
        <f>AM20*(1-BASE!R20)</f>
        <v>0</v>
      </c>
      <c r="S20" s="274">
        <f>AN20*(1-BASE!S20)</f>
        <v>0</v>
      </c>
      <c r="T20" s="274">
        <f>AO20*(1-BASE!T20)</f>
        <v>0</v>
      </c>
      <c r="U20" s="273">
        <f>AP20*(1-BASE!U20)</f>
        <v>0.74</v>
      </c>
      <c r="V20" s="224"/>
      <c r="X20" s="273">
        <v>0</v>
      </c>
      <c r="Y20" s="273">
        <v>0</v>
      </c>
      <c r="Z20" s="273">
        <v>0</v>
      </c>
      <c r="AA20" s="273">
        <v>0</v>
      </c>
      <c r="AB20" s="273">
        <v>0</v>
      </c>
      <c r="AC20" s="273">
        <v>0</v>
      </c>
      <c r="AD20" s="273">
        <v>0</v>
      </c>
      <c r="AE20" s="273">
        <v>0</v>
      </c>
      <c r="AF20" s="273">
        <v>0</v>
      </c>
      <c r="AG20" s="273">
        <v>0</v>
      </c>
      <c r="AH20" s="273">
        <v>0</v>
      </c>
      <c r="AI20" s="273">
        <v>0</v>
      </c>
      <c r="AJ20" s="273">
        <v>0</v>
      </c>
      <c r="AK20" s="273">
        <v>0</v>
      </c>
      <c r="AL20" s="273">
        <v>0</v>
      </c>
      <c r="AM20" s="273">
        <v>0</v>
      </c>
      <c r="AN20" s="273">
        <v>0</v>
      </c>
      <c r="AO20" s="273">
        <v>0</v>
      </c>
      <c r="AP20" s="273">
        <v>1</v>
      </c>
    </row>
    <row r="21" spans="1:44">
      <c r="A21" t="str">
        <f>MLIST!A21</f>
        <v>Food Preparation</v>
      </c>
      <c r="B21" t="str">
        <f>MLIST!D21</f>
        <v>Cooking Equipment-NR</v>
      </c>
      <c r="C21" s="227">
        <f>X21*(1-BASE!C21)</f>
        <v>0</v>
      </c>
      <c r="D21" s="227">
        <f>Y21*(1-BASE!D21)</f>
        <v>0</v>
      </c>
      <c r="E21" s="227">
        <f>Z21*(1-BASE!E21)</f>
        <v>0</v>
      </c>
      <c r="F21" s="227">
        <f>AA21*(1-BASE!F21)</f>
        <v>0</v>
      </c>
      <c r="G21" s="227">
        <f>AB21*(1-BASE!G21)</f>
        <v>0</v>
      </c>
      <c r="H21" s="227">
        <f>AC21*(1-BASE!H21)</f>
        <v>0</v>
      </c>
      <c r="I21" s="227">
        <f>AD21*(1-BASE!I21)</f>
        <v>0</v>
      </c>
      <c r="J21" s="227">
        <f>AE21*(1-BASE!J21)</f>
        <v>0</v>
      </c>
      <c r="K21" s="227">
        <f>AF21*(1-BASE!K21)</f>
        <v>0</v>
      </c>
      <c r="L21" s="227">
        <f>AG21*(1-BASE!L21)</f>
        <v>0</v>
      </c>
      <c r="M21" s="227">
        <f>AH21*(1-BASE!M21)</f>
        <v>0</v>
      </c>
      <c r="N21" s="227">
        <f>AI21*(1-BASE!N21)</f>
        <v>0</v>
      </c>
      <c r="O21" s="227">
        <f>AJ21*(1-BASE!O21)</f>
        <v>0</v>
      </c>
      <c r="P21" s="227">
        <f>AK21*(1-BASE!P21)</f>
        <v>0</v>
      </c>
      <c r="Q21" s="227">
        <f>AL21*(1-BASE!Q21)</f>
        <v>0</v>
      </c>
      <c r="R21" s="227">
        <f>AM21*(1-BASE!R21)</f>
        <v>0</v>
      </c>
      <c r="S21" s="227">
        <f>AN21*(1-BASE!S21)</f>
        <v>0</v>
      </c>
      <c r="T21" s="227">
        <f>AO21*(1-BASE!T21)</f>
        <v>0</v>
      </c>
      <c r="U21" s="273">
        <f>AP21*(1-BASE!U21)</f>
        <v>0.54900000000000004</v>
      </c>
      <c r="V21" s="224"/>
      <c r="X21" s="226">
        <v>0</v>
      </c>
      <c r="Y21" s="226">
        <v>0</v>
      </c>
      <c r="Z21" s="226">
        <v>0</v>
      </c>
      <c r="AA21" s="226">
        <v>0</v>
      </c>
      <c r="AB21" s="226">
        <v>0</v>
      </c>
      <c r="AC21" s="226">
        <v>0</v>
      </c>
      <c r="AD21" s="226">
        <v>0</v>
      </c>
      <c r="AE21" s="226">
        <v>0</v>
      </c>
      <c r="AF21" s="226">
        <v>0</v>
      </c>
      <c r="AG21" s="226">
        <v>0</v>
      </c>
      <c r="AH21" s="226">
        <v>0</v>
      </c>
      <c r="AI21" s="226">
        <v>0</v>
      </c>
      <c r="AJ21" s="226">
        <v>0</v>
      </c>
      <c r="AK21" s="226">
        <v>0</v>
      </c>
      <c r="AL21" s="226">
        <v>0</v>
      </c>
      <c r="AM21" s="226">
        <v>0</v>
      </c>
      <c r="AN21" s="226">
        <v>0</v>
      </c>
      <c r="AO21" s="226">
        <v>0</v>
      </c>
      <c r="AP21" s="276">
        <v>0.9</v>
      </c>
    </row>
    <row r="22" spans="1:44" s="218" customFormat="1">
      <c r="A22" s="218" t="str">
        <f>MLIST!A22</f>
        <v>HVAC</v>
      </c>
      <c r="B22" s="218" t="str">
        <f>MLIST!D22</f>
        <v>DHP-New</v>
      </c>
      <c r="C22" s="282">
        <f>C23</f>
        <v>0</v>
      </c>
      <c r="D22" s="282">
        <f t="shared" ref="D22:T22" si="5">D23</f>
        <v>9.3666492863930473E-2</v>
      </c>
      <c r="E22" s="282">
        <f t="shared" si="5"/>
        <v>0.18093220414775901</v>
      </c>
      <c r="F22" s="282">
        <f t="shared" si="5"/>
        <v>0</v>
      </c>
      <c r="G22" s="282">
        <f t="shared" si="5"/>
        <v>0</v>
      </c>
      <c r="H22" s="282">
        <f t="shared" si="5"/>
        <v>0.1845720316176401</v>
      </c>
      <c r="I22" s="282">
        <f t="shared" si="5"/>
        <v>0.23278079179476083</v>
      </c>
      <c r="J22" s="282">
        <f t="shared" si="5"/>
        <v>3.7519732135274744E-4</v>
      </c>
      <c r="K22" s="282">
        <f t="shared" si="5"/>
        <v>0</v>
      </c>
      <c r="L22" s="282">
        <f t="shared" si="5"/>
        <v>4.0847109948506629E-3</v>
      </c>
      <c r="M22" s="282">
        <f t="shared" si="5"/>
        <v>0</v>
      </c>
      <c r="N22" s="282">
        <f t="shared" si="5"/>
        <v>5.4746597404996745E-2</v>
      </c>
      <c r="O22" s="282">
        <f t="shared" si="5"/>
        <v>2.9347519170761286E-2</v>
      </c>
      <c r="P22" s="282">
        <f t="shared" si="5"/>
        <v>4.3510047797893039E-2</v>
      </c>
      <c r="Q22" s="282">
        <f t="shared" si="5"/>
        <v>0</v>
      </c>
      <c r="R22" s="282">
        <f t="shared" si="5"/>
        <v>6.9159304953855333E-2</v>
      </c>
      <c r="S22" s="282">
        <f t="shared" si="5"/>
        <v>6.6382185345618808E-2</v>
      </c>
      <c r="T22" s="282">
        <f t="shared" si="5"/>
        <v>3.7441828223745317E-2</v>
      </c>
      <c r="X22" s="276">
        <v>1</v>
      </c>
      <c r="Y22" s="276">
        <v>1</v>
      </c>
      <c r="Z22" s="276">
        <v>1</v>
      </c>
      <c r="AA22" s="276">
        <v>1</v>
      </c>
      <c r="AB22" s="276">
        <v>1</v>
      </c>
      <c r="AC22" s="276">
        <v>1</v>
      </c>
      <c r="AD22" s="276">
        <v>1</v>
      </c>
      <c r="AE22" s="276">
        <v>1</v>
      </c>
      <c r="AF22" s="276">
        <v>1</v>
      </c>
      <c r="AG22" s="276">
        <v>1</v>
      </c>
      <c r="AH22" s="276">
        <v>1</v>
      </c>
      <c r="AI22" s="276">
        <v>1</v>
      </c>
      <c r="AJ22" s="276">
        <v>1</v>
      </c>
      <c r="AK22" s="276">
        <v>1</v>
      </c>
      <c r="AL22" s="276">
        <v>1</v>
      </c>
      <c r="AM22" s="276">
        <v>1</v>
      </c>
      <c r="AN22" s="276">
        <v>1</v>
      </c>
      <c r="AO22" s="276">
        <v>1</v>
      </c>
      <c r="AP22" s="276">
        <v>0</v>
      </c>
    </row>
    <row r="23" spans="1:44" s="218" customFormat="1">
      <c r="A23" s="218" t="str">
        <f>MLIST!A23</f>
        <v>HVAC</v>
      </c>
      <c r="B23" s="218" t="str">
        <f>MLIST!D23</f>
        <v>DHP-Retro</v>
      </c>
      <c r="C23" s="282">
        <f>X23*(1-BASE!C23)</f>
        <v>0</v>
      </c>
      <c r="D23" s="282">
        <f>Y23*(1-BASE!D23)</f>
        <v>9.3666492863930473E-2</v>
      </c>
      <c r="E23" s="282">
        <f>Z23*(1-BASE!E23)</f>
        <v>0.18093220414775901</v>
      </c>
      <c r="F23" s="282">
        <f>AA23*(1-BASE!F23)</f>
        <v>0</v>
      </c>
      <c r="G23" s="282">
        <f>AB23*(1-BASE!G23)</f>
        <v>0</v>
      </c>
      <c r="H23" s="282">
        <f>AC23*(1-BASE!H23)</f>
        <v>0.1845720316176401</v>
      </c>
      <c r="I23" s="282">
        <f>AD23*(1-BASE!I23)</f>
        <v>0.23278079179476083</v>
      </c>
      <c r="J23" s="282">
        <f>AE23*(1-BASE!J23)</f>
        <v>3.7519732135274744E-4</v>
      </c>
      <c r="K23" s="282">
        <f>AF23*(1-BASE!K23)</f>
        <v>0</v>
      </c>
      <c r="L23" s="282">
        <f>AG23*(1-BASE!L23)</f>
        <v>4.0847109948506629E-3</v>
      </c>
      <c r="M23" s="282">
        <f>AH23*(1-BASE!M23)</f>
        <v>0</v>
      </c>
      <c r="N23" s="282">
        <f>AI23*(1-BASE!N23)</f>
        <v>5.4746597404996745E-2</v>
      </c>
      <c r="O23" s="282">
        <f>AJ23*(1-BASE!O23)</f>
        <v>2.9347519170761286E-2</v>
      </c>
      <c r="P23" s="282">
        <f>AK23*(1-BASE!P23)</f>
        <v>4.3510047797893039E-2</v>
      </c>
      <c r="Q23" s="282">
        <f>AL23*(1-BASE!Q23)</f>
        <v>0</v>
      </c>
      <c r="R23" s="282">
        <f>AM23*(1-BASE!R23)</f>
        <v>6.9159304953855333E-2</v>
      </c>
      <c r="S23" s="282">
        <f>AN23*(1-BASE!S23)</f>
        <v>6.6382185345618808E-2</v>
      </c>
      <c r="T23" s="282">
        <f>AO23*(1-BASE!T23)</f>
        <v>3.7441828223745317E-2</v>
      </c>
      <c r="X23" s="276">
        <f>CHAR!C101</f>
        <v>0</v>
      </c>
      <c r="Y23" s="276">
        <f>CHAR!D101</f>
        <v>9.3666492863930473E-2</v>
      </c>
      <c r="Z23" s="276">
        <f>CHAR!E101</f>
        <v>0.18093220414775901</v>
      </c>
      <c r="AA23" s="276">
        <f>CHAR!F101</f>
        <v>0</v>
      </c>
      <c r="AB23" s="276">
        <f>CHAR!G101</f>
        <v>0</v>
      </c>
      <c r="AC23" s="276">
        <f>CHAR!H101</f>
        <v>0.1845720316176401</v>
      </c>
      <c r="AD23" s="276">
        <f>CHAR!I101</f>
        <v>0.23278079179476083</v>
      </c>
      <c r="AE23" s="276">
        <f>CHAR!J101</f>
        <v>3.7519732135274744E-4</v>
      </c>
      <c r="AF23" s="276">
        <f>CHAR!K101</f>
        <v>0</v>
      </c>
      <c r="AG23" s="276">
        <f>CHAR!L101</f>
        <v>4.0847109948506629E-3</v>
      </c>
      <c r="AH23" s="276">
        <f>CHAR!M101</f>
        <v>0</v>
      </c>
      <c r="AI23" s="276">
        <f>CHAR!N101</f>
        <v>5.4746597404996745E-2</v>
      </c>
      <c r="AJ23" s="276">
        <f>CHAR!O101</f>
        <v>2.9347519170761286E-2</v>
      </c>
      <c r="AK23" s="276">
        <f>CHAR!P101</f>
        <v>4.3510047797893039E-2</v>
      </c>
      <c r="AL23" s="276">
        <f>CHAR!Q101</f>
        <v>0</v>
      </c>
      <c r="AM23" s="276">
        <f>CHAR!R101</f>
        <v>6.9159304953855333E-2</v>
      </c>
      <c r="AN23" s="276">
        <f>CHAR!S101</f>
        <v>6.6382185345618808E-2</v>
      </c>
      <c r="AO23" s="276">
        <f>CHAR!T101</f>
        <v>3.7441828223745317E-2</v>
      </c>
      <c r="AP23" s="276">
        <v>0</v>
      </c>
    </row>
    <row r="24" spans="1:44">
      <c r="A24" t="str">
        <f>MLIST!A24</f>
        <v>HVAC</v>
      </c>
      <c r="B24" s="415" t="str">
        <f>MLIST!D24</f>
        <v>Glass-New</v>
      </c>
      <c r="C24" s="227">
        <f>X24*(1-BASE!C24)</f>
        <v>0</v>
      </c>
      <c r="D24" s="227">
        <f>Y24*(1-BASE!D24)</f>
        <v>0</v>
      </c>
      <c r="E24" s="227">
        <f>Z24*(1-BASE!E24)</f>
        <v>0</v>
      </c>
      <c r="F24" s="227">
        <f>AA24*(1-BASE!F24)</f>
        <v>0</v>
      </c>
      <c r="G24" s="227">
        <f>AB24*(1-BASE!G24)</f>
        <v>0</v>
      </c>
      <c r="H24" s="227">
        <f>AC24*(1-BASE!H24)</f>
        <v>0</v>
      </c>
      <c r="I24" s="227">
        <f>AD24*(1-BASE!I24)</f>
        <v>0</v>
      </c>
      <c r="J24" s="227">
        <f>AE24*(1-BASE!J24)</f>
        <v>0</v>
      </c>
      <c r="K24" s="227">
        <f>AF24*(1-BASE!K24)</f>
        <v>0</v>
      </c>
      <c r="L24" s="227">
        <f>AG24*(1-BASE!L24)</f>
        <v>0</v>
      </c>
      <c r="M24" s="227">
        <f>AH24*(1-BASE!M24)</f>
        <v>0</v>
      </c>
      <c r="N24" s="227">
        <f>AI24*(1-BASE!N24)</f>
        <v>0</v>
      </c>
      <c r="O24" s="227">
        <f>AJ24*(1-BASE!O24)</f>
        <v>0</v>
      </c>
      <c r="P24" s="227">
        <f>AK24*(1-BASE!P24)</f>
        <v>0</v>
      </c>
      <c r="Q24" s="227">
        <f>AL24*(1-BASE!Q24)</f>
        <v>0</v>
      </c>
      <c r="R24" s="227">
        <f>AM24*(1-BASE!R24)</f>
        <v>0</v>
      </c>
      <c r="S24" s="227">
        <f>AN24*(1-BASE!S24)</f>
        <v>0</v>
      </c>
      <c r="T24" s="227">
        <f>AO24*(1-BASE!T24)</f>
        <v>0</v>
      </c>
      <c r="V24" s="224"/>
      <c r="X24" s="226">
        <v>0</v>
      </c>
      <c r="Y24" s="226">
        <v>0</v>
      </c>
      <c r="Z24" s="226">
        <v>0</v>
      </c>
      <c r="AA24" s="226">
        <v>0</v>
      </c>
      <c r="AB24" s="226">
        <v>0</v>
      </c>
      <c r="AC24" s="226">
        <v>0</v>
      </c>
      <c r="AD24" s="226">
        <v>0</v>
      </c>
      <c r="AE24" s="226">
        <v>0</v>
      </c>
      <c r="AF24" s="226">
        <v>0</v>
      </c>
      <c r="AG24" s="226">
        <v>0</v>
      </c>
      <c r="AH24" s="226">
        <v>0</v>
      </c>
      <c r="AI24" s="226">
        <v>0</v>
      </c>
      <c r="AJ24" s="226">
        <v>0</v>
      </c>
      <c r="AK24" s="226">
        <v>0</v>
      </c>
      <c r="AL24" s="226">
        <v>0</v>
      </c>
      <c r="AM24" s="226">
        <v>0</v>
      </c>
      <c r="AN24" s="226">
        <v>0</v>
      </c>
      <c r="AO24" s="226">
        <v>0</v>
      </c>
      <c r="AP24" s="226">
        <v>0</v>
      </c>
    </row>
    <row r="25" spans="1:44" s="7" customFormat="1">
      <c r="A25" t="str">
        <f>MLIST!A25</f>
        <v>HVAC</v>
      </c>
      <c r="B25" s="415" t="str">
        <f>MLIST!D25</f>
        <v>Glass-NR</v>
      </c>
      <c r="C25" s="227">
        <f>X25*(1-BASE!C25)</f>
        <v>0</v>
      </c>
      <c r="D25" s="227">
        <f>Y25*(1-BASE!D25)</f>
        <v>0</v>
      </c>
      <c r="E25" s="227">
        <f>Z25*(1-BASE!E25)</f>
        <v>0</v>
      </c>
      <c r="F25" s="227">
        <f>AA25*(1-BASE!F25)</f>
        <v>0</v>
      </c>
      <c r="G25" s="227">
        <f>AB25*(1-BASE!G25)</f>
        <v>0</v>
      </c>
      <c r="H25" s="227">
        <f>AC25*(1-BASE!H25)</f>
        <v>0</v>
      </c>
      <c r="I25" s="227">
        <f>AD25*(1-BASE!I25)</f>
        <v>0</v>
      </c>
      <c r="J25" s="227">
        <f>AE25*(1-BASE!J25)</f>
        <v>0</v>
      </c>
      <c r="K25" s="227">
        <f>AF25*(1-BASE!K25)</f>
        <v>0</v>
      </c>
      <c r="L25" s="227">
        <f>AG25*(1-BASE!L25)</f>
        <v>0</v>
      </c>
      <c r="M25" s="227">
        <f>AH25*(1-BASE!M25)</f>
        <v>0</v>
      </c>
      <c r="N25" s="227">
        <f>AI25*(1-BASE!N25)</f>
        <v>0</v>
      </c>
      <c r="O25" s="227">
        <f>AJ25*(1-BASE!O25)</f>
        <v>0</v>
      </c>
      <c r="P25" s="227">
        <f>AK25*(1-BASE!P25)</f>
        <v>0</v>
      </c>
      <c r="Q25" s="227">
        <f>AL25*(1-BASE!Q25)</f>
        <v>0</v>
      </c>
      <c r="R25" s="227">
        <f>AM25*(1-BASE!R25)</f>
        <v>0</v>
      </c>
      <c r="S25" s="227">
        <f>AN25*(1-BASE!S25)</f>
        <v>0</v>
      </c>
      <c r="T25" s="227">
        <f>AO25*(1-BASE!T25)</f>
        <v>0</v>
      </c>
      <c r="V25" s="225"/>
      <c r="X25" s="226">
        <v>0</v>
      </c>
      <c r="Y25" s="226">
        <v>0</v>
      </c>
      <c r="Z25" s="226">
        <v>0</v>
      </c>
      <c r="AA25" s="226">
        <v>0</v>
      </c>
      <c r="AB25" s="226">
        <v>0</v>
      </c>
      <c r="AC25" s="226">
        <v>0</v>
      </c>
      <c r="AD25" s="226">
        <v>0</v>
      </c>
      <c r="AE25" s="226">
        <v>0</v>
      </c>
      <c r="AF25" s="226">
        <v>0</v>
      </c>
      <c r="AG25" s="226">
        <v>0</v>
      </c>
      <c r="AH25" s="226">
        <v>0</v>
      </c>
      <c r="AI25" s="226">
        <v>0</v>
      </c>
      <c r="AJ25" s="226">
        <v>0</v>
      </c>
      <c r="AK25" s="226">
        <v>0</v>
      </c>
      <c r="AL25" s="226">
        <v>0</v>
      </c>
      <c r="AM25" s="226">
        <v>0</v>
      </c>
      <c r="AN25" s="226">
        <v>0</v>
      </c>
      <c r="AO25" s="226">
        <v>0</v>
      </c>
      <c r="AP25" s="226">
        <v>0</v>
      </c>
    </row>
    <row r="26" spans="1:44" s="278" customFormat="1">
      <c r="A26" s="218" t="str">
        <f>MLIST!A26</f>
        <v>HVAC</v>
      </c>
      <c r="B26" s="218" t="str">
        <f>MLIST!D26</f>
        <v>ControllerLite-Retro</v>
      </c>
      <c r="C26" s="282">
        <f>X26*(1-BASE!C26)</f>
        <v>0</v>
      </c>
      <c r="D26" s="282">
        <f>Y26*(1-BASE!D26)</f>
        <v>0</v>
      </c>
      <c r="E26" s="282">
        <f>Z26*(1-BASE!E26)</f>
        <v>1</v>
      </c>
      <c r="F26" s="282">
        <f>AA26*(1-BASE!F26)</f>
        <v>0</v>
      </c>
      <c r="G26" s="282">
        <f>AB26*(1-BASE!G26)</f>
        <v>0</v>
      </c>
      <c r="H26" s="282">
        <f>AC26*(1-BASE!H26)</f>
        <v>0</v>
      </c>
      <c r="I26" s="282">
        <f>AD26*(1-BASE!I26)</f>
        <v>1</v>
      </c>
      <c r="J26" s="282">
        <f>AE26*(1-BASE!J26)</f>
        <v>1.4578844468467652E-2</v>
      </c>
      <c r="K26" s="282">
        <f>AF26*(1-BASE!K26)</f>
        <v>0</v>
      </c>
      <c r="L26" s="282">
        <f>AG26*(1-BASE!L26)</f>
        <v>3.523051634076587E-2</v>
      </c>
      <c r="M26" s="282">
        <f>AH26*(1-BASE!M26)</f>
        <v>0</v>
      </c>
      <c r="N26" s="282">
        <f>AI26*(1-BASE!N26)</f>
        <v>1</v>
      </c>
      <c r="O26" s="282">
        <f>AJ26*(1-BASE!O26)</f>
        <v>0.51802836477288372</v>
      </c>
      <c r="P26" s="282">
        <f>AK26*(1-BASE!P26)</f>
        <v>4.738035107666288E-3</v>
      </c>
      <c r="Q26" s="282">
        <f>AL26*(1-BASE!Q26)</f>
        <v>0</v>
      </c>
      <c r="R26" s="282">
        <f>AM26*(1-BASE!R26)</f>
        <v>4.9345201334677321E-3</v>
      </c>
      <c r="S26" s="282">
        <f>AN26*(1-BASE!S26)</f>
        <v>3.9136333877381378E-2</v>
      </c>
      <c r="T26" s="282">
        <f>AO26*(1-BASE!T26)</f>
        <v>8.2412585873646096E-2</v>
      </c>
      <c r="X26" s="267">
        <v>0</v>
      </c>
      <c r="Y26" s="32">
        <v>0</v>
      </c>
      <c r="Z26" s="32">
        <v>1</v>
      </c>
      <c r="AA26" s="32">
        <v>0</v>
      </c>
      <c r="AB26" s="32">
        <v>0</v>
      </c>
      <c r="AC26" s="25">
        <v>0</v>
      </c>
      <c r="AD26" s="25">
        <v>1</v>
      </c>
      <c r="AE26" s="25">
        <v>1.4578844468467652E-2</v>
      </c>
      <c r="AF26" s="25">
        <v>0</v>
      </c>
      <c r="AG26" s="25">
        <v>3.523051634076587E-2</v>
      </c>
      <c r="AH26" s="25">
        <v>0</v>
      </c>
      <c r="AI26" s="267">
        <v>1</v>
      </c>
      <c r="AJ26" s="25">
        <v>0.51802836477288372</v>
      </c>
      <c r="AK26" s="32">
        <v>4.738035107666288E-3</v>
      </c>
      <c r="AL26" s="32">
        <v>0</v>
      </c>
      <c r="AM26" s="277">
        <v>4.9345201334677321E-3</v>
      </c>
      <c r="AN26" s="25">
        <v>3.9136333877381378E-2</v>
      </c>
      <c r="AO26" s="25">
        <v>8.2412585873646096E-2</v>
      </c>
      <c r="AP26" s="276">
        <v>0</v>
      </c>
      <c r="AR26" s="267">
        <v>0</v>
      </c>
    </row>
    <row r="27" spans="1:44">
      <c r="A27" t="str">
        <f>MLIST!A27</f>
        <v>HVAC</v>
      </c>
      <c r="B27" t="str">
        <f>MLIST!D27</f>
        <v>Advanced Rooftop Controller-New</v>
      </c>
      <c r="C27" s="227">
        <f>X27*(1-BASE!C27)</f>
        <v>0</v>
      </c>
      <c r="D27" s="227">
        <f>Y27*(1-BASE!D27)</f>
        <v>0</v>
      </c>
      <c r="E27" s="227">
        <f>Z27*(1-BASE!E27)</f>
        <v>0</v>
      </c>
      <c r="F27" s="227">
        <f>AA27*(1-BASE!F27)</f>
        <v>0</v>
      </c>
      <c r="G27" s="227">
        <f>AB27*(1-BASE!G27)</f>
        <v>0</v>
      </c>
      <c r="H27" s="227">
        <f>AC27*(1-BASE!H27)</f>
        <v>0</v>
      </c>
      <c r="I27" s="227">
        <f>AD27*(1-BASE!I27)</f>
        <v>0</v>
      </c>
      <c r="J27" s="227">
        <f>AE27*(1-BASE!J27)</f>
        <v>0</v>
      </c>
      <c r="K27" s="227">
        <f>AF27*(1-BASE!K27)</f>
        <v>0</v>
      </c>
      <c r="L27" s="227">
        <f>AG27*(1-BASE!L27)</f>
        <v>0</v>
      </c>
      <c r="M27" s="227">
        <f>AH27*(1-BASE!M27)</f>
        <v>0</v>
      </c>
      <c r="N27" s="227">
        <f>AI27*(1-BASE!N27)</f>
        <v>0</v>
      </c>
      <c r="O27" s="227">
        <f>AJ27*(1-BASE!O27)</f>
        <v>0</v>
      </c>
      <c r="P27" s="227">
        <f>AK27*(1-BASE!P27)</f>
        <v>0</v>
      </c>
      <c r="Q27" s="227">
        <f>AL27*(1-BASE!Q27)</f>
        <v>0</v>
      </c>
      <c r="R27" s="227">
        <f>AM27*(1-BASE!R27)</f>
        <v>0</v>
      </c>
      <c r="S27" s="227">
        <f>AN27*(1-BASE!S27)</f>
        <v>0</v>
      </c>
      <c r="T27" s="227">
        <f>AO27*(1-BASE!T27)</f>
        <v>0</v>
      </c>
      <c r="V27" s="224"/>
      <c r="X27" s="226">
        <v>0</v>
      </c>
      <c r="Y27" s="226">
        <v>0</v>
      </c>
      <c r="Z27" s="226">
        <v>0</v>
      </c>
      <c r="AA27" s="226">
        <v>0</v>
      </c>
      <c r="AB27" s="226">
        <v>0</v>
      </c>
      <c r="AC27" s="226">
        <v>0</v>
      </c>
      <c r="AD27" s="226">
        <v>0</v>
      </c>
      <c r="AE27" s="226">
        <v>0</v>
      </c>
      <c r="AF27" s="226">
        <v>0</v>
      </c>
      <c r="AG27" s="226">
        <v>0</v>
      </c>
      <c r="AH27" s="226">
        <v>0</v>
      </c>
      <c r="AI27" s="226">
        <v>0</v>
      </c>
      <c r="AJ27" s="226">
        <v>0</v>
      </c>
      <c r="AK27" s="226">
        <v>0</v>
      </c>
      <c r="AL27" s="226">
        <v>0</v>
      </c>
      <c r="AM27" s="226">
        <v>0</v>
      </c>
      <c r="AN27" s="226">
        <v>0</v>
      </c>
      <c r="AO27" s="226">
        <v>0</v>
      </c>
      <c r="AP27" s="226">
        <v>0</v>
      </c>
      <c r="AR27" s="32">
        <v>0</v>
      </c>
    </row>
    <row r="28" spans="1:44">
      <c r="A28" t="str">
        <f>MLIST!A28</f>
        <v>HVAC</v>
      </c>
      <c r="B28" t="str">
        <f>MLIST!D28</f>
        <v>Advanced Rooftop Controller-NR</v>
      </c>
      <c r="C28" s="227">
        <f>X28*(1-BASE!C28)</f>
        <v>0</v>
      </c>
      <c r="D28" s="227">
        <f>Y28*(1-BASE!D28)</f>
        <v>0</v>
      </c>
      <c r="E28" s="227">
        <f>Z28*(1-BASE!E28)</f>
        <v>0</v>
      </c>
      <c r="F28" s="227">
        <f>AA28*(1-BASE!F28)</f>
        <v>0</v>
      </c>
      <c r="G28" s="227">
        <f>AB28*(1-BASE!G28)</f>
        <v>0</v>
      </c>
      <c r="H28" s="227">
        <f>AC28*(1-BASE!H28)</f>
        <v>0</v>
      </c>
      <c r="I28" s="227">
        <f>AD28*(1-BASE!I28)</f>
        <v>0</v>
      </c>
      <c r="J28" s="227">
        <f>AE28*(1-BASE!J28)</f>
        <v>0</v>
      </c>
      <c r="K28" s="227">
        <f>AF28*(1-BASE!K28)</f>
        <v>0</v>
      </c>
      <c r="L28" s="227">
        <f>AG28*(1-BASE!L28)</f>
        <v>0</v>
      </c>
      <c r="M28" s="227">
        <f>AH28*(1-BASE!M28)</f>
        <v>0</v>
      </c>
      <c r="N28" s="227">
        <f>AI28*(1-BASE!N28)</f>
        <v>0</v>
      </c>
      <c r="O28" s="227">
        <f>AJ28*(1-BASE!O28)</f>
        <v>0</v>
      </c>
      <c r="P28" s="227">
        <f>AK28*(1-BASE!P28)</f>
        <v>0</v>
      </c>
      <c r="Q28" s="227">
        <f>AL28*(1-BASE!Q28)</f>
        <v>0</v>
      </c>
      <c r="R28" s="227">
        <f>AM28*(1-BASE!R28)</f>
        <v>0</v>
      </c>
      <c r="S28" s="227">
        <f>AN28*(1-BASE!S28)</f>
        <v>0</v>
      </c>
      <c r="T28" s="227">
        <f>AO28*(1-BASE!T28)</f>
        <v>0</v>
      </c>
      <c r="V28" s="224"/>
      <c r="X28" s="226">
        <v>0</v>
      </c>
      <c r="Y28" s="226">
        <v>0</v>
      </c>
      <c r="Z28" s="226">
        <v>0</v>
      </c>
      <c r="AA28" s="226">
        <v>0</v>
      </c>
      <c r="AB28" s="226">
        <v>0</v>
      </c>
      <c r="AC28" s="226">
        <v>0</v>
      </c>
      <c r="AD28" s="226">
        <v>0</v>
      </c>
      <c r="AE28" s="226">
        <v>0</v>
      </c>
      <c r="AF28" s="226">
        <v>0</v>
      </c>
      <c r="AG28" s="226">
        <v>0</v>
      </c>
      <c r="AH28" s="226">
        <v>0</v>
      </c>
      <c r="AI28" s="226">
        <v>0</v>
      </c>
      <c r="AJ28" s="226">
        <v>0</v>
      </c>
      <c r="AK28" s="226">
        <v>0</v>
      </c>
      <c r="AL28" s="226">
        <v>0</v>
      </c>
      <c r="AM28" s="226">
        <v>0</v>
      </c>
      <c r="AN28" s="226">
        <v>0</v>
      </c>
      <c r="AO28" s="226">
        <v>0</v>
      </c>
      <c r="AP28" s="226">
        <v>0</v>
      </c>
      <c r="AR28" s="32">
        <v>1</v>
      </c>
    </row>
    <row r="29" spans="1:44">
      <c r="A29" t="str">
        <f>MLIST!A29</f>
        <v>HVAC</v>
      </c>
      <c r="B29" t="str">
        <f>MLIST!D29</f>
        <v>Advanced Rooftop Controller-Retro</v>
      </c>
      <c r="C29" s="227">
        <f>X29*(1-BASE!C29)</f>
        <v>0</v>
      </c>
      <c r="D29" s="227">
        <f>Y29*(1-BASE!D29)</f>
        <v>0</v>
      </c>
      <c r="E29" s="227">
        <f>Z29*(1-BASE!E29)</f>
        <v>0</v>
      </c>
      <c r="F29" s="227">
        <f>AA29*(1-BASE!F29)</f>
        <v>0</v>
      </c>
      <c r="G29" s="227">
        <f>AB29*(1-BASE!G29)</f>
        <v>0</v>
      </c>
      <c r="H29" s="227">
        <f>AC29*(1-BASE!H29)</f>
        <v>0</v>
      </c>
      <c r="I29" s="227">
        <f>AD29*(1-BASE!I29)</f>
        <v>0</v>
      </c>
      <c r="J29" s="227">
        <f>AE29*(1-BASE!J29)</f>
        <v>0</v>
      </c>
      <c r="K29" s="227">
        <f>AF29*(1-BASE!K29)</f>
        <v>0</v>
      </c>
      <c r="L29" s="227">
        <f>AG29*(1-BASE!L29)</f>
        <v>0</v>
      </c>
      <c r="M29" s="227">
        <f>AH29*(1-BASE!M29)</f>
        <v>0</v>
      </c>
      <c r="N29" s="227">
        <f>AI29*(1-BASE!N29)</f>
        <v>0</v>
      </c>
      <c r="O29" s="227">
        <f>AJ29*(1-BASE!O29)</f>
        <v>0</v>
      </c>
      <c r="P29" s="227">
        <f>AK29*(1-BASE!P29)</f>
        <v>0</v>
      </c>
      <c r="Q29" s="227">
        <f>AL29*(1-BASE!Q29)</f>
        <v>0</v>
      </c>
      <c r="R29" s="227">
        <f>AM29*(1-BASE!R29)</f>
        <v>0</v>
      </c>
      <c r="S29" s="227">
        <f>AN29*(1-BASE!S29)</f>
        <v>0</v>
      </c>
      <c r="T29" s="227">
        <f>AO29*(1-BASE!T29)</f>
        <v>0</v>
      </c>
      <c r="V29" s="224"/>
      <c r="X29" s="226">
        <v>0</v>
      </c>
      <c r="Y29" s="226">
        <v>0</v>
      </c>
      <c r="Z29" s="226">
        <v>0</v>
      </c>
      <c r="AA29" s="226">
        <v>0</v>
      </c>
      <c r="AB29" s="226">
        <v>0</v>
      </c>
      <c r="AC29" s="226">
        <v>0</v>
      </c>
      <c r="AD29" s="226">
        <v>0</v>
      </c>
      <c r="AE29" s="226">
        <v>0</v>
      </c>
      <c r="AF29" s="226">
        <v>0</v>
      </c>
      <c r="AG29" s="226">
        <v>0</v>
      </c>
      <c r="AH29" s="226">
        <v>0</v>
      </c>
      <c r="AI29" s="226">
        <v>0</v>
      </c>
      <c r="AJ29" s="226">
        <v>0</v>
      </c>
      <c r="AK29" s="226">
        <v>0</v>
      </c>
      <c r="AL29" s="226">
        <v>0</v>
      </c>
      <c r="AM29" s="226">
        <v>0</v>
      </c>
      <c r="AN29" s="226">
        <v>0</v>
      </c>
      <c r="AO29" s="226">
        <v>0</v>
      </c>
      <c r="AP29" s="226">
        <v>0</v>
      </c>
      <c r="AR29" s="32">
        <v>0</v>
      </c>
    </row>
    <row r="30" spans="1:44">
      <c r="A30" t="str">
        <f>MLIST!A30</f>
        <v>HVAC</v>
      </c>
      <c r="B30" t="str">
        <f>MLIST!D30</f>
        <v>Variable Speed Chiller-New</v>
      </c>
      <c r="C30" s="227">
        <f>X30*(1-BASE!C30)</f>
        <v>0</v>
      </c>
      <c r="D30" s="227">
        <f>Y30*(1-BASE!D30)</f>
        <v>0</v>
      </c>
      <c r="E30" s="227">
        <f>Z30*(1-BASE!E30)</f>
        <v>0</v>
      </c>
      <c r="F30" s="227">
        <f>AA30*(1-BASE!F30)</f>
        <v>0</v>
      </c>
      <c r="G30" s="227">
        <f>AB30*(1-BASE!G30)</f>
        <v>0</v>
      </c>
      <c r="H30" s="227">
        <f>AC30*(1-BASE!H30)</f>
        <v>0</v>
      </c>
      <c r="I30" s="227">
        <f>AD30*(1-BASE!I30)</f>
        <v>0</v>
      </c>
      <c r="J30" s="227">
        <f>AE30*(1-BASE!J30)</f>
        <v>0</v>
      </c>
      <c r="K30" s="227">
        <f>AF30*(1-BASE!K30)</f>
        <v>0</v>
      </c>
      <c r="L30" s="227">
        <f>AG30*(1-BASE!L30)</f>
        <v>0</v>
      </c>
      <c r="M30" s="227">
        <f>AH30*(1-BASE!M30)</f>
        <v>0</v>
      </c>
      <c r="N30" s="227">
        <f>AI30*(1-BASE!N30)</f>
        <v>0</v>
      </c>
      <c r="O30" s="227">
        <f>AJ30*(1-BASE!O30)</f>
        <v>0</v>
      </c>
      <c r="P30" s="227">
        <f>AK30*(1-BASE!P30)</f>
        <v>0</v>
      </c>
      <c r="Q30" s="227">
        <f>AL30*(1-BASE!Q30)</f>
        <v>0</v>
      </c>
      <c r="R30" s="227">
        <f>AM30*(1-BASE!R30)</f>
        <v>0</v>
      </c>
      <c r="S30" s="227">
        <f>AN30*(1-BASE!S30)</f>
        <v>0</v>
      </c>
      <c r="T30" s="227">
        <f>AO30*(1-BASE!T30)</f>
        <v>0</v>
      </c>
      <c r="V30" s="224"/>
      <c r="X30" s="226">
        <v>0</v>
      </c>
      <c r="Y30" s="226">
        <v>0</v>
      </c>
      <c r="Z30" s="226">
        <v>0</v>
      </c>
      <c r="AA30" s="226">
        <v>0</v>
      </c>
      <c r="AB30" s="226">
        <v>0</v>
      </c>
      <c r="AC30" s="226">
        <v>0</v>
      </c>
      <c r="AD30" s="226">
        <v>0</v>
      </c>
      <c r="AE30" s="226">
        <v>0</v>
      </c>
      <c r="AF30" s="226">
        <v>0</v>
      </c>
      <c r="AG30" s="226">
        <v>0</v>
      </c>
      <c r="AH30" s="226">
        <v>0</v>
      </c>
      <c r="AI30" s="226">
        <v>0</v>
      </c>
      <c r="AJ30" s="226">
        <v>0</v>
      </c>
      <c r="AK30" s="226">
        <v>0</v>
      </c>
      <c r="AL30" s="226">
        <v>0</v>
      </c>
      <c r="AM30" s="226">
        <v>0</v>
      </c>
      <c r="AN30" s="226">
        <v>0</v>
      </c>
      <c r="AO30" s="226">
        <v>0</v>
      </c>
      <c r="AP30" s="226">
        <v>0</v>
      </c>
      <c r="AR30" s="32">
        <v>0</v>
      </c>
    </row>
    <row r="31" spans="1:44" s="7" customFormat="1">
      <c r="A31" t="str">
        <f>MLIST!A31</f>
        <v>HVAC</v>
      </c>
      <c r="B31" t="str">
        <f>MLIST!D31</f>
        <v>Variable Speed Chiller-NR</v>
      </c>
      <c r="C31" s="227">
        <f>X31*(1-BASE!C31)</f>
        <v>0</v>
      </c>
      <c r="D31" s="227">
        <f>Y31*(1-BASE!D31)</f>
        <v>0</v>
      </c>
      <c r="E31" s="227">
        <f>Z31*(1-BASE!E31)</f>
        <v>0</v>
      </c>
      <c r="F31" s="227">
        <f>AA31*(1-BASE!F31)</f>
        <v>0</v>
      </c>
      <c r="G31" s="227">
        <f>AB31*(1-BASE!G31)</f>
        <v>0</v>
      </c>
      <c r="H31" s="227">
        <f>AC31*(1-BASE!H31)</f>
        <v>0</v>
      </c>
      <c r="I31" s="227">
        <f>AD31*(1-BASE!I31)</f>
        <v>0</v>
      </c>
      <c r="J31" s="227">
        <f>AE31*(1-BASE!J31)</f>
        <v>0</v>
      </c>
      <c r="K31" s="227">
        <f>AF31*(1-BASE!K31)</f>
        <v>0</v>
      </c>
      <c r="L31" s="227">
        <f>AG31*(1-BASE!L31)</f>
        <v>0</v>
      </c>
      <c r="M31" s="227">
        <f>AH31*(1-BASE!M31)</f>
        <v>0</v>
      </c>
      <c r="N31" s="227">
        <f>AI31*(1-BASE!N31)</f>
        <v>0</v>
      </c>
      <c r="O31" s="227">
        <f>AJ31*(1-BASE!O31)</f>
        <v>0</v>
      </c>
      <c r="P31" s="227">
        <f>AK31*(1-BASE!P31)</f>
        <v>0</v>
      </c>
      <c r="Q31" s="227">
        <f>AL31*(1-BASE!Q31)</f>
        <v>0</v>
      </c>
      <c r="R31" s="227">
        <f>AM31*(1-BASE!R31)</f>
        <v>0</v>
      </c>
      <c r="S31" s="227">
        <f>AN31*(1-BASE!S31)</f>
        <v>0</v>
      </c>
      <c r="T31" s="227">
        <f>AO31*(1-BASE!T31)</f>
        <v>0</v>
      </c>
      <c r="V31" s="225"/>
      <c r="X31" s="226">
        <v>0</v>
      </c>
      <c r="Y31" s="226">
        <v>0</v>
      </c>
      <c r="Z31" s="226">
        <v>0</v>
      </c>
      <c r="AA31" s="226">
        <v>0</v>
      </c>
      <c r="AB31" s="226">
        <v>0</v>
      </c>
      <c r="AC31" s="226">
        <v>0</v>
      </c>
      <c r="AD31" s="226">
        <v>0</v>
      </c>
      <c r="AE31" s="226">
        <v>0</v>
      </c>
      <c r="AF31" s="226">
        <v>0</v>
      </c>
      <c r="AG31" s="226">
        <v>0</v>
      </c>
      <c r="AH31" s="226">
        <v>0</v>
      </c>
      <c r="AI31" s="226">
        <v>0</v>
      </c>
      <c r="AJ31" s="226">
        <v>0</v>
      </c>
      <c r="AK31" s="226">
        <v>0</v>
      </c>
      <c r="AL31" s="226">
        <v>0</v>
      </c>
      <c r="AM31" s="226">
        <v>0</v>
      </c>
      <c r="AN31" s="226">
        <v>0</v>
      </c>
      <c r="AO31" s="226">
        <v>0</v>
      </c>
      <c r="AP31" s="226">
        <v>0</v>
      </c>
      <c r="AR31" s="25">
        <v>0</v>
      </c>
    </row>
    <row r="32" spans="1:44" s="7" customFormat="1">
      <c r="A32" t="str">
        <f>MLIST!A32</f>
        <v>HVAC</v>
      </c>
      <c r="B32" t="str">
        <f>MLIST!D32</f>
        <v>Commercial EM-New</v>
      </c>
      <c r="C32" s="282">
        <f>X32*(1-BASE!C32)</f>
        <v>1</v>
      </c>
      <c r="D32" s="282">
        <f>Y32*(1-BASE!D32)</f>
        <v>1</v>
      </c>
      <c r="E32" s="282">
        <f>Z32*(1-BASE!E32)</f>
        <v>1</v>
      </c>
      <c r="F32" s="282">
        <f>AA32*(1-BASE!F32)</f>
        <v>1</v>
      </c>
      <c r="G32" s="282">
        <f>AB32*(1-BASE!G32)</f>
        <v>1</v>
      </c>
      <c r="H32" s="282">
        <f>AC32*(1-BASE!H32)</f>
        <v>1</v>
      </c>
      <c r="I32" s="282">
        <f>AD32*(1-BASE!I32)</f>
        <v>1</v>
      </c>
      <c r="J32" s="282">
        <f>AE32*(1-BASE!J32)</f>
        <v>1</v>
      </c>
      <c r="K32" s="282">
        <f>AF32*(1-BASE!K32)</f>
        <v>1</v>
      </c>
      <c r="L32" s="282">
        <f>AG32*(1-BASE!L32)</f>
        <v>1</v>
      </c>
      <c r="M32" s="282">
        <f>AH32*(1-BASE!M32)</f>
        <v>1</v>
      </c>
      <c r="N32" s="282">
        <f>AI32*(1-BASE!N32)</f>
        <v>1</v>
      </c>
      <c r="O32" s="282">
        <f>AJ32*(1-BASE!O32)</f>
        <v>1</v>
      </c>
      <c r="P32" s="282">
        <f>AK32*(1-BASE!P32)</f>
        <v>1</v>
      </c>
      <c r="Q32" s="282">
        <f>AL32*(1-BASE!Q32)</f>
        <v>1</v>
      </c>
      <c r="R32" s="282">
        <f>AM32*(1-BASE!R32)</f>
        <v>1</v>
      </c>
      <c r="S32" s="282">
        <f>AN32*(1-BASE!S32)</f>
        <v>1</v>
      </c>
      <c r="T32" s="282">
        <f>AO32*(1-BASE!T32)</f>
        <v>1</v>
      </c>
      <c r="V32" s="225"/>
      <c r="X32" s="276">
        <v>1</v>
      </c>
      <c r="Y32" s="276">
        <v>1</v>
      </c>
      <c r="Z32" s="276">
        <v>1</v>
      </c>
      <c r="AA32" s="276">
        <v>1</v>
      </c>
      <c r="AB32" s="276">
        <v>1</v>
      </c>
      <c r="AC32" s="276">
        <v>1</v>
      </c>
      <c r="AD32" s="276">
        <v>1</v>
      </c>
      <c r="AE32" s="276">
        <v>1</v>
      </c>
      <c r="AF32" s="276">
        <v>1</v>
      </c>
      <c r="AG32" s="276">
        <v>1</v>
      </c>
      <c r="AH32" s="276">
        <v>1</v>
      </c>
      <c r="AI32" s="276">
        <v>1</v>
      </c>
      <c r="AJ32" s="276">
        <v>1</v>
      </c>
      <c r="AK32" s="276">
        <v>1</v>
      </c>
      <c r="AL32" s="276">
        <v>1</v>
      </c>
      <c r="AM32" s="276">
        <v>1</v>
      </c>
      <c r="AN32" s="276">
        <v>1</v>
      </c>
      <c r="AO32" s="276">
        <v>1</v>
      </c>
      <c r="AP32" s="226">
        <v>0</v>
      </c>
      <c r="AR32" s="25">
        <v>1</v>
      </c>
    </row>
    <row r="33" spans="1:44" s="7" customFormat="1">
      <c r="A33" t="str">
        <f>MLIST!A33</f>
        <v>HVAC</v>
      </c>
      <c r="B33" t="str">
        <f>MLIST!D33</f>
        <v>Commercial EM-NR</v>
      </c>
      <c r="C33" s="282">
        <f>X33*(1-BASE!C33)</f>
        <v>1</v>
      </c>
      <c r="D33" s="282">
        <f>Y33*(1-BASE!D33)</f>
        <v>1</v>
      </c>
      <c r="E33" s="282">
        <f>Z33*(1-BASE!E33)</f>
        <v>1</v>
      </c>
      <c r="F33" s="282">
        <f>AA33*(1-BASE!F33)</f>
        <v>1</v>
      </c>
      <c r="G33" s="282">
        <f>AB33*(1-BASE!G33)</f>
        <v>1</v>
      </c>
      <c r="H33" s="282">
        <f>AC33*(1-BASE!H33)</f>
        <v>1</v>
      </c>
      <c r="I33" s="282">
        <f>AD33*(1-BASE!I33)</f>
        <v>1</v>
      </c>
      <c r="J33" s="282">
        <f>AE33*(1-BASE!J33)</f>
        <v>1</v>
      </c>
      <c r="K33" s="282">
        <f>AF33*(1-BASE!K33)</f>
        <v>1</v>
      </c>
      <c r="L33" s="282">
        <f>AG33*(1-BASE!L33)</f>
        <v>1</v>
      </c>
      <c r="M33" s="282">
        <f>AH33*(1-BASE!M33)</f>
        <v>1</v>
      </c>
      <c r="N33" s="282">
        <f>AI33*(1-BASE!N33)</f>
        <v>1</v>
      </c>
      <c r="O33" s="282">
        <f>AJ33*(1-BASE!O33)</f>
        <v>1</v>
      </c>
      <c r="P33" s="282">
        <f>AK33*(1-BASE!P33)</f>
        <v>1</v>
      </c>
      <c r="Q33" s="282">
        <f>AL33*(1-BASE!Q33)</f>
        <v>1</v>
      </c>
      <c r="R33" s="282">
        <f>AM33*(1-BASE!R33)</f>
        <v>1</v>
      </c>
      <c r="S33" s="282">
        <f>AN33*(1-BASE!S33)</f>
        <v>1</v>
      </c>
      <c r="T33" s="282">
        <f>AO33*(1-BASE!T33)</f>
        <v>1</v>
      </c>
      <c r="V33" s="225"/>
      <c r="X33" s="276">
        <v>1</v>
      </c>
      <c r="Y33" s="276">
        <v>1</v>
      </c>
      <c r="Z33" s="276">
        <v>1</v>
      </c>
      <c r="AA33" s="276">
        <v>1</v>
      </c>
      <c r="AB33" s="276">
        <v>1</v>
      </c>
      <c r="AC33" s="276">
        <v>1</v>
      </c>
      <c r="AD33" s="276">
        <v>1</v>
      </c>
      <c r="AE33" s="276">
        <v>1</v>
      </c>
      <c r="AF33" s="276">
        <v>1</v>
      </c>
      <c r="AG33" s="276">
        <v>1</v>
      </c>
      <c r="AH33" s="276">
        <v>1</v>
      </c>
      <c r="AI33" s="276">
        <v>1</v>
      </c>
      <c r="AJ33" s="276">
        <v>1</v>
      </c>
      <c r="AK33" s="276">
        <v>1</v>
      </c>
      <c r="AL33" s="276">
        <v>1</v>
      </c>
      <c r="AM33" s="276">
        <v>1</v>
      </c>
      <c r="AN33" s="276">
        <v>1</v>
      </c>
      <c r="AO33" s="276">
        <v>1</v>
      </c>
      <c r="AP33" s="226">
        <v>0</v>
      </c>
      <c r="AR33" s="25">
        <v>1.4578844468467652E-2</v>
      </c>
    </row>
    <row r="34" spans="1:44" s="7" customFormat="1">
      <c r="A34" t="str">
        <f>MLIST!A34</f>
        <v>HVAC</v>
      </c>
      <c r="B34" t="str">
        <f>MLIST!D34</f>
        <v>Commercial EM-Retro</v>
      </c>
      <c r="C34" s="282">
        <f>X34*(1-BASE!C34)</f>
        <v>0.81420000000000003</v>
      </c>
      <c r="D34" s="282">
        <f>Y34*(1-BASE!D34)</f>
        <v>0.81420000000000003</v>
      </c>
      <c r="E34" s="282">
        <f>Z34*(1-BASE!E34)</f>
        <v>0.81420000000000003</v>
      </c>
      <c r="F34" s="282">
        <f>AA34*(1-BASE!F34)</f>
        <v>0.81420000000000003</v>
      </c>
      <c r="G34" s="282">
        <f>AB34*(1-BASE!G34)</f>
        <v>0.81420000000000003</v>
      </c>
      <c r="H34" s="282">
        <f>AC34*(1-BASE!H34)</f>
        <v>0.81420000000000003</v>
      </c>
      <c r="I34" s="282">
        <f>AD34*(1-BASE!I34)</f>
        <v>0.81420000000000003</v>
      </c>
      <c r="J34" s="282">
        <f>AE34*(1-BASE!J34)</f>
        <v>0.81420000000000003</v>
      </c>
      <c r="K34" s="282">
        <f>AF34*(1-BASE!K34)</f>
        <v>0.81420000000000003</v>
      </c>
      <c r="L34" s="282">
        <f>AG34*(1-BASE!L34)</f>
        <v>0.81420000000000003</v>
      </c>
      <c r="M34" s="282">
        <f>AH34*(1-BASE!M34)</f>
        <v>0.81420000000000003</v>
      </c>
      <c r="N34" s="282">
        <f>AI34*(1-BASE!N34)</f>
        <v>0.81420000000000003</v>
      </c>
      <c r="O34" s="282">
        <f>AJ34*(1-BASE!O34)</f>
        <v>0.81420000000000003</v>
      </c>
      <c r="P34" s="282">
        <f>AK34*(1-BASE!P34)</f>
        <v>0.81420000000000003</v>
      </c>
      <c r="Q34" s="282">
        <f>AL34*(1-BASE!Q34)</f>
        <v>0.81420000000000003</v>
      </c>
      <c r="R34" s="282">
        <f>AM34*(1-BASE!R34)</f>
        <v>0.81420000000000003</v>
      </c>
      <c r="S34" s="282">
        <f>AN34*(1-BASE!S34)</f>
        <v>0.81420000000000003</v>
      </c>
      <c r="T34" s="282">
        <f>AO34*(1-BASE!T34)</f>
        <v>0.81420000000000003</v>
      </c>
      <c r="V34" s="225"/>
      <c r="X34" s="276">
        <v>1</v>
      </c>
      <c r="Y34" s="276">
        <v>1</v>
      </c>
      <c r="Z34" s="276">
        <v>1</v>
      </c>
      <c r="AA34" s="276">
        <v>1</v>
      </c>
      <c r="AB34" s="276">
        <v>1</v>
      </c>
      <c r="AC34" s="276">
        <v>1</v>
      </c>
      <c r="AD34" s="276">
        <v>1</v>
      </c>
      <c r="AE34" s="276">
        <v>1</v>
      </c>
      <c r="AF34" s="276">
        <v>1</v>
      </c>
      <c r="AG34" s="276">
        <v>1</v>
      </c>
      <c r="AH34" s="276">
        <v>1</v>
      </c>
      <c r="AI34" s="276">
        <v>1</v>
      </c>
      <c r="AJ34" s="276">
        <v>1</v>
      </c>
      <c r="AK34" s="276">
        <v>1</v>
      </c>
      <c r="AL34" s="276">
        <v>1</v>
      </c>
      <c r="AM34" s="276">
        <v>1</v>
      </c>
      <c r="AN34" s="276">
        <v>1</v>
      </c>
      <c r="AO34" s="276">
        <v>1</v>
      </c>
      <c r="AP34" s="226">
        <v>0.01</v>
      </c>
      <c r="AQ34" s="25"/>
      <c r="AR34" s="25">
        <v>0</v>
      </c>
    </row>
    <row r="35" spans="1:44" s="7" customFormat="1">
      <c r="A35" t="str">
        <f>MLIST!A35</f>
        <v>HVAC</v>
      </c>
      <c r="B35" s="415" t="str">
        <f>MLIST!D35</f>
        <v>Evaporative Assist Cooling-New</v>
      </c>
      <c r="C35" s="227">
        <f>X35*(1-BASE!C35)</f>
        <v>0</v>
      </c>
      <c r="D35" s="227">
        <f>Y35*(1-BASE!D35)</f>
        <v>0</v>
      </c>
      <c r="E35" s="227">
        <f>Z35*(1-BASE!E35)</f>
        <v>0</v>
      </c>
      <c r="F35" s="227">
        <f>AA35*(1-BASE!F35)</f>
        <v>0</v>
      </c>
      <c r="G35" s="227">
        <f>AB35*(1-BASE!G35)</f>
        <v>0</v>
      </c>
      <c r="H35" s="227">
        <f>AC35*(1-BASE!H35)</f>
        <v>0</v>
      </c>
      <c r="I35" s="227">
        <f>AD35*(1-BASE!I35)</f>
        <v>0</v>
      </c>
      <c r="J35" s="227">
        <f>AE35*(1-BASE!J35)</f>
        <v>0</v>
      </c>
      <c r="K35" s="227">
        <f>AF35*(1-BASE!K35)</f>
        <v>0</v>
      </c>
      <c r="L35" s="227">
        <f>AG35*(1-BASE!L35)</f>
        <v>0</v>
      </c>
      <c r="M35" s="227">
        <f>AH35*(1-BASE!M35)</f>
        <v>0</v>
      </c>
      <c r="N35" s="227">
        <f>AI35*(1-BASE!N35)</f>
        <v>0</v>
      </c>
      <c r="O35" s="227">
        <f>AJ35*(1-BASE!O35)</f>
        <v>0</v>
      </c>
      <c r="P35" s="227">
        <f>AK35*(1-BASE!P35)</f>
        <v>0</v>
      </c>
      <c r="Q35" s="227">
        <f>AL35*(1-BASE!Q35)</f>
        <v>0</v>
      </c>
      <c r="R35" s="227">
        <f>AM35*(1-BASE!R35)</f>
        <v>0</v>
      </c>
      <c r="S35" s="227">
        <f>AN35*(1-BASE!S35)</f>
        <v>0</v>
      </c>
      <c r="T35" s="227">
        <f>AO35*(1-BASE!T35)</f>
        <v>0</v>
      </c>
      <c r="V35" s="225"/>
      <c r="X35" s="226">
        <v>0</v>
      </c>
      <c r="Y35" s="226">
        <v>0</v>
      </c>
      <c r="Z35" s="226">
        <v>0</v>
      </c>
      <c r="AA35" s="226">
        <v>0</v>
      </c>
      <c r="AB35" s="226">
        <v>0</v>
      </c>
      <c r="AC35" s="226">
        <v>0</v>
      </c>
      <c r="AD35" s="226">
        <v>0</v>
      </c>
      <c r="AE35" s="226">
        <v>0</v>
      </c>
      <c r="AF35" s="226">
        <v>0</v>
      </c>
      <c r="AG35" s="226">
        <v>0</v>
      </c>
      <c r="AH35" s="226">
        <v>0</v>
      </c>
      <c r="AI35" s="226">
        <v>0</v>
      </c>
      <c r="AJ35" s="226">
        <v>0</v>
      </c>
      <c r="AK35" s="226">
        <v>0</v>
      </c>
      <c r="AL35" s="226">
        <v>0</v>
      </c>
      <c r="AM35" s="226">
        <v>0</v>
      </c>
      <c r="AN35" s="226">
        <v>0</v>
      </c>
      <c r="AO35" s="226">
        <v>0</v>
      </c>
      <c r="AP35" s="226">
        <v>0</v>
      </c>
      <c r="AQ35" s="25"/>
      <c r="AR35" s="25">
        <v>3.523051634076587E-2</v>
      </c>
    </row>
    <row r="36" spans="1:44" s="7" customFormat="1">
      <c r="A36" t="str">
        <f>MLIST!A36</f>
        <v>HVAC</v>
      </c>
      <c r="B36" s="415" t="str">
        <f>MLIST!D36</f>
        <v>Evaporative Assist Cooling-NR</v>
      </c>
      <c r="C36" s="227">
        <f>X36*(1-BASE!C36)</f>
        <v>0</v>
      </c>
      <c r="D36" s="227">
        <f>Y36*(1-BASE!D36)</f>
        <v>0</v>
      </c>
      <c r="E36" s="227">
        <f>Z36*(1-BASE!E36)</f>
        <v>0</v>
      </c>
      <c r="F36" s="227">
        <f>AA36*(1-BASE!F36)</f>
        <v>0</v>
      </c>
      <c r="G36" s="227">
        <f>AB36*(1-BASE!G36)</f>
        <v>0</v>
      </c>
      <c r="H36" s="227">
        <f>AC36*(1-BASE!H36)</f>
        <v>0</v>
      </c>
      <c r="I36" s="227">
        <f>AD36*(1-BASE!I36)</f>
        <v>0</v>
      </c>
      <c r="J36" s="227">
        <f>AE36*(1-BASE!J36)</f>
        <v>0</v>
      </c>
      <c r="K36" s="227">
        <f>AF36*(1-BASE!K36)</f>
        <v>0</v>
      </c>
      <c r="L36" s="227">
        <f>AG36*(1-BASE!L36)</f>
        <v>0</v>
      </c>
      <c r="M36" s="227">
        <f>AH36*(1-BASE!M36)</f>
        <v>0</v>
      </c>
      <c r="N36" s="227">
        <f>AI36*(1-BASE!N36)</f>
        <v>0</v>
      </c>
      <c r="O36" s="227">
        <f>AJ36*(1-BASE!O36)</f>
        <v>0</v>
      </c>
      <c r="P36" s="227">
        <f>AK36*(1-BASE!P36)</f>
        <v>0</v>
      </c>
      <c r="Q36" s="227">
        <f>AL36*(1-BASE!Q36)</f>
        <v>0</v>
      </c>
      <c r="R36" s="227">
        <f>AM36*(1-BASE!R36)</f>
        <v>0</v>
      </c>
      <c r="S36" s="227">
        <f>AN36*(1-BASE!S36)</f>
        <v>0</v>
      </c>
      <c r="T36" s="227">
        <f>AO36*(1-BASE!T36)</f>
        <v>0</v>
      </c>
      <c r="V36" s="225"/>
      <c r="X36" s="226">
        <v>0</v>
      </c>
      <c r="Y36" s="226">
        <v>0</v>
      </c>
      <c r="Z36" s="226">
        <v>0</v>
      </c>
      <c r="AA36" s="226">
        <v>0</v>
      </c>
      <c r="AB36" s="226">
        <v>0</v>
      </c>
      <c r="AC36" s="226">
        <v>0</v>
      </c>
      <c r="AD36" s="226">
        <v>0</v>
      </c>
      <c r="AE36" s="226">
        <v>0</v>
      </c>
      <c r="AF36" s="226">
        <v>0</v>
      </c>
      <c r="AG36" s="226">
        <v>0</v>
      </c>
      <c r="AH36" s="226">
        <v>0</v>
      </c>
      <c r="AI36" s="226">
        <v>0</v>
      </c>
      <c r="AJ36" s="226">
        <v>0</v>
      </c>
      <c r="AK36" s="226">
        <v>0</v>
      </c>
      <c r="AL36" s="226">
        <v>0</v>
      </c>
      <c r="AM36" s="226">
        <v>0</v>
      </c>
      <c r="AN36" s="226">
        <v>0</v>
      </c>
      <c r="AO36" s="226">
        <v>0</v>
      </c>
      <c r="AP36" s="226">
        <v>0</v>
      </c>
      <c r="AQ36" s="25"/>
      <c r="AR36" s="25">
        <v>0</v>
      </c>
    </row>
    <row r="37" spans="1:44" s="278" customFormat="1">
      <c r="A37" s="218" t="str">
        <f>MLIST!A37</f>
        <v>HVAC</v>
      </c>
      <c r="B37" s="218" t="str">
        <f>MLIST!D37</f>
        <v>Economizer-Retro</v>
      </c>
      <c r="C37" s="282">
        <f>X37*(1-BASE!C37)</f>
        <v>0.37773742662640791</v>
      </c>
      <c r="D37" s="282">
        <f>Y37*(1-BASE!D37)</f>
        <v>0.23826646440482974</v>
      </c>
      <c r="E37" s="282">
        <f>Z37*(1-BASE!E37)</f>
        <v>5.5518884697354179E-2</v>
      </c>
      <c r="F37" s="282">
        <f>AA37*(1-BASE!F37)</f>
        <v>0.35309381104934129</v>
      </c>
      <c r="G37" s="282">
        <f>AB37*(1-BASE!G37)</f>
        <v>0.19907568268653997</v>
      </c>
      <c r="H37" s="282">
        <f>AC37*(1-BASE!H37)</f>
        <v>0.15513670187653161</v>
      </c>
      <c r="I37" s="282">
        <f>AD37*(1-BASE!I37)</f>
        <v>1.0197910929940514E-2</v>
      </c>
      <c r="J37" s="282">
        <f>AE37*(1-BASE!J37)</f>
        <v>0.28088324172086482</v>
      </c>
      <c r="K37" s="282">
        <f>AF37*(1-BASE!K37)</f>
        <v>0.28088324172086482</v>
      </c>
      <c r="L37" s="282">
        <f>AG37*(1-BASE!L37)</f>
        <v>0.11124903795477889</v>
      </c>
      <c r="M37" s="282">
        <f>AH37*(1-BASE!M37)</f>
        <v>0.31360984414443888</v>
      </c>
      <c r="N37" s="282">
        <f>AI37*(1-BASE!N37)</f>
        <v>0.15264480663133839</v>
      </c>
      <c r="O37" s="282">
        <f>AJ37*(1-BASE!O37)</f>
        <v>0.24652213025227437</v>
      </c>
      <c r="P37" s="282">
        <f>AK37*(1-BASE!P37)</f>
        <v>7.8175735111402314E-2</v>
      </c>
      <c r="Q37" s="282">
        <f>AL37*(1-BASE!Q37)</f>
        <v>0.34124133606352913</v>
      </c>
      <c r="R37" s="282">
        <f>AM37*(1-BASE!R37)</f>
        <v>5.9048454739110051E-2</v>
      </c>
      <c r="S37" s="282">
        <f>AN37*(1-BASE!S37)</f>
        <v>0.29894926354357898</v>
      </c>
      <c r="T37" s="282">
        <f>AO37*(1-BASE!T37)</f>
        <v>0.31491070071894045</v>
      </c>
      <c r="X37" s="276">
        <f>CHAR!C89</f>
        <v>0.62956237771067991</v>
      </c>
      <c r="Y37" s="276">
        <f>CHAR!D89</f>
        <v>0.31768861920643965</v>
      </c>
      <c r="Z37" s="276">
        <f>CHAR!E89</f>
        <v>7.4025179596472243E-2</v>
      </c>
      <c r="AA37" s="276">
        <f>CHAR!F89</f>
        <v>0.58848968508223554</v>
      </c>
      <c r="AB37" s="276">
        <f>CHAR!G89</f>
        <v>0.26543424358205331</v>
      </c>
      <c r="AC37" s="276">
        <f>CHAR!H89</f>
        <v>0.20684893583537547</v>
      </c>
      <c r="AD37" s="276">
        <f>CHAR!I89</f>
        <v>1.359721457325402E-2</v>
      </c>
      <c r="AE37" s="276">
        <f>CHAR!J89</f>
        <v>0.46813873620144136</v>
      </c>
      <c r="AF37" s="276">
        <f>CHAR!K89</f>
        <v>0.46813873620144136</v>
      </c>
      <c r="AG37" s="276">
        <f>CHAR!L89</f>
        <v>0.14833205060637186</v>
      </c>
      <c r="AH37" s="276">
        <f>CHAR!M89</f>
        <v>0.52268307357406485</v>
      </c>
      <c r="AI37" s="276">
        <f>CHAR!N89</f>
        <v>0.20352640884178452</v>
      </c>
      <c r="AJ37" s="276">
        <f>CHAR!O89</f>
        <v>0.32869617366969917</v>
      </c>
      <c r="AK37" s="276">
        <f>CHAR!P89</f>
        <v>0.10423431348186975</v>
      </c>
      <c r="AL37" s="276">
        <f>CHAR!Q89</f>
        <v>0.56873556010588189</v>
      </c>
      <c r="AM37" s="276">
        <f>CHAR!R89</f>
        <v>7.8731272985480064E-2</v>
      </c>
      <c r="AN37" s="276">
        <f>CHAR!S89</f>
        <v>0.39859901805810533</v>
      </c>
      <c r="AO37" s="276">
        <f>CHAR!T89</f>
        <v>0.41988093429192064</v>
      </c>
      <c r="AP37" s="276">
        <v>0</v>
      </c>
      <c r="AQ37" s="267"/>
      <c r="AR37" s="267">
        <v>1</v>
      </c>
    </row>
    <row r="38" spans="1:44" s="7" customFormat="1">
      <c r="A38" t="str">
        <f>MLIST!A38</f>
        <v>HVAC</v>
      </c>
      <c r="B38" t="str">
        <f>MLIST!D38</f>
        <v>Demand Control Ventilation-New</v>
      </c>
      <c r="C38" s="227">
        <f>X38*(1-BASE!C38)</f>
        <v>0</v>
      </c>
      <c r="D38" s="227">
        <f>Y38*(1-BASE!D38)</f>
        <v>0</v>
      </c>
      <c r="E38" s="227">
        <f>Z38*(1-BASE!E38)</f>
        <v>0</v>
      </c>
      <c r="F38" s="227">
        <f>AA38*(1-BASE!F38)</f>
        <v>0</v>
      </c>
      <c r="G38" s="227">
        <f>AB38*(1-BASE!G38)</f>
        <v>0</v>
      </c>
      <c r="H38" s="227">
        <f>AC38*(1-BASE!H38)</f>
        <v>0</v>
      </c>
      <c r="I38" s="227">
        <f>AD38*(1-BASE!I38)</f>
        <v>0</v>
      </c>
      <c r="J38" s="227">
        <f>AE38*(1-BASE!J38)</f>
        <v>0</v>
      </c>
      <c r="K38" s="227">
        <f>AF38*(1-BASE!K38)</f>
        <v>0</v>
      </c>
      <c r="L38" s="227">
        <f>AG38*(1-BASE!L38)</f>
        <v>0</v>
      </c>
      <c r="M38" s="227">
        <f>AH38*(1-BASE!M38)</f>
        <v>0</v>
      </c>
      <c r="N38" s="227">
        <f>AI38*(1-BASE!N38)</f>
        <v>0</v>
      </c>
      <c r="O38" s="227">
        <f>AJ38*(1-BASE!O38)</f>
        <v>0</v>
      </c>
      <c r="P38" s="227">
        <f>AK38*(1-BASE!P38)</f>
        <v>0</v>
      </c>
      <c r="Q38" s="227">
        <f>AL38*(1-BASE!Q38)</f>
        <v>0</v>
      </c>
      <c r="R38" s="227">
        <f>AM38*(1-BASE!R38)</f>
        <v>0</v>
      </c>
      <c r="S38" s="227">
        <f>AN38*(1-BASE!S38)</f>
        <v>0</v>
      </c>
      <c r="T38" s="227">
        <f>AO38*(1-BASE!T38)</f>
        <v>0</v>
      </c>
      <c r="V38" s="225"/>
      <c r="X38" s="226">
        <v>0</v>
      </c>
      <c r="Y38" s="226">
        <v>0</v>
      </c>
      <c r="Z38" s="226">
        <v>0</v>
      </c>
      <c r="AA38" s="226">
        <v>0</v>
      </c>
      <c r="AB38" s="226">
        <v>0</v>
      </c>
      <c r="AC38" s="226">
        <v>0</v>
      </c>
      <c r="AD38" s="226">
        <v>0</v>
      </c>
      <c r="AE38" s="226">
        <v>0</v>
      </c>
      <c r="AF38" s="226">
        <v>0</v>
      </c>
      <c r="AG38" s="226">
        <v>0</v>
      </c>
      <c r="AH38" s="226">
        <v>0</v>
      </c>
      <c r="AI38" s="226">
        <v>0</v>
      </c>
      <c r="AJ38" s="226">
        <v>0</v>
      </c>
      <c r="AK38" s="226">
        <v>0</v>
      </c>
      <c r="AL38" s="226">
        <v>0</v>
      </c>
      <c r="AM38" s="226">
        <v>0</v>
      </c>
      <c r="AN38" s="226">
        <v>0</v>
      </c>
      <c r="AO38" s="226">
        <v>0</v>
      </c>
      <c r="AP38" s="226">
        <v>0</v>
      </c>
      <c r="AQ38" s="25"/>
      <c r="AR38" s="25">
        <v>0.51802836477288372</v>
      </c>
    </row>
    <row r="39" spans="1:44">
      <c r="A39" t="str">
        <f>MLIST!A39</f>
        <v>HVAC</v>
      </c>
      <c r="B39" t="str">
        <f>MLIST!D39</f>
        <v>Demand Control Ventilation-NR</v>
      </c>
      <c r="C39" s="227">
        <f>X39*(1-BASE!C39)</f>
        <v>0</v>
      </c>
      <c r="D39" s="227">
        <f>Y39*(1-BASE!D39)</f>
        <v>0</v>
      </c>
      <c r="E39" s="227">
        <f>Z39*(1-BASE!E39)</f>
        <v>0</v>
      </c>
      <c r="F39" s="227">
        <f>AA39*(1-BASE!F39)</f>
        <v>0</v>
      </c>
      <c r="G39" s="227">
        <f>AB39*(1-BASE!G39)</f>
        <v>0</v>
      </c>
      <c r="H39" s="227">
        <f>AC39*(1-BASE!H39)</f>
        <v>0</v>
      </c>
      <c r="I39" s="227">
        <f>AD39*(1-BASE!I39)</f>
        <v>0</v>
      </c>
      <c r="J39" s="227">
        <f>AE39*(1-BASE!J39)</f>
        <v>0</v>
      </c>
      <c r="K39" s="227">
        <f>AF39*(1-BASE!K39)</f>
        <v>0</v>
      </c>
      <c r="L39" s="227">
        <f>AG39*(1-BASE!L39)</f>
        <v>0</v>
      </c>
      <c r="M39" s="227">
        <f>AH39*(1-BASE!M39)</f>
        <v>0</v>
      </c>
      <c r="N39" s="227">
        <f>AI39*(1-BASE!N39)</f>
        <v>0</v>
      </c>
      <c r="O39" s="227">
        <f>AJ39*(1-BASE!O39)</f>
        <v>0</v>
      </c>
      <c r="P39" s="227">
        <f>AK39*(1-BASE!P39)</f>
        <v>0</v>
      </c>
      <c r="Q39" s="227">
        <f>AL39*(1-BASE!Q39)</f>
        <v>0</v>
      </c>
      <c r="R39" s="227">
        <f>AM39*(1-BASE!R39)</f>
        <v>0</v>
      </c>
      <c r="S39" s="227">
        <f>AN39*(1-BASE!S39)</f>
        <v>0</v>
      </c>
      <c r="T39" s="227">
        <f>AO39*(1-BASE!T39)</f>
        <v>0</v>
      </c>
      <c r="V39" s="225"/>
      <c r="X39" s="226">
        <v>0</v>
      </c>
      <c r="Y39" s="226">
        <v>0</v>
      </c>
      <c r="Z39" s="226">
        <v>0</v>
      </c>
      <c r="AA39" s="226">
        <v>0</v>
      </c>
      <c r="AB39" s="226">
        <v>0</v>
      </c>
      <c r="AC39" s="226">
        <v>0</v>
      </c>
      <c r="AD39" s="226">
        <v>0</v>
      </c>
      <c r="AE39" s="226">
        <v>0</v>
      </c>
      <c r="AF39" s="226">
        <v>0</v>
      </c>
      <c r="AG39" s="226">
        <v>0</v>
      </c>
      <c r="AH39" s="226">
        <v>0</v>
      </c>
      <c r="AI39" s="226">
        <v>0</v>
      </c>
      <c r="AJ39" s="226">
        <v>0</v>
      </c>
      <c r="AK39" s="226">
        <v>0</v>
      </c>
      <c r="AL39" s="226">
        <v>0</v>
      </c>
      <c r="AM39" s="226">
        <v>0</v>
      </c>
      <c r="AN39" s="226">
        <v>0</v>
      </c>
      <c r="AO39" s="226">
        <v>0</v>
      </c>
      <c r="AP39" s="226">
        <v>0</v>
      </c>
      <c r="AQ39" s="32"/>
      <c r="AR39" s="32">
        <v>4.738035107666288E-3</v>
      </c>
    </row>
    <row r="40" spans="1:44">
      <c r="A40" t="str">
        <f>MLIST!A40</f>
        <v>HVAC</v>
      </c>
      <c r="B40" t="str">
        <f>MLIST!D40</f>
        <v>Demand Control Ventilation-Retro</v>
      </c>
      <c r="C40" s="528">
        <f>X40*(1-BASE!C40)</f>
        <v>0.10326972741610822</v>
      </c>
      <c r="D40" s="528">
        <f>Y40*(1-BASE!D40)</f>
        <v>0.62207382538606792</v>
      </c>
      <c r="E40" s="528">
        <f>Z40*(1-BASE!E40)</f>
        <v>0.71764122486097937</v>
      </c>
      <c r="F40" s="528">
        <f>AA40*(1-BASE!F40)</f>
        <v>0.64936643170170361</v>
      </c>
      <c r="G40" s="528">
        <f>AB40*(1-BASE!G40)</f>
        <v>0.3754791340852166</v>
      </c>
      <c r="H40" s="528">
        <f>AC40*(1-BASE!H40)</f>
        <v>0.51861578363233451</v>
      </c>
      <c r="I40" s="528">
        <f>AD40*(1-BASE!I40)</f>
        <v>0.4224831216091387</v>
      </c>
      <c r="J40" s="528">
        <f>AE40*(1-BASE!J40)</f>
        <v>0.32307857163168779</v>
      </c>
      <c r="K40" s="528">
        <f>AF40*(1-BASE!K40)</f>
        <v>0.19213044434378573</v>
      </c>
      <c r="L40" s="528">
        <f>AG40*(1-BASE!L40)</f>
        <v>0.21144946069810441</v>
      </c>
      <c r="M40" s="528">
        <f>AH40*(1-BASE!M40)</f>
        <v>0.43390558040018462</v>
      </c>
      <c r="N40" s="528">
        <f>AI40*(1-BASE!N40)</f>
        <v>0.57499869036077145</v>
      </c>
      <c r="O40" s="528">
        <f>AJ40*(1-BASE!O40)</f>
        <v>0.45018285377424883</v>
      </c>
      <c r="P40" s="528">
        <f>AK40*(1-BASE!P40)</f>
        <v>0.24208313482049432</v>
      </c>
      <c r="Q40" s="528">
        <f>AL40*(1-BASE!Q40)</f>
        <v>0.12663145344947355</v>
      </c>
      <c r="R40" s="528">
        <f>AM40*(1-BASE!R40)</f>
        <v>0.3226231781527627</v>
      </c>
      <c r="S40" s="528">
        <f>AN40*(1-BASE!S40)</f>
        <v>0.47074543668218816</v>
      </c>
      <c r="T40" s="528">
        <f>AO40*(1-BASE!T40)</f>
        <v>0.34671695238562511</v>
      </c>
      <c r="V40" s="224"/>
      <c r="X40" s="529">
        <v>0.14631137601011796</v>
      </c>
      <c r="Y40" s="529">
        <v>0.74589661920231454</v>
      </c>
      <c r="Z40" s="529">
        <v>0.73509055744892704</v>
      </c>
      <c r="AA40" s="529">
        <v>0.83574312563810227</v>
      </c>
      <c r="AB40" s="529">
        <v>0.46783892446991926</v>
      </c>
      <c r="AC40" s="6">
        <v>0.54177151125755074</v>
      </c>
      <c r="AD40" s="6">
        <v>0.42830690246516329</v>
      </c>
      <c r="AE40" s="282">
        <v>0.47977138768081973</v>
      </c>
      <c r="AF40" s="529">
        <v>0.22243214407199474</v>
      </c>
      <c r="AG40" s="529">
        <v>0.240779345257396</v>
      </c>
      <c r="AH40" s="529">
        <v>0.44053256439563659</v>
      </c>
      <c r="AI40" s="529">
        <v>0.66642525249308782</v>
      </c>
      <c r="AJ40" s="529">
        <v>0.5217340520637288</v>
      </c>
      <c r="AK40" s="529">
        <v>0.25167846767074081</v>
      </c>
      <c r="AL40" s="529">
        <v>0.14660303209063197</v>
      </c>
      <c r="AM40" s="529">
        <v>0.35546114005701851</v>
      </c>
      <c r="AN40" s="529">
        <v>0.60709126888405673</v>
      </c>
      <c r="AO40" s="529">
        <v>0.4806762065224407</v>
      </c>
      <c r="AP40" s="529">
        <v>0.48959810561636635</v>
      </c>
      <c r="AQ40" s="277" t="s">
        <v>971</v>
      </c>
      <c r="AR40" s="32">
        <v>0</v>
      </c>
    </row>
    <row r="41" spans="1:44" s="218" customFormat="1">
      <c r="A41" s="218" t="str">
        <f>MLIST!A41</f>
        <v>HVAC</v>
      </c>
      <c r="B41" t="str">
        <f>MLIST!D41</f>
        <v>Premium Fume Hood-NR</v>
      </c>
      <c r="C41" s="282">
        <f>X41*(1-BASE!C41)</f>
        <v>0</v>
      </c>
      <c r="D41" s="282">
        <f>Y41*(1-BASE!D41)</f>
        <v>0</v>
      </c>
      <c r="E41" s="282">
        <f>Z41*(1-BASE!E41)</f>
        <v>0</v>
      </c>
      <c r="F41" s="282">
        <f>AA41*(1-BASE!F41)</f>
        <v>0</v>
      </c>
      <c r="G41" s="282">
        <f>AB41*(1-BASE!G41)</f>
        <v>0</v>
      </c>
      <c r="H41" s="282">
        <f>AC41*(1-BASE!H41)</f>
        <v>0</v>
      </c>
      <c r="I41" s="282">
        <f>AD41*(1-BASE!I41)</f>
        <v>0</v>
      </c>
      <c r="J41" s="282">
        <f>AE41*(1-BASE!J41)</f>
        <v>0</v>
      </c>
      <c r="K41" s="282">
        <f>AF41*(1-BASE!K41)</f>
        <v>0</v>
      </c>
      <c r="L41" s="282">
        <f>AG41*(1-BASE!L41)</f>
        <v>0</v>
      </c>
      <c r="M41" s="282">
        <f>AH41*(1-BASE!M41)</f>
        <v>0</v>
      </c>
      <c r="N41" s="282">
        <f>AI41*(1-BASE!N41)</f>
        <v>0</v>
      </c>
      <c r="O41" s="282">
        <f>AJ41*(1-BASE!O41)</f>
        <v>0</v>
      </c>
      <c r="P41" s="282">
        <f>AK41*(1-BASE!P41)</f>
        <v>0</v>
      </c>
      <c r="Q41" s="282">
        <f>AL41*(1-BASE!Q41)</f>
        <v>0</v>
      </c>
      <c r="R41" s="282">
        <f>AM41*(1-BASE!R41)</f>
        <v>0</v>
      </c>
      <c r="S41" s="282">
        <f>AN41*(1-BASE!S41)</f>
        <v>0</v>
      </c>
      <c r="T41" s="282">
        <f>AO41*(1-BASE!T41)</f>
        <v>0</v>
      </c>
      <c r="U41" s="273">
        <f>AP41*(1-BASE!U41)</f>
        <v>0.9</v>
      </c>
      <c r="X41" s="276">
        <v>0</v>
      </c>
      <c r="Y41" s="276">
        <v>0</v>
      </c>
      <c r="Z41" s="276">
        <v>0</v>
      </c>
      <c r="AA41" s="276">
        <v>0</v>
      </c>
      <c r="AB41" s="276">
        <v>0</v>
      </c>
      <c r="AC41" s="276">
        <v>0</v>
      </c>
      <c r="AD41" s="276">
        <v>0</v>
      </c>
      <c r="AE41" s="276">
        <v>0</v>
      </c>
      <c r="AF41" s="276">
        <v>0</v>
      </c>
      <c r="AG41" s="276">
        <v>0</v>
      </c>
      <c r="AH41" s="276">
        <v>0</v>
      </c>
      <c r="AI41" s="276">
        <v>0</v>
      </c>
      <c r="AJ41" s="276">
        <v>0</v>
      </c>
      <c r="AK41" s="276">
        <v>0</v>
      </c>
      <c r="AL41" s="276">
        <v>0</v>
      </c>
      <c r="AM41" s="276">
        <v>0</v>
      </c>
      <c r="AN41" s="276">
        <v>0</v>
      </c>
      <c r="AO41" s="276">
        <v>0</v>
      </c>
      <c r="AP41" s="276">
        <v>1</v>
      </c>
      <c r="AQ41" s="277"/>
      <c r="AR41" s="277">
        <v>4.9345201334677321E-3</v>
      </c>
    </row>
    <row r="42" spans="1:44" s="278" customFormat="1">
      <c r="A42" s="218" t="str">
        <f>MLIST!A42</f>
        <v>HVAC</v>
      </c>
      <c r="B42" s="218" t="str">
        <f>MLIST!D42</f>
        <v>DCV Restaurant Hood-Retro</v>
      </c>
      <c r="C42" s="282">
        <f>X42*(1-BASE!C42)</f>
        <v>0</v>
      </c>
      <c r="D42" s="282">
        <f>Y42*(1-BASE!D42)</f>
        <v>0</v>
      </c>
      <c r="E42" s="282">
        <f>Z42*(1-BASE!E42)</f>
        <v>0</v>
      </c>
      <c r="F42" s="282">
        <f>AA42*(1-BASE!F42)</f>
        <v>0</v>
      </c>
      <c r="G42" s="282">
        <f>AB42*(1-BASE!G42)</f>
        <v>0</v>
      </c>
      <c r="H42" s="282">
        <f>AC42*(1-BASE!H42)</f>
        <v>0</v>
      </c>
      <c r="I42" s="282">
        <f>AD42*(1-BASE!I42)</f>
        <v>0</v>
      </c>
      <c r="J42" s="282">
        <f>AE42*(1-BASE!J42)</f>
        <v>0</v>
      </c>
      <c r="K42" s="282">
        <f>AF42*(1-BASE!K42)</f>
        <v>0</v>
      </c>
      <c r="L42" s="282">
        <f>AG42*(1-BASE!L42)</f>
        <v>0</v>
      </c>
      <c r="M42" s="282">
        <f>AH42*(1-BASE!M42)</f>
        <v>0</v>
      </c>
      <c r="N42" s="282">
        <f>AI42*(1-BASE!N42)</f>
        <v>0</v>
      </c>
      <c r="O42" s="282">
        <f>AJ42*(1-BASE!O42)</f>
        <v>0</v>
      </c>
      <c r="P42" s="282">
        <f>AK42*(1-BASE!P42)</f>
        <v>0</v>
      </c>
      <c r="Q42" s="282">
        <f>AL42*(1-BASE!Q42)</f>
        <v>0</v>
      </c>
      <c r="R42" s="282">
        <f>AM42*(1-BASE!R42)</f>
        <v>0</v>
      </c>
      <c r="S42" s="282">
        <f>AN42*(1-BASE!S42)</f>
        <v>0</v>
      </c>
      <c r="T42" s="282">
        <f>AO42*(1-BASE!T42)</f>
        <v>0</v>
      </c>
      <c r="X42" s="276">
        <v>0</v>
      </c>
      <c r="Y42" s="276">
        <v>0</v>
      </c>
      <c r="Z42" s="276">
        <v>0</v>
      </c>
      <c r="AA42" s="276">
        <v>0</v>
      </c>
      <c r="AB42" s="276">
        <v>0</v>
      </c>
      <c r="AC42" s="276">
        <v>0</v>
      </c>
      <c r="AD42" s="276">
        <v>0</v>
      </c>
      <c r="AE42" s="276">
        <v>0</v>
      </c>
      <c r="AF42" s="276">
        <v>0</v>
      </c>
      <c r="AG42" s="276">
        <v>0</v>
      </c>
      <c r="AH42" s="276">
        <v>0</v>
      </c>
      <c r="AI42" s="276">
        <v>0</v>
      </c>
      <c r="AJ42" s="276">
        <v>0</v>
      </c>
      <c r="AK42" s="276">
        <v>0</v>
      </c>
      <c r="AL42" s="276">
        <v>0</v>
      </c>
      <c r="AM42" s="276">
        <v>0</v>
      </c>
      <c r="AN42" s="276">
        <v>0</v>
      </c>
      <c r="AO42" s="276">
        <v>0</v>
      </c>
      <c r="AP42" s="276"/>
      <c r="AQ42" s="267"/>
      <c r="AR42" s="267">
        <v>3.9136333877381378E-2</v>
      </c>
    </row>
    <row r="43" spans="1:44" s="7" customFormat="1">
      <c r="A43" t="str">
        <f>MLIST!A43</f>
        <v>HVAC</v>
      </c>
      <c r="B43" t="str">
        <f>MLIST!D43</f>
        <v>DCV Parking Garage-Retro</v>
      </c>
      <c r="C43" s="227">
        <f>X43*(1-BASE!C43)</f>
        <v>0</v>
      </c>
      <c r="D43" s="227">
        <f>Y43*(1-BASE!D43)</f>
        <v>0</v>
      </c>
      <c r="E43" s="227">
        <f>Z43*(1-BASE!E43)</f>
        <v>0</v>
      </c>
      <c r="F43" s="227">
        <f>AA43*(1-BASE!F43)</f>
        <v>0</v>
      </c>
      <c r="G43" s="227">
        <f>AB43*(1-BASE!G43)</f>
        <v>0</v>
      </c>
      <c r="H43" s="227">
        <f>AC43*(1-BASE!H43)</f>
        <v>0</v>
      </c>
      <c r="I43" s="227">
        <f>AD43*(1-BASE!I43)</f>
        <v>0</v>
      </c>
      <c r="J43" s="227">
        <f>AE43*(1-BASE!J43)</f>
        <v>0</v>
      </c>
      <c r="K43" s="227">
        <f>AF43*(1-BASE!K43)</f>
        <v>0</v>
      </c>
      <c r="L43" s="227">
        <f>AG43*(1-BASE!L43)</f>
        <v>0</v>
      </c>
      <c r="M43" s="227">
        <f>AH43*(1-BASE!M43)</f>
        <v>0</v>
      </c>
      <c r="N43" s="227">
        <f>AI43*(1-BASE!N43)</f>
        <v>0</v>
      </c>
      <c r="O43" s="227">
        <f>AJ43*(1-BASE!O43)</f>
        <v>0</v>
      </c>
      <c r="P43" s="227">
        <f>AK43*(1-BASE!P43)</f>
        <v>0</v>
      </c>
      <c r="Q43" s="227">
        <f>AL43*(1-BASE!Q43)</f>
        <v>0</v>
      </c>
      <c r="R43" s="227">
        <f>AM43*(1-BASE!R43)</f>
        <v>0</v>
      </c>
      <c r="S43" s="227">
        <f>AN43*(1-BASE!S43)</f>
        <v>0</v>
      </c>
      <c r="T43" s="227">
        <f>AO43*(1-BASE!T43)</f>
        <v>0</v>
      </c>
      <c r="V43" s="225"/>
      <c r="X43" s="226">
        <v>0</v>
      </c>
      <c r="Y43" s="226">
        <v>0</v>
      </c>
      <c r="Z43" s="226">
        <v>0</v>
      </c>
      <c r="AA43" s="226">
        <v>0</v>
      </c>
      <c r="AB43" s="226">
        <v>0</v>
      </c>
      <c r="AC43" s="226">
        <v>0</v>
      </c>
      <c r="AD43" s="226">
        <v>0</v>
      </c>
      <c r="AE43" s="226">
        <v>0</v>
      </c>
      <c r="AF43" s="226">
        <v>0</v>
      </c>
      <c r="AG43" s="226">
        <v>0</v>
      </c>
      <c r="AH43" s="226">
        <v>0</v>
      </c>
      <c r="AI43" s="226">
        <v>0</v>
      </c>
      <c r="AJ43" s="226">
        <v>0</v>
      </c>
      <c r="AK43" s="226">
        <v>0</v>
      </c>
      <c r="AL43" s="226">
        <v>0</v>
      </c>
      <c r="AM43" s="226">
        <v>0</v>
      </c>
      <c r="AN43" s="226">
        <v>0</v>
      </c>
      <c r="AO43" s="226">
        <v>0</v>
      </c>
      <c r="AP43" s="226">
        <v>0</v>
      </c>
      <c r="AQ43" s="25"/>
      <c r="AR43" s="25">
        <v>8.2412585873646096E-2</v>
      </c>
    </row>
    <row r="44" spans="1:44" s="7" customFormat="1">
      <c r="A44" t="str">
        <f>MLIST!A44</f>
        <v>HVAC</v>
      </c>
      <c r="B44" t="str">
        <f>MLIST!D44</f>
        <v>Weatherization - School-Retro</v>
      </c>
      <c r="C44" s="227">
        <f>X44*(1-BASE!C44)</f>
        <v>0.01</v>
      </c>
      <c r="D44" s="227">
        <f>Y44*(1-BASE!D44)</f>
        <v>0.01</v>
      </c>
      <c r="E44" s="227">
        <f>Z44*(1-BASE!E44)</f>
        <v>0.01</v>
      </c>
      <c r="F44" s="227">
        <f>AA44*(1-BASE!F44)</f>
        <v>0.01</v>
      </c>
      <c r="G44" s="227">
        <f>AB44*(1-BASE!G44)</f>
        <v>0.01</v>
      </c>
      <c r="H44" s="227">
        <f>AC44*(1-BASE!H44)</f>
        <v>0.01</v>
      </c>
      <c r="I44" s="227">
        <f>AD44*(1-BASE!I44)</f>
        <v>0.01</v>
      </c>
      <c r="J44" s="227">
        <f>AE44*(1-BASE!J44)</f>
        <v>0.01</v>
      </c>
      <c r="K44" s="227">
        <f>AF44*(1-BASE!K44)</f>
        <v>0.01</v>
      </c>
      <c r="L44" s="227">
        <f>AG44*(1-BASE!L44)</f>
        <v>0.01</v>
      </c>
      <c r="M44" s="227">
        <f>AH44*(1-BASE!M44)</f>
        <v>0.01</v>
      </c>
      <c r="N44" s="227">
        <f>AI44*(1-BASE!N44)</f>
        <v>0.01</v>
      </c>
      <c r="O44" s="227">
        <f>AJ44*(1-BASE!O44)</f>
        <v>0.01</v>
      </c>
      <c r="P44" s="227">
        <f>AK44*(1-BASE!P44)</f>
        <v>0.01</v>
      </c>
      <c r="Q44" s="227">
        <f>AL44*(1-BASE!Q44)</f>
        <v>0.01</v>
      </c>
      <c r="R44" s="227">
        <f>AM44*(1-BASE!R44)</f>
        <v>0.01</v>
      </c>
      <c r="S44" s="227">
        <f>AN44*(1-BASE!S44)</f>
        <v>0.01</v>
      </c>
      <c r="T44" s="227">
        <f>AO44*(1-BASE!T44)</f>
        <v>0.01</v>
      </c>
      <c r="V44" s="225"/>
      <c r="X44" s="226">
        <v>0.01</v>
      </c>
      <c r="Y44" s="226">
        <v>0.01</v>
      </c>
      <c r="Z44" s="226">
        <v>0.01</v>
      </c>
      <c r="AA44" s="226">
        <v>0.01</v>
      </c>
      <c r="AB44" s="226">
        <v>0.01</v>
      </c>
      <c r="AC44" s="226">
        <v>0.01</v>
      </c>
      <c r="AD44" s="226">
        <v>0.01</v>
      </c>
      <c r="AE44" s="226">
        <v>0.01</v>
      </c>
      <c r="AF44" s="226">
        <v>0.01</v>
      </c>
      <c r="AG44" s="226">
        <v>0.01</v>
      </c>
      <c r="AH44" s="226">
        <v>0.01</v>
      </c>
      <c r="AI44" s="226">
        <v>0.01</v>
      </c>
      <c r="AJ44" s="226">
        <v>0.01</v>
      </c>
      <c r="AK44" s="226">
        <v>0.01</v>
      </c>
      <c r="AL44" s="226">
        <v>0.01</v>
      </c>
      <c r="AM44" s="226">
        <v>0.01</v>
      </c>
      <c r="AN44" s="226">
        <v>0.01</v>
      </c>
      <c r="AO44" s="226">
        <v>0.01</v>
      </c>
      <c r="AP44" s="226">
        <v>0.01</v>
      </c>
      <c r="AQ44" s="25"/>
    </row>
    <row r="45" spans="1:44" s="7" customFormat="1">
      <c r="A45" t="str">
        <f>MLIST!A45</f>
        <v>HVAC</v>
      </c>
      <c r="B45" s="218" t="str">
        <f>MLIST!D45</f>
        <v>Energy Recovery Ventilator-NR</v>
      </c>
      <c r="C45" s="227">
        <f>X45*(1-BASE!C45)</f>
        <v>0.01</v>
      </c>
      <c r="D45" s="227">
        <f>Y45*(1-BASE!D45)</f>
        <v>0.01</v>
      </c>
      <c r="E45" s="227">
        <f>Z45*(1-BASE!E45)</f>
        <v>0.01</v>
      </c>
      <c r="F45" s="227">
        <f>AA45*(1-BASE!F45)</f>
        <v>0.01</v>
      </c>
      <c r="G45" s="227">
        <f>AB45*(1-BASE!G45)</f>
        <v>0.01</v>
      </c>
      <c r="H45" s="227">
        <f>AC45*(1-BASE!H45)</f>
        <v>0.01</v>
      </c>
      <c r="I45" s="227">
        <f>AD45*(1-BASE!I45)</f>
        <v>0.01</v>
      </c>
      <c r="J45" s="227">
        <f>AE45*(1-BASE!J45)</f>
        <v>0.01</v>
      </c>
      <c r="K45" s="227">
        <f>AF45*(1-BASE!K45)</f>
        <v>0.01</v>
      </c>
      <c r="L45" s="227">
        <f>AG45*(1-BASE!L45)</f>
        <v>0.01</v>
      </c>
      <c r="M45" s="227">
        <f>AH45*(1-BASE!M45)</f>
        <v>0.01</v>
      </c>
      <c r="N45" s="227">
        <f>AI45*(1-BASE!N45)</f>
        <v>0.01</v>
      </c>
      <c r="O45" s="227">
        <f>AJ45*(1-BASE!O45)</f>
        <v>0.01</v>
      </c>
      <c r="P45" s="227">
        <f>AK45*(1-BASE!P45)</f>
        <v>0.01</v>
      </c>
      <c r="Q45" s="227">
        <f>AL45*(1-BASE!Q45)</f>
        <v>0.01</v>
      </c>
      <c r="R45" s="227">
        <f>AM45*(1-BASE!R45)</f>
        <v>0.01</v>
      </c>
      <c r="S45" s="227">
        <f>AN45*(1-BASE!S45)</f>
        <v>0.01</v>
      </c>
      <c r="T45" s="227">
        <f>AO45*(1-BASE!T45)</f>
        <v>0.01</v>
      </c>
      <c r="U45" s="273">
        <f>AP45*(1-BASE!U45)</f>
        <v>9.9999999999999978E-2</v>
      </c>
      <c r="V45" s="225"/>
      <c r="X45" s="226">
        <v>0.01</v>
      </c>
      <c r="Y45" s="226">
        <v>0.01</v>
      </c>
      <c r="Z45" s="226">
        <v>0.01</v>
      </c>
      <c r="AA45" s="226">
        <v>0.01</v>
      </c>
      <c r="AB45" s="226">
        <v>0.01</v>
      </c>
      <c r="AC45" s="226">
        <v>0.01</v>
      </c>
      <c r="AD45" s="226">
        <v>0.01</v>
      </c>
      <c r="AE45" s="226">
        <v>0.01</v>
      </c>
      <c r="AF45" s="226">
        <v>0.01</v>
      </c>
      <c r="AG45" s="226">
        <v>0.01</v>
      </c>
      <c r="AH45" s="226">
        <v>0.01</v>
      </c>
      <c r="AI45" s="226">
        <v>0.01</v>
      </c>
      <c r="AJ45" s="226">
        <v>0.01</v>
      </c>
      <c r="AK45" s="226">
        <v>0.01</v>
      </c>
      <c r="AL45" s="226">
        <v>0.01</v>
      </c>
      <c r="AM45" s="226">
        <v>0.01</v>
      </c>
      <c r="AN45" s="226">
        <v>0.01</v>
      </c>
      <c r="AO45" s="226">
        <v>0.01</v>
      </c>
      <c r="AP45" s="276">
        <v>1</v>
      </c>
      <c r="AQ45" s="25"/>
    </row>
    <row r="46" spans="1:44" s="7" customFormat="1">
      <c r="A46" t="str">
        <f>MLIST!A46</f>
        <v>HVAC</v>
      </c>
      <c r="B46" s="415" t="str">
        <f>MLIST!D46</f>
        <v>AC Heat Recovery for Water Heating-NR</v>
      </c>
      <c r="C46" s="227">
        <f>X46*(1-BASE!C46)</f>
        <v>0.01</v>
      </c>
      <c r="D46" s="227">
        <f>Y46*(1-BASE!D46)</f>
        <v>0.01</v>
      </c>
      <c r="E46" s="227">
        <f>Z46*(1-BASE!E46)</f>
        <v>0.01</v>
      </c>
      <c r="F46" s="227">
        <f>AA46*(1-BASE!F46)</f>
        <v>0.01</v>
      </c>
      <c r="G46" s="227">
        <f>AB46*(1-BASE!G46)</f>
        <v>0.01</v>
      </c>
      <c r="H46" s="227">
        <f>AC46*(1-BASE!H46)</f>
        <v>0.01</v>
      </c>
      <c r="I46" s="227">
        <f>AD46*(1-BASE!I46)</f>
        <v>0.01</v>
      </c>
      <c r="J46" s="227">
        <f>AE46*(1-BASE!J46)</f>
        <v>0.01</v>
      </c>
      <c r="K46" s="227">
        <f>AF46*(1-BASE!K46)</f>
        <v>0.01</v>
      </c>
      <c r="L46" s="227">
        <f>AG46*(1-BASE!L46)</f>
        <v>0.01</v>
      </c>
      <c r="M46" s="227">
        <f>AH46*(1-BASE!M46)</f>
        <v>0.01</v>
      </c>
      <c r="N46" s="227">
        <f>AI46*(1-BASE!N46)</f>
        <v>0.01</v>
      </c>
      <c r="O46" s="227">
        <f>AJ46*(1-BASE!O46)</f>
        <v>0.01</v>
      </c>
      <c r="P46" s="227">
        <f>AK46*(1-BASE!P46)</f>
        <v>0.01</v>
      </c>
      <c r="Q46" s="227">
        <f>AL46*(1-BASE!Q46)</f>
        <v>0.01</v>
      </c>
      <c r="R46" s="227">
        <f>AM46*(1-BASE!R46)</f>
        <v>0.01</v>
      </c>
      <c r="S46" s="227">
        <f>AN46*(1-BASE!S46)</f>
        <v>0.01</v>
      </c>
      <c r="T46" s="227">
        <f>AO46*(1-BASE!T46)</f>
        <v>0.01</v>
      </c>
      <c r="V46" s="225"/>
      <c r="X46" s="226">
        <v>0.01</v>
      </c>
      <c r="Y46" s="226">
        <v>0.01</v>
      </c>
      <c r="Z46" s="226">
        <v>0.01</v>
      </c>
      <c r="AA46" s="226">
        <v>0.01</v>
      </c>
      <c r="AB46" s="226">
        <v>0.01</v>
      </c>
      <c r="AC46" s="226">
        <v>0.01</v>
      </c>
      <c r="AD46" s="226">
        <v>0.01</v>
      </c>
      <c r="AE46" s="226">
        <v>0.01</v>
      </c>
      <c r="AF46" s="226">
        <v>0.01</v>
      </c>
      <c r="AG46" s="226">
        <v>0.01</v>
      </c>
      <c r="AH46" s="226">
        <v>0.01</v>
      </c>
      <c r="AI46" s="226">
        <v>0.01</v>
      </c>
      <c r="AJ46" s="226">
        <v>0.01</v>
      </c>
      <c r="AK46" s="226">
        <v>0.01</v>
      </c>
      <c r="AL46" s="226">
        <v>0.01</v>
      </c>
      <c r="AM46" s="226">
        <v>0.01</v>
      </c>
      <c r="AN46" s="226">
        <v>0.01</v>
      </c>
      <c r="AO46" s="226">
        <v>0.01</v>
      </c>
      <c r="AP46" s="226">
        <v>0.01</v>
      </c>
      <c r="AQ46" s="25"/>
    </row>
    <row r="47" spans="1:44" s="7" customFormat="1">
      <c r="A47" t="str">
        <f>MLIST!A47</f>
        <v>HVAC</v>
      </c>
      <c r="B47" s="415" t="str">
        <f>MLIST!D47</f>
        <v>Room Occupancy Sensors in Lodging-Retro</v>
      </c>
      <c r="C47" s="227">
        <f>X47*(1-BASE!C47)</f>
        <v>0.01</v>
      </c>
      <c r="D47" s="227">
        <f>Y47*(1-BASE!D47)</f>
        <v>0.01</v>
      </c>
      <c r="E47" s="227">
        <f>Z47*(1-BASE!E47)</f>
        <v>0.01</v>
      </c>
      <c r="F47" s="227">
        <f>AA47*(1-BASE!F47)</f>
        <v>0.01</v>
      </c>
      <c r="G47" s="227">
        <f>AB47*(1-BASE!G47)</f>
        <v>0.01</v>
      </c>
      <c r="H47" s="227">
        <f>AC47*(1-BASE!H47)</f>
        <v>0.01</v>
      </c>
      <c r="I47" s="227">
        <f>AD47*(1-BASE!I47)</f>
        <v>0.01</v>
      </c>
      <c r="J47" s="227">
        <f>AE47*(1-BASE!J47)</f>
        <v>0.01</v>
      </c>
      <c r="K47" s="227">
        <f>AF47*(1-BASE!K47)</f>
        <v>0.01</v>
      </c>
      <c r="L47" s="227">
        <f>AG47*(1-BASE!L47)</f>
        <v>0.01</v>
      </c>
      <c r="M47" s="227">
        <f>AH47*(1-BASE!M47)</f>
        <v>0.01</v>
      </c>
      <c r="N47" s="227">
        <f>AI47*(1-BASE!N47)</f>
        <v>0.01</v>
      </c>
      <c r="O47" s="227">
        <f>AJ47*(1-BASE!O47)</f>
        <v>0.01</v>
      </c>
      <c r="P47" s="227">
        <f>AK47*(1-BASE!P47)</f>
        <v>0.01</v>
      </c>
      <c r="Q47" s="227">
        <f>AL47*(1-BASE!Q47)</f>
        <v>0.01</v>
      </c>
      <c r="R47" s="227">
        <f>AM47*(1-BASE!R47)</f>
        <v>0.01</v>
      </c>
      <c r="S47" s="227">
        <f>AN47*(1-BASE!S47)</f>
        <v>0.01</v>
      </c>
      <c r="T47" s="227">
        <f>AO47*(1-BASE!T47)</f>
        <v>0.01</v>
      </c>
      <c r="V47" s="225"/>
      <c r="X47" s="226">
        <v>0.01</v>
      </c>
      <c r="Y47" s="226">
        <v>0.01</v>
      </c>
      <c r="Z47" s="226">
        <v>0.01</v>
      </c>
      <c r="AA47" s="226">
        <v>0.01</v>
      </c>
      <c r="AB47" s="226">
        <v>0.01</v>
      </c>
      <c r="AC47" s="226">
        <v>0.01</v>
      </c>
      <c r="AD47" s="226">
        <v>0.01</v>
      </c>
      <c r="AE47" s="226">
        <v>0.01</v>
      </c>
      <c r="AF47" s="226">
        <v>0.01</v>
      </c>
      <c r="AG47" s="226">
        <v>0.01</v>
      </c>
      <c r="AH47" s="226">
        <v>0.01</v>
      </c>
      <c r="AI47" s="226">
        <v>0.01</v>
      </c>
      <c r="AJ47" s="226">
        <v>0.01</v>
      </c>
      <c r="AK47" s="226">
        <v>0.01</v>
      </c>
      <c r="AL47" s="226">
        <v>0.01</v>
      </c>
      <c r="AM47" s="226">
        <v>0.01</v>
      </c>
      <c r="AN47" s="226">
        <v>0.01</v>
      </c>
      <c r="AO47" s="226">
        <v>0.01</v>
      </c>
      <c r="AP47" s="226">
        <v>0.01</v>
      </c>
      <c r="AQ47" s="25"/>
    </row>
    <row r="48" spans="1:44" s="7" customFormat="1">
      <c r="A48" t="str">
        <f>MLIST!A48</f>
        <v>HVAC</v>
      </c>
      <c r="B48" t="str">
        <f>MLIST!D48</f>
        <v>Chiller - chilled water retrofit-Retro</v>
      </c>
      <c r="C48" s="227">
        <f>X48*(1-BASE!C48)</f>
        <v>0.01</v>
      </c>
      <c r="D48" s="227">
        <f>Y48*(1-BASE!D48)</f>
        <v>0.01</v>
      </c>
      <c r="E48" s="227">
        <f>Z48*(1-BASE!E48)</f>
        <v>0.01</v>
      </c>
      <c r="F48" s="227">
        <f>AA48*(1-BASE!F48)</f>
        <v>0.01</v>
      </c>
      <c r="G48" s="227">
        <f>AB48*(1-BASE!G48)</f>
        <v>0.01</v>
      </c>
      <c r="H48" s="227">
        <f>AC48*(1-BASE!H48)</f>
        <v>0.01</v>
      </c>
      <c r="I48" s="227">
        <f>AD48*(1-BASE!I48)</f>
        <v>0.01</v>
      </c>
      <c r="J48" s="227">
        <f>AE48*(1-BASE!J48)</f>
        <v>0.01</v>
      </c>
      <c r="K48" s="227">
        <f>AF48*(1-BASE!K48)</f>
        <v>0.01</v>
      </c>
      <c r="L48" s="227">
        <f>AG48*(1-BASE!L48)</f>
        <v>0.01</v>
      </c>
      <c r="M48" s="227">
        <f>AH48*(1-BASE!M48)</f>
        <v>0.01</v>
      </c>
      <c r="N48" s="227">
        <f>AI48*(1-BASE!N48)</f>
        <v>0.01</v>
      </c>
      <c r="O48" s="227">
        <f>AJ48*(1-BASE!O48)</f>
        <v>0.01</v>
      </c>
      <c r="P48" s="227">
        <f>AK48*(1-BASE!P48)</f>
        <v>0.01</v>
      </c>
      <c r="Q48" s="227">
        <f>AL48*(1-BASE!Q48)</f>
        <v>0.01</v>
      </c>
      <c r="R48" s="227">
        <f>AM48*(1-BASE!R48)</f>
        <v>0.01</v>
      </c>
      <c r="S48" s="227">
        <f>AN48*(1-BASE!S48)</f>
        <v>0.01</v>
      </c>
      <c r="T48" s="227">
        <f>AO48*(1-BASE!T48)</f>
        <v>0.01</v>
      </c>
      <c r="V48" s="225"/>
      <c r="X48" s="226">
        <v>0.01</v>
      </c>
      <c r="Y48" s="226">
        <v>0.01</v>
      </c>
      <c r="Z48" s="226">
        <v>0.01</v>
      </c>
      <c r="AA48" s="226">
        <v>0.01</v>
      </c>
      <c r="AB48" s="226">
        <v>0.01</v>
      </c>
      <c r="AC48" s="226">
        <v>0.01</v>
      </c>
      <c r="AD48" s="226">
        <v>0.01</v>
      </c>
      <c r="AE48" s="226">
        <v>0.01</v>
      </c>
      <c r="AF48" s="226">
        <v>0.01</v>
      </c>
      <c r="AG48" s="226">
        <v>0.01</v>
      </c>
      <c r="AH48" s="226">
        <v>0.01</v>
      </c>
      <c r="AI48" s="226">
        <v>0.01</v>
      </c>
      <c r="AJ48" s="226">
        <v>0.01</v>
      </c>
      <c r="AK48" s="226">
        <v>0.01</v>
      </c>
      <c r="AL48" s="226">
        <v>0.01</v>
      </c>
      <c r="AM48" s="226">
        <v>0.01</v>
      </c>
      <c r="AN48" s="226">
        <v>0.01</v>
      </c>
      <c r="AO48" s="226">
        <v>0.01</v>
      </c>
      <c r="AP48" s="226">
        <v>0.01</v>
      </c>
      <c r="AQ48" s="25"/>
    </row>
    <row r="49" spans="1:43" s="7" customFormat="1">
      <c r="A49" t="str">
        <f>MLIST!A49</f>
        <v>HVAC</v>
      </c>
      <c r="B49" t="str">
        <f>MLIST!D49</f>
        <v>Chiller - equip retrofits-Retro</v>
      </c>
      <c r="C49" s="227">
        <f>X49*(1-BASE!C49)</f>
        <v>0.01</v>
      </c>
      <c r="D49" s="227">
        <f>Y49*(1-BASE!D49)</f>
        <v>0.01</v>
      </c>
      <c r="E49" s="227">
        <f>Z49*(1-BASE!E49)</f>
        <v>0.01</v>
      </c>
      <c r="F49" s="227">
        <f>AA49*(1-BASE!F49)</f>
        <v>0.01</v>
      </c>
      <c r="G49" s="227">
        <f>AB49*(1-BASE!G49)</f>
        <v>0.01</v>
      </c>
      <c r="H49" s="227">
        <f>AC49*(1-BASE!H49)</f>
        <v>0.01</v>
      </c>
      <c r="I49" s="227">
        <f>AD49*(1-BASE!I49)</f>
        <v>0.01</v>
      </c>
      <c r="J49" s="227">
        <f>AE49*(1-BASE!J49)</f>
        <v>0.01</v>
      </c>
      <c r="K49" s="227">
        <f>AF49*(1-BASE!K49)</f>
        <v>0.01</v>
      </c>
      <c r="L49" s="227">
        <f>AG49*(1-BASE!L49)</f>
        <v>0.01</v>
      </c>
      <c r="M49" s="227">
        <f>AH49*(1-BASE!M49)</f>
        <v>0.01</v>
      </c>
      <c r="N49" s="227">
        <f>AI49*(1-BASE!N49)</f>
        <v>0.01</v>
      </c>
      <c r="O49" s="227">
        <f>AJ49*(1-BASE!O49)</f>
        <v>0.01</v>
      </c>
      <c r="P49" s="227">
        <f>AK49*(1-BASE!P49)</f>
        <v>0.01</v>
      </c>
      <c r="Q49" s="227">
        <f>AL49*(1-BASE!Q49)</f>
        <v>0.01</v>
      </c>
      <c r="R49" s="227">
        <f>AM49*(1-BASE!R49)</f>
        <v>0.01</v>
      </c>
      <c r="S49" s="227">
        <f>AN49*(1-BASE!S49)</f>
        <v>0.01</v>
      </c>
      <c r="T49" s="227">
        <f>AO49*(1-BASE!T49)</f>
        <v>0.01</v>
      </c>
      <c r="V49" s="225"/>
      <c r="X49" s="226">
        <v>0.01</v>
      </c>
      <c r="Y49" s="226">
        <v>0.01</v>
      </c>
      <c r="Z49" s="226">
        <v>0.01</v>
      </c>
      <c r="AA49" s="226">
        <v>0.01</v>
      </c>
      <c r="AB49" s="226">
        <v>0.01</v>
      </c>
      <c r="AC49" s="226">
        <v>0.01</v>
      </c>
      <c r="AD49" s="226">
        <v>0.01</v>
      </c>
      <c r="AE49" s="226">
        <v>0.01</v>
      </c>
      <c r="AF49" s="226">
        <v>0.01</v>
      </c>
      <c r="AG49" s="226">
        <v>0.01</v>
      </c>
      <c r="AH49" s="226">
        <v>0.01</v>
      </c>
      <c r="AI49" s="226">
        <v>0.01</v>
      </c>
      <c r="AJ49" s="226">
        <v>0.01</v>
      </c>
      <c r="AK49" s="226">
        <v>0.01</v>
      </c>
      <c r="AL49" s="226">
        <v>0.01</v>
      </c>
      <c r="AM49" s="226">
        <v>0.01</v>
      </c>
      <c r="AN49" s="226">
        <v>0.01</v>
      </c>
      <c r="AO49" s="226">
        <v>0.01</v>
      </c>
      <c r="AP49" s="226">
        <v>0.01</v>
      </c>
      <c r="AQ49" s="25"/>
    </row>
    <row r="50" spans="1:43" s="7" customFormat="1">
      <c r="A50" t="str">
        <f>MLIST!A50</f>
        <v>HVAC</v>
      </c>
      <c r="B50" s="415" t="str">
        <f>MLIST!D50</f>
        <v>Pool Blankets-Retro</v>
      </c>
      <c r="C50" s="227">
        <f>X50*(1-BASE!C50)</f>
        <v>0.01</v>
      </c>
      <c r="D50" s="227">
        <f>Y50*(1-BASE!D50)</f>
        <v>0.01</v>
      </c>
      <c r="E50" s="227">
        <f>Z50*(1-BASE!E50)</f>
        <v>0.01</v>
      </c>
      <c r="F50" s="227">
        <f>AA50*(1-BASE!F50)</f>
        <v>0.01</v>
      </c>
      <c r="G50" s="227">
        <f>AB50*(1-BASE!G50)</f>
        <v>0.01</v>
      </c>
      <c r="H50" s="227">
        <f>AC50*(1-BASE!H50)</f>
        <v>0.01</v>
      </c>
      <c r="I50" s="227">
        <f>AD50*(1-BASE!I50)</f>
        <v>0.01</v>
      </c>
      <c r="J50" s="227">
        <f>AE50*(1-BASE!J50)</f>
        <v>0.01</v>
      </c>
      <c r="K50" s="227">
        <f>AF50*(1-BASE!K50)</f>
        <v>0.01</v>
      </c>
      <c r="L50" s="227">
        <f>AG50*(1-BASE!L50)</f>
        <v>0.01</v>
      </c>
      <c r="M50" s="227">
        <f>AH50*(1-BASE!M50)</f>
        <v>0.01</v>
      </c>
      <c r="N50" s="227">
        <f>AI50*(1-BASE!N50)</f>
        <v>0.01</v>
      </c>
      <c r="O50" s="227">
        <f>AJ50*(1-BASE!O50)</f>
        <v>0.01</v>
      </c>
      <c r="P50" s="227">
        <f>AK50*(1-BASE!P50)</f>
        <v>0.01</v>
      </c>
      <c r="Q50" s="227">
        <f>AL50*(1-BASE!Q50)</f>
        <v>0.01</v>
      </c>
      <c r="R50" s="227">
        <f>AM50*(1-BASE!R50)</f>
        <v>0.01</v>
      </c>
      <c r="S50" s="227">
        <f>AN50*(1-BASE!S50)</f>
        <v>0.01</v>
      </c>
      <c r="T50" s="227">
        <f>AO50*(1-BASE!T50)</f>
        <v>0.01</v>
      </c>
      <c r="V50" s="225"/>
      <c r="X50" s="226">
        <v>0.01</v>
      </c>
      <c r="Y50" s="226">
        <v>0.01</v>
      </c>
      <c r="Z50" s="226">
        <v>0.01</v>
      </c>
      <c r="AA50" s="226">
        <v>0.01</v>
      </c>
      <c r="AB50" s="226">
        <v>0.01</v>
      </c>
      <c r="AC50" s="226">
        <v>0.01</v>
      </c>
      <c r="AD50" s="226">
        <v>0.01</v>
      </c>
      <c r="AE50" s="226">
        <v>0.01</v>
      </c>
      <c r="AF50" s="226">
        <v>0.01</v>
      </c>
      <c r="AG50" s="226">
        <v>0.01</v>
      </c>
      <c r="AH50" s="226">
        <v>0.01</v>
      </c>
      <c r="AI50" s="226">
        <v>0.01</v>
      </c>
      <c r="AJ50" s="226">
        <v>0.01</v>
      </c>
      <c r="AK50" s="226">
        <v>0.01</v>
      </c>
      <c r="AL50" s="226">
        <v>0.01</v>
      </c>
      <c r="AM50" s="226">
        <v>0.01</v>
      </c>
      <c r="AN50" s="226">
        <v>0.01</v>
      </c>
      <c r="AO50" s="226">
        <v>0.01</v>
      </c>
      <c r="AP50" s="226">
        <v>0.01</v>
      </c>
      <c r="AQ50" s="25"/>
    </row>
    <row r="51" spans="1:43" s="7" customFormat="1">
      <c r="A51" t="str">
        <f>MLIST!A51</f>
        <v>HVAC</v>
      </c>
      <c r="B51" s="415" t="str">
        <f>MLIST!D51</f>
        <v>Web-Enabled Thermostats-Retro</v>
      </c>
      <c r="C51" s="227">
        <f>X51*(1-BASE!C51)</f>
        <v>0.01</v>
      </c>
      <c r="D51" s="227">
        <f>Y51*(1-BASE!D51)</f>
        <v>0.01</v>
      </c>
      <c r="E51" s="227">
        <f>Z51*(1-BASE!E51)</f>
        <v>0.01</v>
      </c>
      <c r="F51" s="227">
        <f>AA51*(1-BASE!F51)</f>
        <v>0.01</v>
      </c>
      <c r="G51" s="227">
        <f>AB51*(1-BASE!G51)</f>
        <v>0.01</v>
      </c>
      <c r="H51" s="227">
        <f>AC51*(1-BASE!H51)</f>
        <v>0.01</v>
      </c>
      <c r="I51" s="227">
        <f>AD51*(1-BASE!I51)</f>
        <v>0.01</v>
      </c>
      <c r="J51" s="227">
        <f>AE51*(1-BASE!J51)</f>
        <v>0.01</v>
      </c>
      <c r="K51" s="227">
        <f>AF51*(1-BASE!K51)</f>
        <v>0.01</v>
      </c>
      <c r="L51" s="227">
        <f>AG51*(1-BASE!L51)</f>
        <v>0.01</v>
      </c>
      <c r="M51" s="227">
        <f>AH51*(1-BASE!M51)</f>
        <v>0.01</v>
      </c>
      <c r="N51" s="227">
        <f>AI51*(1-BASE!N51)</f>
        <v>0.01</v>
      </c>
      <c r="O51" s="227">
        <f>AJ51*(1-BASE!O51)</f>
        <v>0.01</v>
      </c>
      <c r="P51" s="227">
        <f>AK51*(1-BASE!P51)</f>
        <v>0.01</v>
      </c>
      <c r="Q51" s="227">
        <f>AL51*(1-BASE!Q51)</f>
        <v>0.01</v>
      </c>
      <c r="R51" s="227">
        <f>AM51*(1-BASE!R51)</f>
        <v>0.01</v>
      </c>
      <c r="S51" s="227">
        <f>AN51*(1-BASE!S51)</f>
        <v>0.01</v>
      </c>
      <c r="T51" s="227">
        <f>AO51*(1-BASE!T51)</f>
        <v>0.01</v>
      </c>
      <c r="V51" s="225"/>
      <c r="X51" s="226">
        <v>0.01</v>
      </c>
      <c r="Y51" s="226">
        <v>0.01</v>
      </c>
      <c r="Z51" s="226">
        <v>0.01</v>
      </c>
      <c r="AA51" s="226">
        <v>0.01</v>
      </c>
      <c r="AB51" s="226">
        <v>0.01</v>
      </c>
      <c r="AC51" s="226">
        <v>0.01</v>
      </c>
      <c r="AD51" s="226">
        <v>0.01</v>
      </c>
      <c r="AE51" s="226">
        <v>0.01</v>
      </c>
      <c r="AF51" s="226">
        <v>0.01</v>
      </c>
      <c r="AG51" s="226">
        <v>0.01</v>
      </c>
      <c r="AH51" s="226">
        <v>0.01</v>
      </c>
      <c r="AI51" s="226">
        <v>0.01</v>
      </c>
      <c r="AJ51" s="226">
        <v>0.01</v>
      </c>
      <c r="AK51" s="226">
        <v>0.01</v>
      </c>
      <c r="AL51" s="226">
        <v>0.01</v>
      </c>
      <c r="AM51" s="226">
        <v>0.01</v>
      </c>
      <c r="AN51" s="226">
        <v>0.01</v>
      </c>
      <c r="AO51" s="226">
        <v>0.01</v>
      </c>
      <c r="AP51" s="226">
        <v>0.01</v>
      </c>
      <c r="AQ51" s="25"/>
    </row>
    <row r="52" spans="1:43" s="7" customFormat="1">
      <c r="A52" t="str">
        <f>MLIST!A52</f>
        <v>HVAC</v>
      </c>
      <c r="B52" s="415" t="str">
        <f>MLIST!D52</f>
        <v>Garage CO2 ventilation-Retro</v>
      </c>
      <c r="C52" s="227">
        <f>X52*(1-BASE!C52)</f>
        <v>0.01</v>
      </c>
      <c r="D52" s="227">
        <f>Y52*(1-BASE!D52)</f>
        <v>0.01</v>
      </c>
      <c r="E52" s="227">
        <f>Z52*(1-BASE!E52)</f>
        <v>0.01</v>
      </c>
      <c r="F52" s="227">
        <f>AA52*(1-BASE!F52)</f>
        <v>0.01</v>
      </c>
      <c r="G52" s="227">
        <f>AB52*(1-BASE!G52)</f>
        <v>0.01</v>
      </c>
      <c r="H52" s="227">
        <f>AC52*(1-BASE!H52)</f>
        <v>0.01</v>
      </c>
      <c r="I52" s="227">
        <f>AD52*(1-BASE!I52)</f>
        <v>0.01</v>
      </c>
      <c r="J52" s="227">
        <f>AE52*(1-BASE!J52)</f>
        <v>0.01</v>
      </c>
      <c r="K52" s="227">
        <f>AF52*(1-BASE!K52)</f>
        <v>0.01</v>
      </c>
      <c r="L52" s="227">
        <f>AG52*(1-BASE!L52)</f>
        <v>0.01</v>
      </c>
      <c r="M52" s="227">
        <f>AH52*(1-BASE!M52)</f>
        <v>0.01</v>
      </c>
      <c r="N52" s="227">
        <f>AI52*(1-BASE!N52)</f>
        <v>0.01</v>
      </c>
      <c r="O52" s="227">
        <f>AJ52*(1-BASE!O52)</f>
        <v>0.01</v>
      </c>
      <c r="P52" s="227">
        <f>AK52*(1-BASE!P52)</f>
        <v>0.01</v>
      </c>
      <c r="Q52" s="227">
        <f>AL52*(1-BASE!Q52)</f>
        <v>0.01</v>
      </c>
      <c r="R52" s="227">
        <f>AM52*(1-BASE!R52)</f>
        <v>0.01</v>
      </c>
      <c r="S52" s="227">
        <f>AN52*(1-BASE!S52)</f>
        <v>0.01</v>
      </c>
      <c r="T52" s="227">
        <f>AO52*(1-BASE!T52)</f>
        <v>0.01</v>
      </c>
      <c r="V52" s="225"/>
      <c r="X52" s="226">
        <v>0.01</v>
      </c>
      <c r="Y52" s="226">
        <v>0.01</v>
      </c>
      <c r="Z52" s="226">
        <v>0.01</v>
      </c>
      <c r="AA52" s="226">
        <v>0.01</v>
      </c>
      <c r="AB52" s="226">
        <v>0.01</v>
      </c>
      <c r="AC52" s="226">
        <v>0.01</v>
      </c>
      <c r="AD52" s="226">
        <v>0.01</v>
      </c>
      <c r="AE52" s="226">
        <v>0.01</v>
      </c>
      <c r="AF52" s="226">
        <v>0.01</v>
      </c>
      <c r="AG52" s="226">
        <v>0.01</v>
      </c>
      <c r="AH52" s="226">
        <v>0.01</v>
      </c>
      <c r="AI52" s="226">
        <v>0.01</v>
      </c>
      <c r="AJ52" s="226">
        <v>0.01</v>
      </c>
      <c r="AK52" s="226">
        <v>0.01</v>
      </c>
      <c r="AL52" s="226">
        <v>0.01</v>
      </c>
      <c r="AM52" s="226">
        <v>0.01</v>
      </c>
      <c r="AN52" s="226">
        <v>0.01</v>
      </c>
      <c r="AO52" s="226">
        <v>0.01</v>
      </c>
      <c r="AP52" s="226">
        <v>0.01</v>
      </c>
      <c r="AQ52" s="25"/>
    </row>
    <row r="53" spans="1:43" s="7" customFormat="1">
      <c r="A53" t="str">
        <f>MLIST!A53</f>
        <v>HVAC</v>
      </c>
      <c r="B53" s="223" t="str">
        <f>MLIST!D53</f>
        <v>Circ Pump ECM and drive-Retro</v>
      </c>
      <c r="C53" s="227">
        <f>X53*(1-BASE!C53)</f>
        <v>0.01</v>
      </c>
      <c r="D53" s="227">
        <f>Y53*(1-BASE!D53)</f>
        <v>0.01</v>
      </c>
      <c r="E53" s="227">
        <f>Z53*(1-BASE!E53)</f>
        <v>0.01</v>
      </c>
      <c r="F53" s="227">
        <f>AA53*(1-BASE!F53)</f>
        <v>0.01</v>
      </c>
      <c r="G53" s="227">
        <f>AB53*(1-BASE!G53)</f>
        <v>0.01</v>
      </c>
      <c r="H53" s="227">
        <f>AC53*(1-BASE!H53)</f>
        <v>0.01</v>
      </c>
      <c r="I53" s="227">
        <f>AD53*(1-BASE!I53)</f>
        <v>0.01</v>
      </c>
      <c r="J53" s="227">
        <f>AE53*(1-BASE!J53)</f>
        <v>0.01</v>
      </c>
      <c r="K53" s="227">
        <f>AF53*(1-BASE!K53)</f>
        <v>0.01</v>
      </c>
      <c r="L53" s="227">
        <f>AG53*(1-BASE!L53)</f>
        <v>0.01</v>
      </c>
      <c r="M53" s="227">
        <f>AH53*(1-BASE!M53)</f>
        <v>0.01</v>
      </c>
      <c r="N53" s="227">
        <f>AI53*(1-BASE!N53)</f>
        <v>0.01</v>
      </c>
      <c r="O53" s="227">
        <f>AJ53*(1-BASE!O53)</f>
        <v>0.01</v>
      </c>
      <c r="P53" s="227">
        <f>AK53*(1-BASE!P53)</f>
        <v>0.01</v>
      </c>
      <c r="Q53" s="227">
        <f>AL53*(1-BASE!Q53)</f>
        <v>0.01</v>
      </c>
      <c r="R53" s="227">
        <f>AM53*(1-BASE!R53)</f>
        <v>0.01</v>
      </c>
      <c r="S53" s="227">
        <f>AN53*(1-BASE!S53)</f>
        <v>0.01</v>
      </c>
      <c r="T53" s="227">
        <f>AO53*(1-BASE!T53)</f>
        <v>0.01</v>
      </c>
      <c r="V53" s="225"/>
      <c r="X53" s="226">
        <v>0.01</v>
      </c>
      <c r="Y53" s="226">
        <v>0.01</v>
      </c>
      <c r="Z53" s="226">
        <v>0.01</v>
      </c>
      <c r="AA53" s="226">
        <v>0.01</v>
      </c>
      <c r="AB53" s="226">
        <v>0.01</v>
      </c>
      <c r="AC53" s="226">
        <v>0.01</v>
      </c>
      <c r="AD53" s="226">
        <v>0.01</v>
      </c>
      <c r="AE53" s="226">
        <v>0.01</v>
      </c>
      <c r="AF53" s="226">
        <v>0.01</v>
      </c>
      <c r="AG53" s="226">
        <v>0.01</v>
      </c>
      <c r="AH53" s="226">
        <v>0.01</v>
      </c>
      <c r="AI53" s="226">
        <v>0.01</v>
      </c>
      <c r="AJ53" s="226">
        <v>0.01</v>
      </c>
      <c r="AK53" s="226">
        <v>0.01</v>
      </c>
      <c r="AL53" s="226">
        <v>0.01</v>
      </c>
      <c r="AM53" s="226">
        <v>0.01</v>
      </c>
      <c r="AN53" s="226">
        <v>0.01</v>
      </c>
      <c r="AO53" s="226">
        <v>0.01</v>
      </c>
      <c r="AP53" s="226">
        <v>0.01</v>
      </c>
    </row>
    <row r="54" spans="1:43" s="7" customFormat="1">
      <c r="A54" t="str">
        <f>MLIST!A54</f>
        <v>HVAC</v>
      </c>
      <c r="B54" t="str">
        <f>MLIST!D54</f>
        <v>VRF-New</v>
      </c>
      <c r="C54" s="227">
        <f ca="1">X54*(1-BASE!C54)</f>
        <v>4.9000000000000002E-2</v>
      </c>
      <c r="D54" s="227">
        <f ca="1">Y54*(1-BASE!D54)</f>
        <v>0.78400000000000003</v>
      </c>
      <c r="E54" s="227">
        <f ca="1">Z54*(1-BASE!E54)</f>
        <v>0.78400000000000003</v>
      </c>
      <c r="F54" s="227">
        <f ca="1">AA54*(1-BASE!F54)</f>
        <v>0.245</v>
      </c>
      <c r="G54" s="227">
        <f ca="1">AB54*(1-BASE!G54)</f>
        <v>0.245</v>
      </c>
      <c r="H54" s="227">
        <f ca="1">AC54*(1-BASE!H54)</f>
        <v>0.245</v>
      </c>
      <c r="I54" s="227">
        <f ca="1">AD54*(1-BASE!I54)</f>
        <v>0.245</v>
      </c>
      <c r="J54" s="227">
        <f ca="1">AE54*(1-BASE!J54)</f>
        <v>0.78400000000000003</v>
      </c>
      <c r="K54" s="227">
        <f ca="1">AF54*(1-BASE!K54)</f>
        <v>0.78400000000000003</v>
      </c>
      <c r="L54" s="227">
        <f ca="1">AG54*(1-BASE!L54)</f>
        <v>9.7999999999999997E-3</v>
      </c>
      <c r="M54" s="227">
        <f ca="1">AH54*(1-BASE!M54)</f>
        <v>4.9000000000000002E-2</v>
      </c>
      <c r="N54" s="227">
        <f ca="1">AI54*(1-BASE!N54)</f>
        <v>4.9000000000000002E-2</v>
      </c>
      <c r="O54" s="227">
        <f ca="1">AJ54*(1-BASE!O54)</f>
        <v>0.245</v>
      </c>
      <c r="P54" s="227">
        <f ca="1">AK54*(1-BASE!P54)</f>
        <v>0.68599999999999994</v>
      </c>
      <c r="Q54" s="227">
        <f ca="1">AL54*(1-BASE!Q54)</f>
        <v>4.9000000000000002E-2</v>
      </c>
      <c r="R54" s="227">
        <f ca="1">AM54*(1-BASE!R54)</f>
        <v>0.78400000000000003</v>
      </c>
      <c r="S54" s="227">
        <f ca="1">AN54*(1-BASE!S54)</f>
        <v>0.245</v>
      </c>
      <c r="T54" s="227">
        <f ca="1">AO54*(1-BASE!T54)</f>
        <v>0.78400000000000003</v>
      </c>
      <c r="V54" s="225"/>
      <c r="X54" s="430">
        <f ca="1">FEAS!C54</f>
        <v>0.05</v>
      </c>
      <c r="Y54" s="430">
        <f ca="1">FEAS!D54</f>
        <v>0.8</v>
      </c>
      <c r="Z54" s="430">
        <f ca="1">FEAS!E54</f>
        <v>0.8</v>
      </c>
      <c r="AA54" s="430">
        <f ca="1">FEAS!F54</f>
        <v>0.25</v>
      </c>
      <c r="AB54" s="430">
        <f ca="1">FEAS!G54</f>
        <v>0.25</v>
      </c>
      <c r="AC54" s="430">
        <f ca="1">FEAS!H54</f>
        <v>0.25</v>
      </c>
      <c r="AD54" s="430">
        <f ca="1">FEAS!I54</f>
        <v>0.25</v>
      </c>
      <c r="AE54" s="430">
        <f ca="1">FEAS!J54</f>
        <v>0.8</v>
      </c>
      <c r="AF54" s="430">
        <f ca="1">FEAS!K54</f>
        <v>0.8</v>
      </c>
      <c r="AG54" s="430">
        <f ca="1">FEAS!L54</f>
        <v>0.01</v>
      </c>
      <c r="AH54" s="430">
        <f ca="1">FEAS!M54</f>
        <v>0.05</v>
      </c>
      <c r="AI54" s="430">
        <f ca="1">FEAS!N54</f>
        <v>0.05</v>
      </c>
      <c r="AJ54" s="430">
        <f ca="1">FEAS!O54</f>
        <v>0.25</v>
      </c>
      <c r="AK54" s="430">
        <f ca="1">FEAS!P54</f>
        <v>0.7</v>
      </c>
      <c r="AL54" s="430">
        <f ca="1">FEAS!Q54</f>
        <v>0.05</v>
      </c>
      <c r="AM54" s="430">
        <f ca="1">FEAS!R54</f>
        <v>0.8</v>
      </c>
      <c r="AN54" s="430">
        <f ca="1">FEAS!S54</f>
        <v>0.25</v>
      </c>
      <c r="AO54" s="430">
        <f ca="1">FEAS!T54</f>
        <v>0.8</v>
      </c>
      <c r="AP54" s="226">
        <v>0</v>
      </c>
    </row>
    <row r="55" spans="1:43" s="7" customFormat="1">
      <c r="A55" t="str">
        <f>MLIST!A55</f>
        <v>HVAC</v>
      </c>
      <c r="B55" s="218" t="str">
        <f>MLIST!D55</f>
        <v>VRF-Retro</v>
      </c>
      <c r="C55" s="227">
        <f>X55*(1-BASE!C55)</f>
        <v>2.4820152866650024E-2</v>
      </c>
      <c r="D55" s="227">
        <f>Y55*(1-BASE!D55)</f>
        <v>6.9496428026620066E-2</v>
      </c>
      <c r="E55" s="227">
        <f>Z55*(1-BASE!E55)</f>
        <v>6.9496428026620066E-2</v>
      </c>
      <c r="F55" s="227">
        <f ca="1">AA55*(1-BASE!F55)</f>
        <v>4.9500000000000004E-3</v>
      </c>
      <c r="G55" s="227">
        <f ca="1">AB55*(1-BASE!G55)</f>
        <v>6.93E-2</v>
      </c>
      <c r="H55" s="227">
        <f ca="1">AC55*(1-BASE!H55)</f>
        <v>6.93E-2</v>
      </c>
      <c r="I55" s="227">
        <f ca="1">AD55*(1-BASE!I55)</f>
        <v>2.4750000000000001E-2</v>
      </c>
      <c r="J55" s="227">
        <f ca="1">AE55*(1-BASE!J55)</f>
        <v>2.4750000000000001E-2</v>
      </c>
      <c r="K55" s="227">
        <f ca="1">AF55*(1-BASE!K55)</f>
        <v>2.4750000000000001E-2</v>
      </c>
      <c r="L55" s="227">
        <f ca="1">AG55*(1-BASE!L55)</f>
        <v>2.4750000000000001E-2</v>
      </c>
      <c r="M55" s="227">
        <f ca="1">AH55*(1-BASE!M55)</f>
        <v>6.93E-2</v>
      </c>
      <c r="N55" s="227">
        <f ca="1">AI55*(1-BASE!N55)</f>
        <v>6.93E-2</v>
      </c>
      <c r="O55" s="227">
        <f ca="1">AJ55*(1-BASE!O55)</f>
        <v>9.8999999999999999E-4</v>
      </c>
      <c r="P55" s="227">
        <f ca="1">AK55*(1-BASE!P55)</f>
        <v>4.9500000000000004E-3</v>
      </c>
      <c r="Q55" s="227">
        <f ca="1">AL55*(1-BASE!Q55)</f>
        <v>4.9500000000000004E-3</v>
      </c>
      <c r="R55" s="227">
        <f ca="1">AM55*(1-BASE!R55)</f>
        <v>2.4750000000000001E-2</v>
      </c>
      <c r="S55" s="227">
        <f ca="1">AN55*(1-BASE!S55)</f>
        <v>6.93E-2</v>
      </c>
      <c r="T55" s="227">
        <f ca="1">AO55*(1-BASE!T55)</f>
        <v>4.9500000000000004E-3</v>
      </c>
      <c r="V55" s="225"/>
      <c r="X55" s="431">
        <v>2.4820152866650024E-2</v>
      </c>
      <c r="Y55" s="431">
        <v>6.9496428026620066E-2</v>
      </c>
      <c r="Z55" s="431">
        <v>6.9496428026620066E-2</v>
      </c>
      <c r="AA55" s="430">
        <f ca="1">FEAS!C55</f>
        <v>4.9500000000000004E-3</v>
      </c>
      <c r="AB55" s="430">
        <f ca="1">FEAS!D55</f>
        <v>6.93E-2</v>
      </c>
      <c r="AC55" s="430">
        <f ca="1">FEAS!E55</f>
        <v>6.93E-2</v>
      </c>
      <c r="AD55" s="430">
        <f ca="1">FEAS!F55</f>
        <v>2.4750000000000001E-2</v>
      </c>
      <c r="AE55" s="430">
        <f ca="1">FEAS!G55</f>
        <v>2.4750000000000001E-2</v>
      </c>
      <c r="AF55" s="430">
        <f ca="1">FEAS!H55</f>
        <v>2.4750000000000001E-2</v>
      </c>
      <c r="AG55" s="430">
        <f ca="1">FEAS!I55</f>
        <v>2.4750000000000001E-2</v>
      </c>
      <c r="AH55" s="430">
        <f ca="1">FEAS!J55</f>
        <v>6.93E-2</v>
      </c>
      <c r="AI55" s="430">
        <f ca="1">FEAS!K55</f>
        <v>6.93E-2</v>
      </c>
      <c r="AJ55" s="430">
        <f ca="1">FEAS!L55</f>
        <v>9.8999999999999999E-4</v>
      </c>
      <c r="AK55" s="430">
        <f ca="1">FEAS!M55</f>
        <v>4.9500000000000004E-3</v>
      </c>
      <c r="AL55" s="430">
        <f ca="1">FEAS!N55</f>
        <v>4.9500000000000004E-3</v>
      </c>
      <c r="AM55" s="430">
        <f ca="1">FEAS!O55</f>
        <v>2.4750000000000001E-2</v>
      </c>
      <c r="AN55" s="430">
        <f ca="1">FEAS!P55</f>
        <v>6.93E-2</v>
      </c>
      <c r="AO55" s="430">
        <f ca="1">FEAS!Q55</f>
        <v>4.9500000000000004E-3</v>
      </c>
      <c r="AP55" s="226">
        <v>0.01</v>
      </c>
    </row>
    <row r="56" spans="1:43" s="7" customFormat="1">
      <c r="A56" t="str">
        <f>MLIST!A56</f>
        <v>HVAC</v>
      </c>
      <c r="B56" s="415" t="str">
        <f>MLIST!D56</f>
        <v>Evaporator Roof Top HVAC-Retro</v>
      </c>
      <c r="C56" s="227">
        <f>X56*(1-BASE!C56)</f>
        <v>0.01</v>
      </c>
      <c r="D56" s="227">
        <f>Y56*(1-BASE!D56)</f>
        <v>0.01</v>
      </c>
      <c r="E56" s="227">
        <f>Z56*(1-BASE!E56)</f>
        <v>0.01</v>
      </c>
      <c r="F56" s="227">
        <f>AA56*(1-BASE!F56)</f>
        <v>0.01</v>
      </c>
      <c r="G56" s="227">
        <f>AB56*(1-BASE!G56)</f>
        <v>0.01</v>
      </c>
      <c r="H56" s="227">
        <f>AC56*(1-BASE!H56)</f>
        <v>0.01</v>
      </c>
      <c r="I56" s="227">
        <f>AD56*(1-BASE!I56)</f>
        <v>0.01</v>
      </c>
      <c r="J56" s="227">
        <f>AE56*(1-BASE!J56)</f>
        <v>0.01</v>
      </c>
      <c r="K56" s="227">
        <f>AF56*(1-BASE!K56)</f>
        <v>0.01</v>
      </c>
      <c r="L56" s="227">
        <f>AG56*(1-BASE!L56)</f>
        <v>0.01</v>
      </c>
      <c r="M56" s="227">
        <f>AH56*(1-BASE!M56)</f>
        <v>0.01</v>
      </c>
      <c r="N56" s="227">
        <f>AI56*(1-BASE!N56)</f>
        <v>0.01</v>
      </c>
      <c r="O56" s="227">
        <f>AJ56*(1-BASE!O56)</f>
        <v>0.01</v>
      </c>
      <c r="P56" s="227">
        <f>AK56*(1-BASE!P56)</f>
        <v>0.01</v>
      </c>
      <c r="Q56" s="227">
        <f>AL56*(1-BASE!Q56)</f>
        <v>0.01</v>
      </c>
      <c r="R56" s="227">
        <f>AM56*(1-BASE!R56)</f>
        <v>0.01</v>
      </c>
      <c r="S56" s="227">
        <f>AN56*(1-BASE!S56)</f>
        <v>0.01</v>
      </c>
      <c r="T56" s="227">
        <f>AO56*(1-BASE!T56)</f>
        <v>0.01</v>
      </c>
      <c r="V56" s="225"/>
      <c r="X56" s="226">
        <v>0.01</v>
      </c>
      <c r="Y56" s="226">
        <v>0.01</v>
      </c>
      <c r="Z56" s="226">
        <v>0.01</v>
      </c>
      <c r="AA56" s="226">
        <v>0.01</v>
      </c>
      <c r="AB56" s="226">
        <v>0.01</v>
      </c>
      <c r="AC56" s="226">
        <v>0.01</v>
      </c>
      <c r="AD56" s="226">
        <v>0.01</v>
      </c>
      <c r="AE56" s="226">
        <v>0.01</v>
      </c>
      <c r="AF56" s="226">
        <v>0.01</v>
      </c>
      <c r="AG56" s="226">
        <v>0.01</v>
      </c>
      <c r="AH56" s="226">
        <v>0.01</v>
      </c>
      <c r="AI56" s="226">
        <v>0.01</v>
      </c>
      <c r="AJ56" s="226">
        <v>0.01</v>
      </c>
      <c r="AK56" s="226">
        <v>0.01</v>
      </c>
      <c r="AL56" s="226">
        <v>0.01</v>
      </c>
      <c r="AM56" s="226">
        <v>0.01</v>
      </c>
      <c r="AN56" s="226">
        <v>0.01</v>
      </c>
      <c r="AO56" s="226">
        <v>0.01</v>
      </c>
      <c r="AP56" s="226">
        <v>0.01</v>
      </c>
    </row>
    <row r="57" spans="1:43" s="7" customFormat="1">
      <c r="A57" t="str">
        <f>MLIST!A57</f>
        <v>HVAC</v>
      </c>
      <c r="B57" t="str">
        <f>MLIST!D57</f>
        <v>Secondary Glazing Systems-Retro</v>
      </c>
      <c r="C57" s="227">
        <f>X57*(1-BASE!C57)</f>
        <v>0</v>
      </c>
      <c r="D57" s="227">
        <f>Y57*(1-BASE!D57)</f>
        <v>0</v>
      </c>
      <c r="E57" s="227">
        <f>Z57*(1-BASE!E57)</f>
        <v>0</v>
      </c>
      <c r="F57" s="227">
        <f>AA57*(1-BASE!F57)</f>
        <v>0</v>
      </c>
      <c r="G57" s="227">
        <f>AB57*(1-BASE!G57)</f>
        <v>0</v>
      </c>
      <c r="H57" s="227">
        <f>AC57*(1-BASE!H57)</f>
        <v>0</v>
      </c>
      <c r="I57" s="227">
        <f>AD57*(1-BASE!I57)</f>
        <v>0</v>
      </c>
      <c r="J57" s="227">
        <f>AE57*(1-BASE!J57)</f>
        <v>0</v>
      </c>
      <c r="K57" s="227">
        <f>AF57*(1-BASE!K57)</f>
        <v>0</v>
      </c>
      <c r="L57" s="227">
        <f>AG57*(1-BASE!L57)</f>
        <v>0</v>
      </c>
      <c r="M57" s="227">
        <f>AH57*(1-BASE!M57)</f>
        <v>0</v>
      </c>
      <c r="N57" s="227">
        <f>AI57*(1-BASE!N57)</f>
        <v>0</v>
      </c>
      <c r="O57" s="227">
        <f>AJ57*(1-BASE!O57)</f>
        <v>0</v>
      </c>
      <c r="P57" s="227">
        <f>AK57*(1-BASE!P57)</f>
        <v>0</v>
      </c>
      <c r="Q57" s="227">
        <f>AL57*(1-BASE!Q57)</f>
        <v>0</v>
      </c>
      <c r="R57" s="227">
        <f>AM57*(1-BASE!R57)</f>
        <v>0</v>
      </c>
      <c r="S57" s="227">
        <f>AN57*(1-BASE!S57)</f>
        <v>0</v>
      </c>
      <c r="T57" s="227">
        <f>AO57*(1-BASE!T57)</f>
        <v>0</v>
      </c>
      <c r="V57" s="225"/>
      <c r="X57" s="447">
        <v>0</v>
      </c>
      <c r="Y57" s="447">
        <v>0</v>
      </c>
      <c r="Z57" s="447">
        <v>0</v>
      </c>
      <c r="AA57" s="447">
        <v>0</v>
      </c>
      <c r="AB57" s="447">
        <v>0</v>
      </c>
      <c r="AC57" s="447">
        <v>0</v>
      </c>
      <c r="AD57" s="447">
        <v>0</v>
      </c>
      <c r="AE57" s="447">
        <v>0</v>
      </c>
      <c r="AF57" s="447">
        <v>0</v>
      </c>
      <c r="AG57" s="447">
        <v>0</v>
      </c>
      <c r="AH57" s="447">
        <v>0</v>
      </c>
      <c r="AI57" s="447">
        <v>0</v>
      </c>
      <c r="AJ57" s="447">
        <v>0</v>
      </c>
      <c r="AK57" s="447">
        <v>0</v>
      </c>
      <c r="AL57" s="447">
        <v>0</v>
      </c>
      <c r="AM57" s="447">
        <v>0</v>
      </c>
      <c r="AN57" s="447">
        <v>0</v>
      </c>
      <c r="AO57" s="447">
        <v>0</v>
      </c>
      <c r="AP57" s="447">
        <v>0</v>
      </c>
      <c r="AQ57" s="218" t="s">
        <v>856</v>
      </c>
    </row>
    <row r="58" spans="1:43">
      <c r="A58" t="str">
        <f>MLIST!A58</f>
        <v>Lighting</v>
      </c>
      <c r="B58" t="str">
        <f>MLIST!D58</f>
        <v>LPD Package-New</v>
      </c>
      <c r="C58" s="447">
        <f>X58*(1-BASE!C58)</f>
        <v>0</v>
      </c>
      <c r="D58" s="447">
        <f>Y58*(1-BASE!D58)</f>
        <v>0</v>
      </c>
      <c r="E58" s="447">
        <f>Z58*(1-BASE!E58)</f>
        <v>0</v>
      </c>
      <c r="F58" s="447">
        <f>AA58*(1-BASE!F58)</f>
        <v>0</v>
      </c>
      <c r="G58" s="447">
        <f>AB58*(1-BASE!G58)</f>
        <v>0</v>
      </c>
      <c r="H58" s="447">
        <f>AC58*(1-BASE!H58)</f>
        <v>0</v>
      </c>
      <c r="I58" s="447">
        <f>AD58*(1-BASE!I58)</f>
        <v>0</v>
      </c>
      <c r="J58" s="447">
        <f>AE58*(1-BASE!J58)</f>
        <v>0</v>
      </c>
      <c r="K58" s="447">
        <f>AF58*(1-BASE!K58)</f>
        <v>0</v>
      </c>
      <c r="L58" s="447">
        <f>AG58*(1-BASE!L58)</f>
        <v>0</v>
      </c>
      <c r="M58" s="447">
        <f>AH58*(1-BASE!M58)</f>
        <v>0</v>
      </c>
      <c r="N58" s="447">
        <f>AI58*(1-BASE!N58)</f>
        <v>0</v>
      </c>
      <c r="O58" s="447">
        <f>AJ58*(1-BASE!O58)</f>
        <v>0</v>
      </c>
      <c r="P58" s="447">
        <f>AK58*(1-BASE!P58)</f>
        <v>0</v>
      </c>
      <c r="Q58" s="447">
        <f>AL58*(1-BASE!Q58)</f>
        <v>0</v>
      </c>
      <c r="R58" s="447">
        <f>AM58*(1-BASE!R58)</f>
        <v>0</v>
      </c>
      <c r="S58" s="447">
        <f>AN58*(1-BASE!S58)</f>
        <v>0</v>
      </c>
      <c r="T58" s="447">
        <f>AO58*(1-BASE!T58)</f>
        <v>0</v>
      </c>
      <c r="V58" s="224"/>
      <c r="X58" s="447">
        <v>0</v>
      </c>
      <c r="Y58" s="447">
        <v>0</v>
      </c>
      <c r="Z58" s="447">
        <v>0</v>
      </c>
      <c r="AA58" s="447">
        <v>0</v>
      </c>
      <c r="AB58" s="447">
        <v>0</v>
      </c>
      <c r="AC58" s="447">
        <v>0</v>
      </c>
      <c r="AD58" s="447">
        <v>0</v>
      </c>
      <c r="AE58" s="447">
        <v>0</v>
      </c>
      <c r="AF58" s="447">
        <v>0</v>
      </c>
      <c r="AG58" s="447">
        <v>0</v>
      </c>
      <c r="AH58" s="447">
        <v>0</v>
      </c>
      <c r="AI58" s="447">
        <v>0</v>
      </c>
      <c r="AJ58" s="447">
        <v>0</v>
      </c>
      <c r="AK58" s="447">
        <v>0</v>
      </c>
      <c r="AL58" s="447">
        <v>0</v>
      </c>
      <c r="AM58" s="447">
        <v>0</v>
      </c>
      <c r="AN58" s="447">
        <v>0</v>
      </c>
      <c r="AO58" s="447">
        <v>0</v>
      </c>
      <c r="AP58" s="447">
        <v>0</v>
      </c>
      <c r="AQ58" s="218" t="s">
        <v>856</v>
      </c>
    </row>
    <row r="59" spans="1:43">
      <c r="A59" t="str">
        <f>MLIST!A59</f>
        <v>Lighting</v>
      </c>
      <c r="B59" t="str">
        <f>MLIST!D59</f>
        <v>LPD Package-NR</v>
      </c>
      <c r="C59" s="447">
        <f>X59*(1-BASE!C59)</f>
        <v>0</v>
      </c>
      <c r="D59" s="447">
        <f>Y59*(1-BASE!D59)</f>
        <v>0</v>
      </c>
      <c r="E59" s="447">
        <f>Z59*(1-BASE!E59)</f>
        <v>0</v>
      </c>
      <c r="F59" s="447">
        <f>AA59*(1-BASE!F59)</f>
        <v>0</v>
      </c>
      <c r="G59" s="447">
        <f>AB59*(1-BASE!G59)</f>
        <v>0</v>
      </c>
      <c r="H59" s="447">
        <f>AC59*(1-BASE!H59)</f>
        <v>0</v>
      </c>
      <c r="I59" s="447">
        <f>AD59*(1-BASE!I59)</f>
        <v>0</v>
      </c>
      <c r="J59" s="447">
        <f>AE59*(1-BASE!J59)</f>
        <v>0</v>
      </c>
      <c r="K59" s="447">
        <f>AF59*(1-BASE!K59)</f>
        <v>0</v>
      </c>
      <c r="L59" s="447">
        <f>AG59*(1-BASE!L59)</f>
        <v>0</v>
      </c>
      <c r="M59" s="447">
        <f>AH59*(1-BASE!M59)</f>
        <v>0</v>
      </c>
      <c r="N59" s="447">
        <f>AI59*(1-BASE!N59)</f>
        <v>0</v>
      </c>
      <c r="O59" s="447">
        <f>AJ59*(1-BASE!O59)</f>
        <v>0</v>
      </c>
      <c r="P59" s="447">
        <f>AK59*(1-BASE!P59)</f>
        <v>0</v>
      </c>
      <c r="Q59" s="447">
        <f>AL59*(1-BASE!Q59)</f>
        <v>0</v>
      </c>
      <c r="R59" s="447">
        <f>AM59*(1-BASE!R59)</f>
        <v>0</v>
      </c>
      <c r="S59" s="447">
        <f>AN59*(1-BASE!S59)</f>
        <v>0</v>
      </c>
      <c r="T59" s="447">
        <f>AO59*(1-BASE!T59)</f>
        <v>0</v>
      </c>
      <c r="V59" s="224"/>
      <c r="X59" s="447">
        <v>0</v>
      </c>
      <c r="Y59" s="447">
        <v>0</v>
      </c>
      <c r="Z59" s="447">
        <v>0</v>
      </c>
      <c r="AA59" s="447">
        <v>0</v>
      </c>
      <c r="AB59" s="447">
        <v>0</v>
      </c>
      <c r="AC59" s="447">
        <v>0</v>
      </c>
      <c r="AD59" s="447">
        <v>0</v>
      </c>
      <c r="AE59" s="447">
        <v>0</v>
      </c>
      <c r="AF59" s="447">
        <v>0</v>
      </c>
      <c r="AG59" s="447">
        <v>0</v>
      </c>
      <c r="AH59" s="447">
        <v>0</v>
      </c>
      <c r="AI59" s="447">
        <v>0</v>
      </c>
      <c r="AJ59" s="447">
        <v>0</v>
      </c>
      <c r="AK59" s="447">
        <v>0</v>
      </c>
      <c r="AL59" s="447">
        <v>0</v>
      </c>
      <c r="AM59" s="447">
        <v>0</v>
      </c>
      <c r="AN59" s="447">
        <v>0</v>
      </c>
      <c r="AO59" s="447">
        <v>0</v>
      </c>
      <c r="AP59" s="447">
        <v>0</v>
      </c>
      <c r="AQ59" s="218" t="s">
        <v>856</v>
      </c>
    </row>
    <row r="60" spans="1:43">
      <c r="A60" t="str">
        <f>MLIST!A60</f>
        <v>Lighting</v>
      </c>
      <c r="B60" t="str">
        <f>MLIST!D60</f>
        <v>LPD Package-Retro</v>
      </c>
      <c r="C60" s="447">
        <f>X60*(1-BASE!C60)</f>
        <v>0</v>
      </c>
      <c r="D60" s="447">
        <f>Y60*(1-BASE!D60)</f>
        <v>0</v>
      </c>
      <c r="E60" s="447">
        <f>Z60*(1-BASE!E60)</f>
        <v>0</v>
      </c>
      <c r="F60" s="447">
        <f>AA60*(1-BASE!F60)</f>
        <v>0</v>
      </c>
      <c r="G60" s="447">
        <f>AB60*(1-BASE!G60)</f>
        <v>0</v>
      </c>
      <c r="H60" s="447">
        <f>AC60*(1-BASE!H60)</f>
        <v>0</v>
      </c>
      <c r="I60" s="447">
        <f>AD60*(1-BASE!I60)</f>
        <v>0</v>
      </c>
      <c r="J60" s="447">
        <f>AE60*(1-BASE!J60)</f>
        <v>0</v>
      </c>
      <c r="K60" s="447">
        <f>AF60*(1-BASE!K60)</f>
        <v>0</v>
      </c>
      <c r="L60" s="447">
        <f>AG60*(1-BASE!L60)</f>
        <v>0</v>
      </c>
      <c r="M60" s="447">
        <f>AH60*(1-BASE!M60)</f>
        <v>0</v>
      </c>
      <c r="N60" s="447">
        <f>AI60*(1-BASE!N60)</f>
        <v>0</v>
      </c>
      <c r="O60" s="447">
        <f>AJ60*(1-BASE!O60)</f>
        <v>0</v>
      </c>
      <c r="P60" s="447">
        <f>AK60*(1-BASE!P60)</f>
        <v>0</v>
      </c>
      <c r="Q60" s="447">
        <f>AL60*(1-BASE!Q60)</f>
        <v>0</v>
      </c>
      <c r="R60" s="447">
        <f>AM60*(1-BASE!R60)</f>
        <v>0</v>
      </c>
      <c r="S60" s="447">
        <f>AN60*(1-BASE!S60)</f>
        <v>0</v>
      </c>
      <c r="T60" s="447">
        <f>AO60*(1-BASE!T60)</f>
        <v>0</v>
      </c>
      <c r="V60" s="224"/>
      <c r="X60" s="447">
        <v>0</v>
      </c>
      <c r="Y60" s="447">
        <v>0</v>
      </c>
      <c r="Z60" s="447">
        <v>0</v>
      </c>
      <c r="AA60" s="447">
        <v>0</v>
      </c>
      <c r="AB60" s="447">
        <v>0</v>
      </c>
      <c r="AC60" s="447">
        <v>0</v>
      </c>
      <c r="AD60" s="447">
        <v>0</v>
      </c>
      <c r="AE60" s="447">
        <v>0</v>
      </c>
      <c r="AF60" s="447">
        <v>0</v>
      </c>
      <c r="AG60" s="447">
        <v>0</v>
      </c>
      <c r="AH60" s="447">
        <v>0</v>
      </c>
      <c r="AI60" s="447">
        <v>0</v>
      </c>
      <c r="AJ60" s="447">
        <v>0</v>
      </c>
      <c r="AK60" s="447">
        <v>0</v>
      </c>
      <c r="AL60" s="447">
        <v>0</v>
      </c>
      <c r="AM60" s="447">
        <v>0</v>
      </c>
      <c r="AN60" s="447">
        <v>0</v>
      </c>
      <c r="AO60" s="447">
        <v>0</v>
      </c>
      <c r="AP60" s="447">
        <v>0</v>
      </c>
      <c r="AQ60" s="218" t="s">
        <v>856</v>
      </c>
    </row>
    <row r="61" spans="1:43">
      <c r="A61" t="str">
        <f>MLIST!A61</f>
        <v>Lighting</v>
      </c>
      <c r="B61" s="415" t="str">
        <f>MLIST!D61</f>
        <v>Top Daylighting-New</v>
      </c>
      <c r="C61" s="227">
        <f>X61*(1-BASE!C61)</f>
        <v>0</v>
      </c>
      <c r="D61" s="227">
        <f>Y61*(1-BASE!D61)</f>
        <v>0</v>
      </c>
      <c r="E61" s="227">
        <f>Z61*(1-BASE!E61)</f>
        <v>0</v>
      </c>
      <c r="F61" s="227">
        <f>AA61*(1-BASE!F61)</f>
        <v>0</v>
      </c>
      <c r="G61" s="227">
        <f>AB61*(1-BASE!G61)</f>
        <v>0</v>
      </c>
      <c r="H61" s="227">
        <f>AC61*(1-BASE!H61)</f>
        <v>0</v>
      </c>
      <c r="I61" s="227">
        <f>AD61*(1-BASE!I61)</f>
        <v>0</v>
      </c>
      <c r="J61" s="227">
        <f>AE61*(1-BASE!J61)</f>
        <v>0</v>
      </c>
      <c r="K61" s="227">
        <f>AF61*(1-BASE!K61)</f>
        <v>0</v>
      </c>
      <c r="L61" s="227">
        <f>AG61*(1-BASE!L61)</f>
        <v>0</v>
      </c>
      <c r="M61" s="227">
        <f>AH61*(1-BASE!M61)</f>
        <v>0</v>
      </c>
      <c r="N61" s="227">
        <f>AI61*(1-BASE!N61)</f>
        <v>0</v>
      </c>
      <c r="O61" s="227">
        <f>AJ61*(1-BASE!O61)</f>
        <v>0</v>
      </c>
      <c r="P61" s="227">
        <f>AK61*(1-BASE!P61)</f>
        <v>0</v>
      </c>
      <c r="Q61" s="227">
        <f>AL61*(1-BASE!Q61)</f>
        <v>0</v>
      </c>
      <c r="R61" s="227">
        <f>AM61*(1-BASE!R61)</f>
        <v>0</v>
      </c>
      <c r="S61" s="227">
        <f>AN61*(1-BASE!S61)</f>
        <v>0</v>
      </c>
      <c r="T61" s="227">
        <f>AO61*(1-BASE!T61)</f>
        <v>0</v>
      </c>
      <c r="V61" s="224"/>
      <c r="X61" s="226">
        <v>0</v>
      </c>
      <c r="Y61" s="226">
        <v>0</v>
      </c>
      <c r="Z61" s="226">
        <v>0</v>
      </c>
      <c r="AA61" s="226">
        <v>0</v>
      </c>
      <c r="AB61" s="226">
        <v>0</v>
      </c>
      <c r="AC61" s="226">
        <v>0</v>
      </c>
      <c r="AD61" s="226">
        <v>0</v>
      </c>
      <c r="AE61" s="226">
        <v>0</v>
      </c>
      <c r="AF61" s="226">
        <v>0</v>
      </c>
      <c r="AG61" s="226">
        <v>0</v>
      </c>
      <c r="AH61" s="226">
        <v>0</v>
      </c>
      <c r="AI61" s="226">
        <v>0</v>
      </c>
      <c r="AJ61" s="226">
        <v>0</v>
      </c>
      <c r="AK61" s="226">
        <v>0</v>
      </c>
      <c r="AL61" s="226">
        <v>0</v>
      </c>
      <c r="AM61" s="226">
        <v>0</v>
      </c>
      <c r="AN61" s="226">
        <v>0</v>
      </c>
      <c r="AO61" s="226">
        <v>0</v>
      </c>
      <c r="AP61" s="226">
        <v>0</v>
      </c>
    </row>
    <row r="62" spans="1:43">
      <c r="A62" t="str">
        <f>MLIST!A62</f>
        <v>Lighting</v>
      </c>
      <c r="B62" s="415" t="str">
        <f>MLIST!D62</f>
        <v>Perimeter Daylighting Controls Advanced-New</v>
      </c>
      <c r="C62" s="227">
        <f>X62*(1-BASE!C62)</f>
        <v>0</v>
      </c>
      <c r="D62" s="227">
        <f>Y62*(1-BASE!D62)</f>
        <v>0</v>
      </c>
      <c r="E62" s="227">
        <f>Z62*(1-BASE!E62)</f>
        <v>0</v>
      </c>
      <c r="F62" s="227">
        <f>AA62*(1-BASE!F62)</f>
        <v>0</v>
      </c>
      <c r="G62" s="227">
        <f>AB62*(1-BASE!G62)</f>
        <v>0</v>
      </c>
      <c r="H62" s="227">
        <f>AC62*(1-BASE!H62)</f>
        <v>0</v>
      </c>
      <c r="I62" s="227">
        <f>AD62*(1-BASE!I62)</f>
        <v>0</v>
      </c>
      <c r="J62" s="227">
        <f>AE62*(1-BASE!J62)</f>
        <v>0</v>
      </c>
      <c r="K62" s="227">
        <f>AF62*(1-BASE!K62)</f>
        <v>0</v>
      </c>
      <c r="L62" s="227">
        <f>AG62*(1-BASE!L62)</f>
        <v>0</v>
      </c>
      <c r="M62" s="227">
        <f>AH62*(1-BASE!M62)</f>
        <v>0</v>
      </c>
      <c r="N62" s="227">
        <f>AI62*(1-BASE!N62)</f>
        <v>0</v>
      </c>
      <c r="O62" s="227">
        <f>AJ62*(1-BASE!O62)</f>
        <v>0</v>
      </c>
      <c r="P62" s="227">
        <f>AK62*(1-BASE!P62)</f>
        <v>0</v>
      </c>
      <c r="Q62" s="227">
        <f>AL62*(1-BASE!Q62)</f>
        <v>0</v>
      </c>
      <c r="R62" s="227">
        <f>AM62*(1-BASE!R62)</f>
        <v>0</v>
      </c>
      <c r="S62" s="227">
        <f>AN62*(1-BASE!S62)</f>
        <v>0</v>
      </c>
      <c r="T62" s="227">
        <f>AO62*(1-BASE!T62)</f>
        <v>0</v>
      </c>
      <c r="V62" s="224"/>
      <c r="X62" s="226">
        <v>0</v>
      </c>
      <c r="Y62" s="226">
        <v>0</v>
      </c>
      <c r="Z62" s="226">
        <v>0</v>
      </c>
      <c r="AA62" s="226">
        <v>0</v>
      </c>
      <c r="AB62" s="226">
        <v>0</v>
      </c>
      <c r="AC62" s="226">
        <v>0</v>
      </c>
      <c r="AD62" s="226">
        <v>0</v>
      </c>
      <c r="AE62" s="226">
        <v>0</v>
      </c>
      <c r="AF62" s="226">
        <v>0</v>
      </c>
      <c r="AG62" s="226">
        <v>0</v>
      </c>
      <c r="AH62" s="226">
        <v>0</v>
      </c>
      <c r="AI62" s="226">
        <v>0</v>
      </c>
      <c r="AJ62" s="226">
        <v>0</v>
      </c>
      <c r="AK62" s="226">
        <v>0</v>
      </c>
      <c r="AL62" s="226">
        <v>0</v>
      </c>
      <c r="AM62" s="226">
        <v>0</v>
      </c>
      <c r="AN62" s="226">
        <v>0</v>
      </c>
      <c r="AO62" s="226">
        <v>0</v>
      </c>
      <c r="AP62" s="226">
        <v>0</v>
      </c>
    </row>
    <row r="63" spans="1:43">
      <c r="A63" t="str">
        <f>MLIST!A63</f>
        <v>Lighting</v>
      </c>
      <c r="B63" t="str">
        <f>MLIST!D63</f>
        <v>Perimeter Daylighting Controls Advanced-NR</v>
      </c>
      <c r="C63" s="227">
        <f>X63*(1-BASE!C63)</f>
        <v>0</v>
      </c>
      <c r="D63" s="227">
        <f>Y63*(1-BASE!D63)</f>
        <v>0</v>
      </c>
      <c r="E63" s="227">
        <f>Z63*(1-BASE!E63)</f>
        <v>0</v>
      </c>
      <c r="F63" s="227">
        <f>AA63*(1-BASE!F63)</f>
        <v>0</v>
      </c>
      <c r="G63" s="227">
        <f>AB63*(1-BASE!G63)</f>
        <v>0</v>
      </c>
      <c r="H63" s="227">
        <f>AC63*(1-BASE!H63)</f>
        <v>0</v>
      </c>
      <c r="I63" s="227">
        <f>AD63*(1-BASE!I63)</f>
        <v>0</v>
      </c>
      <c r="J63" s="227">
        <f>AE63*(1-BASE!J63)</f>
        <v>0</v>
      </c>
      <c r="K63" s="227">
        <f>AF63*(1-BASE!K63)</f>
        <v>0</v>
      </c>
      <c r="L63" s="227">
        <f>AG63*(1-BASE!L63)</f>
        <v>0</v>
      </c>
      <c r="M63" s="227">
        <f>AH63*(1-BASE!M63)</f>
        <v>0</v>
      </c>
      <c r="N63" s="227">
        <f>AI63*(1-BASE!N63)</f>
        <v>0</v>
      </c>
      <c r="O63" s="227">
        <f>AJ63*(1-BASE!O63)</f>
        <v>0</v>
      </c>
      <c r="P63" s="227">
        <f>AK63*(1-BASE!P63)</f>
        <v>0</v>
      </c>
      <c r="Q63" s="227">
        <f>AL63*(1-BASE!Q63)</f>
        <v>0</v>
      </c>
      <c r="R63" s="227">
        <f>AM63*(1-BASE!R63)</f>
        <v>0</v>
      </c>
      <c r="S63" s="227">
        <f>AN63*(1-BASE!S63)</f>
        <v>0</v>
      </c>
      <c r="T63" s="227">
        <f>AO63*(1-BASE!T63)</f>
        <v>0</v>
      </c>
      <c r="V63" s="224"/>
      <c r="X63" s="226">
        <v>0</v>
      </c>
      <c r="Y63" s="226">
        <v>0</v>
      </c>
      <c r="Z63" s="226">
        <v>0</v>
      </c>
      <c r="AA63" s="226">
        <v>0</v>
      </c>
      <c r="AB63" s="226">
        <v>0</v>
      </c>
      <c r="AC63" s="226">
        <v>0</v>
      </c>
      <c r="AD63" s="226">
        <v>0</v>
      </c>
      <c r="AE63" s="226">
        <v>0</v>
      </c>
      <c r="AF63" s="226">
        <v>0</v>
      </c>
      <c r="AG63" s="226">
        <v>0</v>
      </c>
      <c r="AH63" s="226">
        <v>0</v>
      </c>
      <c r="AI63" s="226">
        <v>0</v>
      </c>
      <c r="AJ63" s="226">
        <v>0</v>
      </c>
      <c r="AK63" s="226">
        <v>0</v>
      </c>
      <c r="AL63" s="226">
        <v>0</v>
      </c>
      <c r="AM63" s="226">
        <v>0</v>
      </c>
      <c r="AN63" s="226">
        <v>0</v>
      </c>
      <c r="AO63" s="226">
        <v>0</v>
      </c>
      <c r="AP63" s="226">
        <v>0</v>
      </c>
    </row>
    <row r="64" spans="1:43">
      <c r="A64" t="str">
        <f>MLIST!A64</f>
        <v>Lighting</v>
      </c>
      <c r="B64" t="str">
        <f>MLIST!D64</f>
        <v>Lighting Controls Interior-New</v>
      </c>
      <c r="C64" s="227">
        <f>X64*(1-BASE!C64)</f>
        <v>0</v>
      </c>
      <c r="D64" s="227">
        <f>Y64*(1-BASE!D64)</f>
        <v>0</v>
      </c>
      <c r="E64" s="227">
        <f>Z64*(1-BASE!E64)</f>
        <v>0</v>
      </c>
      <c r="F64" s="227">
        <f>AA64*(1-BASE!F64)</f>
        <v>0</v>
      </c>
      <c r="G64" s="227">
        <f>AB64*(1-BASE!G64)</f>
        <v>0</v>
      </c>
      <c r="H64" s="227">
        <f>AC64*(1-BASE!H64)</f>
        <v>0</v>
      </c>
      <c r="I64" s="227">
        <f>AD64*(1-BASE!I64)</f>
        <v>0</v>
      </c>
      <c r="J64" s="227">
        <f>AE64*(1-BASE!J64)</f>
        <v>0</v>
      </c>
      <c r="K64" s="227">
        <f>AF64*(1-BASE!K64)</f>
        <v>0</v>
      </c>
      <c r="L64" s="227">
        <f>AG64*(1-BASE!L64)</f>
        <v>0</v>
      </c>
      <c r="M64" s="227">
        <f>AH64*(1-BASE!M64)</f>
        <v>0</v>
      </c>
      <c r="N64" s="227">
        <f>AI64*(1-BASE!N64)</f>
        <v>0</v>
      </c>
      <c r="O64" s="227">
        <f>AJ64*(1-BASE!O64)</f>
        <v>0</v>
      </c>
      <c r="P64" s="227">
        <f>AK64*(1-BASE!P64)</f>
        <v>0</v>
      </c>
      <c r="Q64" s="227">
        <f>AL64*(1-BASE!Q64)</f>
        <v>0</v>
      </c>
      <c r="R64" s="227">
        <f>AM64*(1-BASE!R64)</f>
        <v>0</v>
      </c>
      <c r="S64" s="227">
        <f>AN64*(1-BASE!S64)</f>
        <v>0</v>
      </c>
      <c r="T64" s="227">
        <f>AO64*(1-BASE!T64)</f>
        <v>0</v>
      </c>
      <c r="V64" s="224"/>
      <c r="X64" s="226">
        <v>0</v>
      </c>
      <c r="Y64" s="226">
        <v>0</v>
      </c>
      <c r="Z64" s="226">
        <v>0</v>
      </c>
      <c r="AA64" s="226">
        <v>0</v>
      </c>
      <c r="AB64" s="226">
        <v>0</v>
      </c>
      <c r="AC64" s="226">
        <v>0</v>
      </c>
      <c r="AD64" s="226">
        <v>0</v>
      </c>
      <c r="AE64" s="226">
        <v>0</v>
      </c>
      <c r="AF64" s="226">
        <v>0</v>
      </c>
      <c r="AG64" s="226">
        <v>0</v>
      </c>
      <c r="AH64" s="226">
        <v>0</v>
      </c>
      <c r="AI64" s="226">
        <v>0</v>
      </c>
      <c r="AJ64" s="226">
        <v>0</v>
      </c>
      <c r="AK64" s="226">
        <v>0</v>
      </c>
      <c r="AL64" s="226">
        <v>0</v>
      </c>
      <c r="AM64" s="226">
        <v>0</v>
      </c>
      <c r="AN64" s="226">
        <v>0</v>
      </c>
      <c r="AO64" s="226">
        <v>0</v>
      </c>
      <c r="AP64" s="226">
        <v>0</v>
      </c>
    </row>
    <row r="65" spans="1:43">
      <c r="A65" t="str">
        <f>MLIST!A65</f>
        <v>Lighting</v>
      </c>
      <c r="B65" t="str">
        <f>MLIST!D65</f>
        <v>Lighting Controls Interior-NR</v>
      </c>
      <c r="C65" s="227">
        <f>X65*(1-BASE!C65)</f>
        <v>0</v>
      </c>
      <c r="D65" s="227">
        <f>Y65*(1-BASE!D65)</f>
        <v>0</v>
      </c>
      <c r="E65" s="227">
        <f>Z65*(1-BASE!E65)</f>
        <v>0</v>
      </c>
      <c r="F65" s="227">
        <f>AA65*(1-BASE!F65)</f>
        <v>0</v>
      </c>
      <c r="G65" s="227">
        <f>AB65*(1-BASE!G65)</f>
        <v>0</v>
      </c>
      <c r="H65" s="227">
        <f>AC65*(1-BASE!H65)</f>
        <v>0</v>
      </c>
      <c r="I65" s="227">
        <f>AD65*(1-BASE!I65)</f>
        <v>0</v>
      </c>
      <c r="J65" s="227">
        <f>AE65*(1-BASE!J65)</f>
        <v>0</v>
      </c>
      <c r="K65" s="227">
        <f>AF65*(1-BASE!K65)</f>
        <v>0</v>
      </c>
      <c r="L65" s="227">
        <f>AG65*(1-BASE!L65)</f>
        <v>0</v>
      </c>
      <c r="M65" s="227">
        <f>AH65*(1-BASE!M65)</f>
        <v>0</v>
      </c>
      <c r="N65" s="227">
        <f>AI65*(1-BASE!N65)</f>
        <v>0</v>
      </c>
      <c r="O65" s="227">
        <f>AJ65*(1-BASE!O65)</f>
        <v>0</v>
      </c>
      <c r="P65" s="227">
        <f>AK65*(1-BASE!P65)</f>
        <v>0</v>
      </c>
      <c r="Q65" s="227">
        <f>AL65*(1-BASE!Q65)</f>
        <v>0</v>
      </c>
      <c r="R65" s="227">
        <f>AM65*(1-BASE!R65)</f>
        <v>0</v>
      </c>
      <c r="S65" s="227">
        <f>AN65*(1-BASE!S65)</f>
        <v>0</v>
      </c>
      <c r="T65" s="227">
        <f>AO65*(1-BASE!T65)</f>
        <v>0</v>
      </c>
      <c r="V65" s="224"/>
      <c r="X65" s="226">
        <v>0</v>
      </c>
      <c r="Y65" s="226">
        <v>0</v>
      </c>
      <c r="Z65" s="226">
        <v>0</v>
      </c>
      <c r="AA65" s="226">
        <v>0</v>
      </c>
      <c r="AB65" s="226">
        <v>0</v>
      </c>
      <c r="AC65" s="226">
        <v>0</v>
      </c>
      <c r="AD65" s="226">
        <v>0</v>
      </c>
      <c r="AE65" s="226">
        <v>0</v>
      </c>
      <c r="AF65" s="226">
        <v>0</v>
      </c>
      <c r="AG65" s="226">
        <v>0</v>
      </c>
      <c r="AH65" s="226">
        <v>0</v>
      </c>
      <c r="AI65" s="226">
        <v>0</v>
      </c>
      <c r="AJ65" s="226">
        <v>0</v>
      </c>
      <c r="AK65" s="226">
        <v>0</v>
      </c>
      <c r="AL65" s="226">
        <v>0</v>
      </c>
      <c r="AM65" s="226">
        <v>0</v>
      </c>
      <c r="AN65" s="226">
        <v>0</v>
      </c>
      <c r="AO65" s="226">
        <v>0</v>
      </c>
      <c r="AP65" s="226">
        <v>0</v>
      </c>
    </row>
    <row r="66" spans="1:43">
      <c r="A66" t="str">
        <f>MLIST!A66</f>
        <v>Lighting</v>
      </c>
      <c r="B66" t="str">
        <f>MLIST!D66</f>
        <v>Exterior Building Lighting-New</v>
      </c>
      <c r="C66" s="227">
        <f>X66*(1-BASE!C66)</f>
        <v>0</v>
      </c>
      <c r="D66" s="227">
        <f>Y66*(1-BASE!D66)</f>
        <v>0</v>
      </c>
      <c r="E66" s="227">
        <f>Z66*(1-BASE!E66)</f>
        <v>0</v>
      </c>
      <c r="F66" s="227">
        <f>AA66*(1-BASE!F66)</f>
        <v>0</v>
      </c>
      <c r="G66" s="227">
        <f>AB66*(1-BASE!G66)</f>
        <v>0</v>
      </c>
      <c r="H66" s="227">
        <f>AC66*(1-BASE!H66)</f>
        <v>0</v>
      </c>
      <c r="I66" s="227">
        <f>AD66*(1-BASE!I66)</f>
        <v>0</v>
      </c>
      <c r="J66" s="227">
        <f>AE66*(1-BASE!J66)</f>
        <v>0</v>
      </c>
      <c r="K66" s="227">
        <f>AF66*(1-BASE!K66)</f>
        <v>0</v>
      </c>
      <c r="L66" s="227">
        <f>AG66*(1-BASE!L66)</f>
        <v>0</v>
      </c>
      <c r="M66" s="227">
        <f>AH66*(1-BASE!M66)</f>
        <v>0</v>
      </c>
      <c r="N66" s="227">
        <f>AI66*(1-BASE!N66)</f>
        <v>0</v>
      </c>
      <c r="O66" s="227">
        <f>AJ66*(1-BASE!O66)</f>
        <v>0</v>
      </c>
      <c r="P66" s="227">
        <f>AK66*(1-BASE!P66)</f>
        <v>0</v>
      </c>
      <c r="Q66" s="227">
        <f>AL66*(1-BASE!Q66)</f>
        <v>0</v>
      </c>
      <c r="R66" s="227">
        <f>AM66*(1-BASE!R66)</f>
        <v>0</v>
      </c>
      <c r="S66" s="227">
        <f>AN66*(1-BASE!S66)</f>
        <v>0</v>
      </c>
      <c r="T66" s="227">
        <f>AO66*(1-BASE!T66)</f>
        <v>0</v>
      </c>
      <c r="U66" s="223"/>
      <c r="V66" s="224"/>
      <c r="X66" s="403">
        <v>0</v>
      </c>
      <c r="Y66" s="403">
        <v>0</v>
      </c>
      <c r="Z66" s="403">
        <v>0</v>
      </c>
      <c r="AA66" s="403">
        <v>0</v>
      </c>
      <c r="AB66" s="403">
        <v>0</v>
      </c>
      <c r="AC66" s="403">
        <v>0</v>
      </c>
      <c r="AD66" s="403">
        <v>0</v>
      </c>
      <c r="AE66" s="403">
        <v>0</v>
      </c>
      <c r="AF66" s="403">
        <v>0</v>
      </c>
      <c r="AG66" s="403">
        <v>0</v>
      </c>
      <c r="AH66" s="403">
        <v>0</v>
      </c>
      <c r="AI66" s="403">
        <v>0</v>
      </c>
      <c r="AJ66" s="403">
        <v>0</v>
      </c>
      <c r="AK66" s="403">
        <v>0</v>
      </c>
      <c r="AL66" s="403">
        <v>0</v>
      </c>
      <c r="AM66" s="403">
        <v>0</v>
      </c>
      <c r="AN66" s="403">
        <v>0</v>
      </c>
      <c r="AO66" s="403">
        <v>0</v>
      </c>
      <c r="AP66" s="404">
        <v>0</v>
      </c>
      <c r="AQ66" s="218" t="s">
        <v>856</v>
      </c>
    </row>
    <row r="67" spans="1:43">
      <c r="A67" t="str">
        <f>MLIST!A67</f>
        <v>Lighting</v>
      </c>
      <c r="B67" t="str">
        <f>MLIST!D67</f>
        <v>Exterior Building Lighting-NR</v>
      </c>
      <c r="C67" s="227">
        <f>X67*(1-BASE!C67)</f>
        <v>0</v>
      </c>
      <c r="D67" s="227">
        <f>Y67*(1-BASE!D67)</f>
        <v>0</v>
      </c>
      <c r="E67" s="227">
        <f>Z67*(1-BASE!E67)</f>
        <v>0</v>
      </c>
      <c r="F67" s="227">
        <f>AA67*(1-BASE!F67)</f>
        <v>0</v>
      </c>
      <c r="G67" s="227">
        <f>AB67*(1-BASE!G67)</f>
        <v>0</v>
      </c>
      <c r="H67" s="227">
        <f>AC67*(1-BASE!H67)</f>
        <v>0</v>
      </c>
      <c r="I67" s="227">
        <f>AD67*(1-BASE!I67)</f>
        <v>0</v>
      </c>
      <c r="J67" s="227">
        <f>AE67*(1-BASE!J67)</f>
        <v>0</v>
      </c>
      <c r="K67" s="227">
        <f>AF67*(1-BASE!K67)</f>
        <v>0</v>
      </c>
      <c r="L67" s="227">
        <f>AG67*(1-BASE!L67)</f>
        <v>0</v>
      </c>
      <c r="M67" s="227">
        <f>AH67*(1-BASE!M67)</f>
        <v>0</v>
      </c>
      <c r="N67" s="227">
        <f>AI67*(1-BASE!N67)</f>
        <v>0</v>
      </c>
      <c r="O67" s="227">
        <f>AJ67*(1-BASE!O67)</f>
        <v>0</v>
      </c>
      <c r="P67" s="227">
        <f>AK67*(1-BASE!P67)</f>
        <v>0</v>
      </c>
      <c r="Q67" s="227">
        <f>AL67*(1-BASE!Q67)</f>
        <v>0</v>
      </c>
      <c r="R67" s="227">
        <f>AM67*(1-BASE!R67)</f>
        <v>0</v>
      </c>
      <c r="S67" s="227">
        <f>AN67*(1-BASE!S67)</f>
        <v>0</v>
      </c>
      <c r="T67" s="227">
        <f>AO67*(1-BASE!T67)</f>
        <v>0</v>
      </c>
      <c r="U67" s="223"/>
      <c r="V67" s="224"/>
      <c r="X67" s="403">
        <v>0</v>
      </c>
      <c r="Y67" s="403">
        <v>0</v>
      </c>
      <c r="Z67" s="403">
        <v>0</v>
      </c>
      <c r="AA67" s="403">
        <v>0</v>
      </c>
      <c r="AB67" s="403">
        <v>0</v>
      </c>
      <c r="AC67" s="403">
        <v>0</v>
      </c>
      <c r="AD67" s="403">
        <v>0</v>
      </c>
      <c r="AE67" s="403">
        <v>0</v>
      </c>
      <c r="AF67" s="403">
        <v>0</v>
      </c>
      <c r="AG67" s="403">
        <v>0</v>
      </c>
      <c r="AH67" s="403">
        <v>0</v>
      </c>
      <c r="AI67" s="403">
        <v>0</v>
      </c>
      <c r="AJ67" s="403">
        <v>0</v>
      </c>
      <c r="AK67" s="403">
        <v>0</v>
      </c>
      <c r="AL67" s="403">
        <v>0</v>
      </c>
      <c r="AM67" s="403">
        <v>0</v>
      </c>
      <c r="AN67" s="403">
        <v>0</v>
      </c>
      <c r="AO67" s="403">
        <v>0</v>
      </c>
      <c r="AP67" s="404">
        <v>0</v>
      </c>
      <c r="AQ67" s="218" t="s">
        <v>856</v>
      </c>
    </row>
    <row r="68" spans="1:43">
      <c r="A68" t="str">
        <f>MLIST!A68</f>
        <v>Lighting</v>
      </c>
      <c r="B68" t="str">
        <f>MLIST!D68</f>
        <v>Street and Roadway Lighting-New</v>
      </c>
      <c r="C68" s="227">
        <f>X68*(1-BASE!C68)</f>
        <v>0</v>
      </c>
      <c r="D68" s="227">
        <f>Y68*(1-BASE!D68)</f>
        <v>0</v>
      </c>
      <c r="E68" s="227">
        <f>Z68*(1-BASE!E68)</f>
        <v>0</v>
      </c>
      <c r="F68" s="227">
        <f>AA68*(1-BASE!F68)</f>
        <v>0</v>
      </c>
      <c r="G68" s="227">
        <f>AB68*(1-BASE!G68)</f>
        <v>0</v>
      </c>
      <c r="H68" s="227">
        <f>AC68*(1-BASE!H68)</f>
        <v>0</v>
      </c>
      <c r="I68" s="227">
        <f>AD68*(1-BASE!I68)</f>
        <v>0</v>
      </c>
      <c r="J68" s="227">
        <f>AE68*(1-BASE!J68)</f>
        <v>0</v>
      </c>
      <c r="K68" s="227">
        <f>AF68*(1-BASE!K68)</f>
        <v>0</v>
      </c>
      <c r="L68" s="227">
        <f>AG68*(1-BASE!L68)</f>
        <v>0</v>
      </c>
      <c r="M68" s="227">
        <f>AH68*(1-BASE!M68)</f>
        <v>0</v>
      </c>
      <c r="N68" s="227">
        <f>AI68*(1-BASE!N68)</f>
        <v>0</v>
      </c>
      <c r="O68" s="227">
        <f>AJ68*(1-BASE!O68)</f>
        <v>0</v>
      </c>
      <c r="P68" s="227">
        <f>AK68*(1-BASE!P68)</f>
        <v>0</v>
      </c>
      <c r="Q68" s="227">
        <f>AL68*(1-BASE!Q68)</f>
        <v>0</v>
      </c>
      <c r="R68" s="227">
        <f>AM68*(1-BASE!R68)</f>
        <v>0</v>
      </c>
      <c r="S68" s="227">
        <f>AN68*(1-BASE!S68)</f>
        <v>0</v>
      </c>
      <c r="T68" s="227">
        <f>AO68*(1-BASE!T68)</f>
        <v>0</v>
      </c>
      <c r="U68" s="268">
        <f>1-BASE!U68</f>
        <v>0.6</v>
      </c>
      <c r="V68" s="224"/>
      <c r="X68" s="403">
        <v>0</v>
      </c>
      <c r="Y68" s="403">
        <v>0</v>
      </c>
      <c r="Z68" s="403">
        <v>0</v>
      </c>
      <c r="AA68" s="403">
        <v>0</v>
      </c>
      <c r="AB68" s="403">
        <v>0</v>
      </c>
      <c r="AC68" s="403">
        <v>0</v>
      </c>
      <c r="AD68" s="403">
        <v>0</v>
      </c>
      <c r="AE68" s="403">
        <v>0</v>
      </c>
      <c r="AF68" s="403">
        <v>0</v>
      </c>
      <c r="AG68" s="403">
        <v>0</v>
      </c>
      <c r="AH68" s="403">
        <v>0</v>
      </c>
      <c r="AI68" s="403">
        <v>0</v>
      </c>
      <c r="AJ68" s="403">
        <v>0</v>
      </c>
      <c r="AK68" s="403">
        <v>0</v>
      </c>
      <c r="AL68" s="403">
        <v>0</v>
      </c>
      <c r="AM68" s="403">
        <v>0</v>
      </c>
      <c r="AN68" s="403">
        <v>0</v>
      </c>
      <c r="AO68" s="403">
        <v>0</v>
      </c>
      <c r="AP68" s="404">
        <v>0</v>
      </c>
      <c r="AQ68" s="218" t="s">
        <v>856</v>
      </c>
    </row>
    <row r="69" spans="1:43">
      <c r="A69" t="str">
        <f>MLIST!A69</f>
        <v>Lighting</v>
      </c>
      <c r="B69" t="str">
        <f>MLIST!D69</f>
        <v>Street and Roadway Lighting-NR</v>
      </c>
      <c r="C69" s="227">
        <f>X69*(1-BASE!C69)</f>
        <v>0</v>
      </c>
      <c r="D69" s="227">
        <f>Y69*(1-BASE!D69)</f>
        <v>0</v>
      </c>
      <c r="E69" s="227">
        <f>Z69*(1-BASE!E69)</f>
        <v>0</v>
      </c>
      <c r="F69" s="227">
        <f>AA69*(1-BASE!F69)</f>
        <v>0</v>
      </c>
      <c r="G69" s="227">
        <f>AB69*(1-BASE!G69)</f>
        <v>0</v>
      </c>
      <c r="H69" s="227">
        <f>AC69*(1-BASE!H69)</f>
        <v>0</v>
      </c>
      <c r="I69" s="227">
        <f>AD69*(1-BASE!I69)</f>
        <v>0</v>
      </c>
      <c r="J69" s="227">
        <f>AE69*(1-BASE!J69)</f>
        <v>0</v>
      </c>
      <c r="K69" s="227">
        <f>AF69*(1-BASE!K69)</f>
        <v>0</v>
      </c>
      <c r="L69" s="227">
        <f>AG69*(1-BASE!L69)</f>
        <v>0</v>
      </c>
      <c r="M69" s="227">
        <f>AH69*(1-BASE!M69)</f>
        <v>0</v>
      </c>
      <c r="N69" s="227">
        <f>AI69*(1-BASE!N69)</f>
        <v>0</v>
      </c>
      <c r="O69" s="227">
        <f>AJ69*(1-BASE!O69)</f>
        <v>0</v>
      </c>
      <c r="P69" s="227">
        <f>AK69*(1-BASE!P69)</f>
        <v>0</v>
      </c>
      <c r="Q69" s="227">
        <f>AL69*(1-BASE!Q69)</f>
        <v>0</v>
      </c>
      <c r="R69" s="227">
        <f>AM69*(1-BASE!R69)</f>
        <v>0</v>
      </c>
      <c r="S69" s="227">
        <f>AN69*(1-BASE!S69)</f>
        <v>0</v>
      </c>
      <c r="T69" s="227">
        <f>AO69*(1-BASE!T69)</f>
        <v>0</v>
      </c>
      <c r="U69" s="268">
        <v>0.5</v>
      </c>
      <c r="V69" s="224"/>
      <c r="X69" s="403">
        <v>0</v>
      </c>
      <c r="Y69" s="403">
        <v>0</v>
      </c>
      <c r="Z69" s="403">
        <v>0</v>
      </c>
      <c r="AA69" s="403">
        <v>0</v>
      </c>
      <c r="AB69" s="403">
        <v>0</v>
      </c>
      <c r="AC69" s="403">
        <v>0</v>
      </c>
      <c r="AD69" s="403">
        <v>0</v>
      </c>
      <c r="AE69" s="403">
        <v>0</v>
      </c>
      <c r="AF69" s="403">
        <v>0</v>
      </c>
      <c r="AG69" s="403">
        <v>0</v>
      </c>
      <c r="AH69" s="403">
        <v>0</v>
      </c>
      <c r="AI69" s="403">
        <v>0</v>
      </c>
      <c r="AJ69" s="403">
        <v>0</v>
      </c>
      <c r="AK69" s="403">
        <v>0</v>
      </c>
      <c r="AL69" s="403">
        <v>0</v>
      </c>
      <c r="AM69" s="403">
        <v>0</v>
      </c>
      <c r="AN69" s="403">
        <v>0</v>
      </c>
      <c r="AO69" s="403">
        <v>0</v>
      </c>
      <c r="AP69" s="404">
        <v>0</v>
      </c>
      <c r="AQ69" s="218" t="s">
        <v>856</v>
      </c>
    </row>
    <row r="70" spans="1:43">
      <c r="A70" t="str">
        <f>MLIST!A70</f>
        <v>Lighting</v>
      </c>
      <c r="B70" s="415" t="str">
        <f>MLIST!D70</f>
        <v>Parking Lighting-New</v>
      </c>
      <c r="C70" s="227">
        <f>X70*(1-BASE!C70)</f>
        <v>0</v>
      </c>
      <c r="D70" s="227">
        <f>Y70*(1-BASE!D70)</f>
        <v>0</v>
      </c>
      <c r="E70" s="227">
        <f>Z70*(1-BASE!E70)</f>
        <v>0</v>
      </c>
      <c r="F70" s="227">
        <f>AA70*(1-BASE!F70)</f>
        <v>0</v>
      </c>
      <c r="G70" s="227">
        <f>AB70*(1-BASE!G70)</f>
        <v>0</v>
      </c>
      <c r="H70" s="227">
        <f>AC70*(1-BASE!H70)</f>
        <v>0</v>
      </c>
      <c r="I70" s="227">
        <f>AD70*(1-BASE!I70)</f>
        <v>0</v>
      </c>
      <c r="J70" s="227">
        <f>AE70*(1-BASE!J70)</f>
        <v>0</v>
      </c>
      <c r="K70" s="227">
        <f>AF70*(1-BASE!K70)</f>
        <v>0</v>
      </c>
      <c r="L70" s="227">
        <f>AG70*(1-BASE!L70)</f>
        <v>0</v>
      </c>
      <c r="M70" s="227">
        <f>AH70*(1-BASE!M70)</f>
        <v>0</v>
      </c>
      <c r="N70" s="227">
        <f>AI70*(1-BASE!N70)</f>
        <v>0</v>
      </c>
      <c r="O70" s="227">
        <f>AJ70*(1-BASE!O70)</f>
        <v>0</v>
      </c>
      <c r="P70" s="227">
        <f>AK70*(1-BASE!P70)</f>
        <v>0</v>
      </c>
      <c r="Q70" s="227">
        <f>AL70*(1-BASE!Q70)</f>
        <v>0</v>
      </c>
      <c r="R70" s="227">
        <f>AM70*(1-BASE!R70)</f>
        <v>0</v>
      </c>
      <c r="S70" s="227">
        <f>AN70*(1-BASE!S70)</f>
        <v>0</v>
      </c>
      <c r="T70" s="227">
        <f>AO70*(1-BASE!T70)</f>
        <v>0</v>
      </c>
      <c r="V70" s="224"/>
      <c r="X70" s="226">
        <v>0</v>
      </c>
      <c r="Y70" s="226">
        <v>0</v>
      </c>
      <c r="Z70" s="226">
        <v>0</v>
      </c>
      <c r="AA70" s="226">
        <v>0</v>
      </c>
      <c r="AB70" s="226">
        <v>0</v>
      </c>
      <c r="AC70" s="226">
        <v>0</v>
      </c>
      <c r="AD70" s="226">
        <v>0</v>
      </c>
      <c r="AE70" s="226">
        <v>0</v>
      </c>
      <c r="AF70" s="226">
        <v>0</v>
      </c>
      <c r="AG70" s="226">
        <v>0</v>
      </c>
      <c r="AH70" s="226">
        <v>0</v>
      </c>
      <c r="AI70" s="226">
        <v>0</v>
      </c>
      <c r="AJ70" s="226">
        <v>0</v>
      </c>
      <c r="AK70" s="226">
        <v>0</v>
      </c>
      <c r="AL70" s="226">
        <v>0</v>
      </c>
      <c r="AM70" s="226">
        <v>0</v>
      </c>
      <c r="AN70" s="226">
        <v>0</v>
      </c>
      <c r="AO70" s="226">
        <v>0</v>
      </c>
      <c r="AP70" s="226">
        <v>0</v>
      </c>
    </row>
    <row r="71" spans="1:43">
      <c r="A71" t="str">
        <f>MLIST!A71</f>
        <v>Lighting</v>
      </c>
      <c r="B71" t="str">
        <f>MLIST!D71</f>
        <v>Parking Lighting-NR</v>
      </c>
      <c r="C71" s="227">
        <f>X71*(1-BASE!C71)</f>
        <v>0</v>
      </c>
      <c r="D71" s="227">
        <f>Y71*(1-BASE!D71)</f>
        <v>0</v>
      </c>
      <c r="E71" s="227">
        <f>Z71*(1-BASE!E71)</f>
        <v>0</v>
      </c>
      <c r="F71" s="227">
        <f>AA71*(1-BASE!F71)</f>
        <v>0</v>
      </c>
      <c r="G71" s="227">
        <f>AB71*(1-BASE!G71)</f>
        <v>0</v>
      </c>
      <c r="H71" s="227">
        <f>AC71*(1-BASE!H71)</f>
        <v>0</v>
      </c>
      <c r="I71" s="227">
        <f>AD71*(1-BASE!I71)</f>
        <v>0</v>
      </c>
      <c r="J71" s="227">
        <f>AE71*(1-BASE!J71)</f>
        <v>0</v>
      </c>
      <c r="K71" s="227">
        <f>AF71*(1-BASE!K71)</f>
        <v>0</v>
      </c>
      <c r="L71" s="227">
        <f>AG71*(1-BASE!L71)</f>
        <v>0</v>
      </c>
      <c r="M71" s="227">
        <f>AH71*(1-BASE!M71)</f>
        <v>0</v>
      </c>
      <c r="N71" s="227">
        <f>AI71*(1-BASE!N71)</f>
        <v>0</v>
      </c>
      <c r="O71" s="227">
        <f>AJ71*(1-BASE!O71)</f>
        <v>0</v>
      </c>
      <c r="P71" s="227">
        <f>AK71*(1-BASE!P71)</f>
        <v>0</v>
      </c>
      <c r="Q71" s="227">
        <f>AL71*(1-BASE!Q71)</f>
        <v>0</v>
      </c>
      <c r="R71" s="227">
        <f>AM71*(1-BASE!R71)</f>
        <v>0</v>
      </c>
      <c r="S71" s="227">
        <f>AN71*(1-BASE!S71)</f>
        <v>0</v>
      </c>
      <c r="T71" s="227">
        <f>AO71*(1-BASE!T71)</f>
        <v>0</v>
      </c>
      <c r="V71" s="224"/>
      <c r="X71" s="226">
        <v>0</v>
      </c>
      <c r="Y71" s="226">
        <v>0</v>
      </c>
      <c r="Z71" s="226">
        <v>0</v>
      </c>
      <c r="AA71" s="226">
        <v>0</v>
      </c>
      <c r="AB71" s="226">
        <v>0</v>
      </c>
      <c r="AC71" s="226">
        <v>0</v>
      </c>
      <c r="AD71" s="226">
        <v>0</v>
      </c>
      <c r="AE71" s="226">
        <v>0</v>
      </c>
      <c r="AF71" s="226">
        <v>0</v>
      </c>
      <c r="AG71" s="226">
        <v>0</v>
      </c>
      <c r="AH71" s="226">
        <v>0</v>
      </c>
      <c r="AI71" s="226">
        <v>0</v>
      </c>
      <c r="AJ71" s="226">
        <v>0</v>
      </c>
      <c r="AK71" s="226">
        <v>0</v>
      </c>
      <c r="AL71" s="226">
        <v>0</v>
      </c>
      <c r="AM71" s="226">
        <v>0</v>
      </c>
      <c r="AN71" s="226">
        <v>0</v>
      </c>
      <c r="AO71" s="226">
        <v>0</v>
      </c>
      <c r="AP71" s="226">
        <v>0</v>
      </c>
      <c r="AQ71" s="218" t="s">
        <v>856</v>
      </c>
    </row>
    <row r="72" spans="1:43">
      <c r="A72" t="str">
        <f>MLIST!A72</f>
        <v>Lighting</v>
      </c>
      <c r="B72" t="str">
        <f>MLIST!D72</f>
        <v>Bi-Level Stairwell Lighting-NR</v>
      </c>
      <c r="C72" s="227">
        <f>X72*(1-BASE!C72)</f>
        <v>0.01</v>
      </c>
      <c r="D72" s="227">
        <f>Y72*(1-BASE!D72)</f>
        <v>0.01</v>
      </c>
      <c r="E72" s="227">
        <f>Z72*(1-BASE!E72)</f>
        <v>0.01</v>
      </c>
      <c r="F72" s="227">
        <f>AA72*(1-BASE!F72)</f>
        <v>0.01</v>
      </c>
      <c r="G72" s="227">
        <f>AB72*(1-BASE!G72)</f>
        <v>0.01</v>
      </c>
      <c r="H72" s="227">
        <f>AC72*(1-BASE!H72)</f>
        <v>0.01</v>
      </c>
      <c r="I72" s="227">
        <f>AD72*(1-BASE!I72)</f>
        <v>0.01</v>
      </c>
      <c r="J72" s="227">
        <f>AE72*(1-BASE!J72)</f>
        <v>0.01</v>
      </c>
      <c r="K72" s="227">
        <f>AF72*(1-BASE!K72)</f>
        <v>0.01</v>
      </c>
      <c r="L72" s="227">
        <f>AG72*(1-BASE!L72)</f>
        <v>0.01</v>
      </c>
      <c r="M72" s="227">
        <f>AH72*(1-BASE!M72)</f>
        <v>0.01</v>
      </c>
      <c r="N72" s="227">
        <f>AI72*(1-BASE!N72)</f>
        <v>0.01</v>
      </c>
      <c r="O72" s="227">
        <f>AJ72*(1-BASE!O72)</f>
        <v>0.01</v>
      </c>
      <c r="P72" s="227">
        <f>AK72*(1-BASE!P72)</f>
        <v>0.01</v>
      </c>
      <c r="Q72" s="227">
        <f>AL72*(1-BASE!Q72)</f>
        <v>0.01</v>
      </c>
      <c r="R72" s="227">
        <f>AM72*(1-BASE!R72)</f>
        <v>0.01</v>
      </c>
      <c r="S72" s="227">
        <f>AN72*(1-BASE!S72)</f>
        <v>0.01</v>
      </c>
      <c r="T72" s="227">
        <f>AO72*(1-BASE!T72)</f>
        <v>0.01</v>
      </c>
      <c r="V72" s="224"/>
      <c r="X72" s="226">
        <v>0.01</v>
      </c>
      <c r="Y72" s="226">
        <v>0.01</v>
      </c>
      <c r="Z72" s="226">
        <v>0.01</v>
      </c>
      <c r="AA72" s="226">
        <v>0.01</v>
      </c>
      <c r="AB72" s="226">
        <v>0.01</v>
      </c>
      <c r="AC72" s="226">
        <v>0.01</v>
      </c>
      <c r="AD72" s="226">
        <v>0.01</v>
      </c>
      <c r="AE72" s="226">
        <v>0.01</v>
      </c>
      <c r="AF72" s="226">
        <v>0.01</v>
      </c>
      <c r="AG72" s="226">
        <v>0.01</v>
      </c>
      <c r="AH72" s="226">
        <v>0.01</v>
      </c>
      <c r="AI72" s="226">
        <v>0.01</v>
      </c>
      <c r="AJ72" s="226">
        <v>0.01</v>
      </c>
      <c r="AK72" s="226">
        <v>0.01</v>
      </c>
      <c r="AL72" s="226">
        <v>0.01</v>
      </c>
      <c r="AM72" s="226">
        <v>0.01</v>
      </c>
      <c r="AN72" s="226">
        <v>0.01</v>
      </c>
      <c r="AO72" s="226">
        <v>0.01</v>
      </c>
      <c r="AP72" s="226">
        <v>0.01</v>
      </c>
    </row>
    <row r="73" spans="1:43">
      <c r="A73" t="str">
        <f>MLIST!A73</f>
        <v>Lighting</v>
      </c>
      <c r="B73" t="str">
        <f>MLIST!D73</f>
        <v>Low Power LF Lamps-NR</v>
      </c>
      <c r="C73" s="282">
        <f>X73*(1-BASE!C73)</f>
        <v>1</v>
      </c>
      <c r="D73" s="282">
        <f>Y73*(1-BASE!D73)</f>
        <v>1</v>
      </c>
      <c r="E73" s="282">
        <f>Z73*(1-BASE!E73)</f>
        <v>1</v>
      </c>
      <c r="F73" s="282">
        <f>AA73*(1-BASE!F73)</f>
        <v>1</v>
      </c>
      <c r="G73" s="282">
        <f>AB73*(1-BASE!G73)</f>
        <v>1</v>
      </c>
      <c r="H73" s="282">
        <f>AC73*(1-BASE!H73)</f>
        <v>1</v>
      </c>
      <c r="I73" s="282">
        <f>AD73*(1-BASE!I73)</f>
        <v>1</v>
      </c>
      <c r="J73" s="282">
        <f>AE73*(1-BASE!J73)</f>
        <v>1</v>
      </c>
      <c r="K73" s="282">
        <f>AF73*(1-BASE!K73)</f>
        <v>1</v>
      </c>
      <c r="L73" s="282">
        <f>AG73*(1-BASE!L73)</f>
        <v>1</v>
      </c>
      <c r="M73" s="282">
        <f>AH73*(1-BASE!M73)</f>
        <v>1</v>
      </c>
      <c r="N73" s="282">
        <f>AI73*(1-BASE!N73)</f>
        <v>1</v>
      </c>
      <c r="O73" s="282">
        <f>AJ73*(1-BASE!O73)</f>
        <v>1</v>
      </c>
      <c r="P73" s="282">
        <f>AK73*(1-BASE!P73)</f>
        <v>1</v>
      </c>
      <c r="Q73" s="282">
        <f>AL73*(1-BASE!Q73)</f>
        <v>1</v>
      </c>
      <c r="R73" s="282">
        <f>AM73*(1-BASE!R73)</f>
        <v>1</v>
      </c>
      <c r="S73" s="282">
        <f>AN73*(1-BASE!S73)</f>
        <v>1</v>
      </c>
      <c r="T73" s="282">
        <f>AO73*(1-BASE!T73)</f>
        <v>1</v>
      </c>
      <c r="U73" s="34"/>
      <c r="V73" s="224"/>
      <c r="X73" s="276">
        <v>1</v>
      </c>
      <c r="Y73" s="276">
        <v>1</v>
      </c>
      <c r="Z73" s="276">
        <v>1</v>
      </c>
      <c r="AA73" s="276">
        <v>1</v>
      </c>
      <c r="AB73" s="276">
        <v>1</v>
      </c>
      <c r="AC73" s="276">
        <v>1</v>
      </c>
      <c r="AD73" s="276">
        <v>1</v>
      </c>
      <c r="AE73" s="276">
        <v>1</v>
      </c>
      <c r="AF73" s="276">
        <v>1</v>
      </c>
      <c r="AG73" s="276">
        <v>1</v>
      </c>
      <c r="AH73" s="276">
        <v>1</v>
      </c>
      <c r="AI73" s="276">
        <v>1</v>
      </c>
      <c r="AJ73" s="276">
        <v>1</v>
      </c>
      <c r="AK73" s="276">
        <v>1</v>
      </c>
      <c r="AL73" s="276">
        <v>1</v>
      </c>
      <c r="AM73" s="276">
        <v>1</v>
      </c>
      <c r="AN73" s="276">
        <v>1</v>
      </c>
      <c r="AO73" s="276">
        <v>1</v>
      </c>
      <c r="AP73" s="228"/>
    </row>
    <row r="74" spans="1:43">
      <c r="A74" t="str">
        <f>MLIST!A74</f>
        <v>Lighting</v>
      </c>
      <c r="B74" t="str">
        <f>MLIST!D74</f>
        <v>LEC Exit Sign-New</v>
      </c>
      <c r="C74" s="227"/>
      <c r="D74" s="227"/>
      <c r="E74" s="227"/>
      <c r="F74" s="227"/>
      <c r="G74" s="227"/>
      <c r="H74" s="227"/>
      <c r="I74" s="227"/>
      <c r="J74" s="227"/>
      <c r="K74" s="227"/>
      <c r="L74" s="227"/>
      <c r="M74" s="227"/>
      <c r="N74" s="227"/>
      <c r="O74" s="227"/>
      <c r="P74" s="227"/>
      <c r="Q74" s="227"/>
      <c r="R74" s="227"/>
      <c r="S74" s="227"/>
      <c r="T74" s="227"/>
      <c r="V74" s="224"/>
      <c r="X74" s="226"/>
      <c r="Y74" s="226"/>
      <c r="Z74" s="226"/>
      <c r="AA74" s="226"/>
      <c r="AB74" s="226"/>
      <c r="AC74" s="226"/>
      <c r="AD74" s="226"/>
      <c r="AE74" s="226"/>
      <c r="AF74" s="226"/>
      <c r="AG74" s="226"/>
      <c r="AH74" s="226"/>
      <c r="AI74" s="226"/>
      <c r="AJ74" s="226"/>
      <c r="AK74" s="226"/>
      <c r="AL74" s="226"/>
      <c r="AM74" s="226"/>
      <c r="AN74" s="226"/>
      <c r="AO74" s="226"/>
      <c r="AP74" s="226"/>
    </row>
    <row r="75" spans="1:43">
      <c r="A75" t="str">
        <f>MLIST!A75</f>
        <v>Lighting</v>
      </c>
      <c r="B75" t="str">
        <f>MLIST!D75</f>
        <v>LEC Exit Sign-NR</v>
      </c>
      <c r="C75" s="227"/>
      <c r="D75" s="227"/>
      <c r="E75" s="227"/>
      <c r="F75" s="227"/>
      <c r="G75" s="227"/>
      <c r="H75" s="227"/>
      <c r="I75" s="227"/>
      <c r="J75" s="227"/>
      <c r="K75" s="227"/>
      <c r="L75" s="227"/>
      <c r="M75" s="227"/>
      <c r="N75" s="227"/>
      <c r="O75" s="227"/>
      <c r="P75" s="227"/>
      <c r="Q75" s="227"/>
      <c r="R75" s="227"/>
      <c r="S75" s="227"/>
      <c r="T75" s="227"/>
      <c r="V75" s="224"/>
      <c r="X75" s="226"/>
      <c r="Y75" s="226"/>
      <c r="Z75" s="226"/>
      <c r="AA75" s="226"/>
      <c r="AB75" s="226"/>
      <c r="AC75" s="226"/>
      <c r="AD75" s="226"/>
      <c r="AE75" s="226"/>
      <c r="AF75" s="226"/>
      <c r="AG75" s="226"/>
      <c r="AH75" s="226"/>
      <c r="AI75" s="226"/>
      <c r="AJ75" s="226"/>
      <c r="AK75" s="226"/>
      <c r="AL75" s="226"/>
      <c r="AM75" s="226"/>
      <c r="AN75" s="226"/>
      <c r="AO75" s="226"/>
      <c r="AP75" s="226"/>
    </row>
    <row r="76" spans="1:43" s="218" customFormat="1">
      <c r="A76" s="218" t="str">
        <f>MLIST!A76</f>
        <v>Motors/Drives</v>
      </c>
      <c r="B76" s="218" t="str">
        <f>MLIST!D76</f>
        <v>ECM-VAV-New</v>
      </c>
      <c r="C76" s="282">
        <f>X76*(1-BASE!C76)</f>
        <v>0.6</v>
      </c>
      <c r="D76" s="282">
        <f>Y76*(1-BASE!D76)</f>
        <v>0.7</v>
      </c>
      <c r="E76" s="282">
        <f>Z76*(1-BASE!E76)</f>
        <v>0.9</v>
      </c>
      <c r="F76" s="282">
        <f>AA76*(1-BASE!F76)</f>
        <v>0.9</v>
      </c>
      <c r="G76" s="282">
        <f>AB76*(1-BASE!G76)</f>
        <v>0.9</v>
      </c>
      <c r="H76" s="282">
        <f>AC76*(1-BASE!H76)</f>
        <v>0.9</v>
      </c>
      <c r="I76" s="282">
        <f>AD76*(1-BASE!I76)</f>
        <v>0.6</v>
      </c>
      <c r="J76" s="282">
        <f>AE76*(1-BASE!J76)</f>
        <v>0.9</v>
      </c>
      <c r="K76" s="282">
        <f>AF76*(1-BASE!K76)</f>
        <v>0.6</v>
      </c>
      <c r="L76" s="282">
        <f>AG76*(1-BASE!L76)</f>
        <v>0.9</v>
      </c>
      <c r="M76" s="282">
        <f>AH76*(1-BASE!M76)</f>
        <v>0.9</v>
      </c>
      <c r="N76" s="282">
        <f>AI76*(1-BASE!N76)</f>
        <v>0.9</v>
      </c>
      <c r="O76" s="282">
        <f>AJ76*(1-BASE!O76)</f>
        <v>0.9</v>
      </c>
      <c r="P76" s="282">
        <f>AK76*(1-BASE!P76)</f>
        <v>0.9</v>
      </c>
      <c r="Q76" s="282">
        <f>AL76*(1-BASE!Q76)</f>
        <v>0.6</v>
      </c>
      <c r="R76" s="282">
        <f>AM76*(1-BASE!R76)</f>
        <v>0.9</v>
      </c>
      <c r="S76" s="282">
        <f>AN76*(1-BASE!S76)</f>
        <v>0.9</v>
      </c>
      <c r="T76" s="282">
        <f>AO76*(1-BASE!T76)</f>
        <v>0.6</v>
      </c>
      <c r="X76" s="276">
        <v>1</v>
      </c>
      <c r="Y76" s="276">
        <v>1</v>
      </c>
      <c r="Z76" s="276">
        <v>1</v>
      </c>
      <c r="AA76" s="276">
        <v>1</v>
      </c>
      <c r="AB76" s="276">
        <v>1</v>
      </c>
      <c r="AC76" s="276">
        <v>1</v>
      </c>
      <c r="AD76" s="276">
        <v>1</v>
      </c>
      <c r="AE76" s="276">
        <v>1</v>
      </c>
      <c r="AF76" s="276">
        <v>1</v>
      </c>
      <c r="AG76" s="276">
        <v>1</v>
      </c>
      <c r="AH76" s="276">
        <v>1</v>
      </c>
      <c r="AI76" s="276">
        <v>1</v>
      </c>
      <c r="AJ76" s="276">
        <v>1</v>
      </c>
      <c r="AK76" s="276">
        <v>1</v>
      </c>
      <c r="AL76" s="276">
        <v>1</v>
      </c>
      <c r="AM76" s="276">
        <v>1</v>
      </c>
      <c r="AN76" s="276">
        <v>1</v>
      </c>
      <c r="AO76" s="276">
        <v>1</v>
      </c>
      <c r="AP76" s="276">
        <v>0</v>
      </c>
      <c r="AQ76" s="218" t="s">
        <v>935</v>
      </c>
    </row>
    <row r="77" spans="1:43" s="218" customFormat="1">
      <c r="A77" s="218" t="str">
        <f>MLIST!A77</f>
        <v>Motors/Drives</v>
      </c>
      <c r="B77" s="218" t="str">
        <f>MLIST!D77</f>
        <v>ECM-VAV-NR</v>
      </c>
      <c r="C77" s="282">
        <f>X77*(1-BASE!C77)</f>
        <v>0.8</v>
      </c>
      <c r="D77" s="282">
        <f>Y77*(1-BASE!D77)</f>
        <v>0.8</v>
      </c>
      <c r="E77" s="282">
        <f>Z77*(1-BASE!E77)</f>
        <v>0.9</v>
      </c>
      <c r="F77" s="282">
        <f>AA77*(1-BASE!F77)</f>
        <v>0.9</v>
      </c>
      <c r="G77" s="282">
        <f>AB77*(1-BASE!G77)</f>
        <v>0.9</v>
      </c>
      <c r="H77" s="282">
        <f>AC77*(1-BASE!H77)</f>
        <v>0.9</v>
      </c>
      <c r="I77" s="282">
        <f>AD77*(1-BASE!I77)</f>
        <v>0.8</v>
      </c>
      <c r="J77" s="282">
        <f>AE77*(1-BASE!J77)</f>
        <v>0.9</v>
      </c>
      <c r="K77" s="282">
        <f>AF77*(1-BASE!K77)</f>
        <v>0.8</v>
      </c>
      <c r="L77" s="282">
        <f>AG77*(1-BASE!L77)</f>
        <v>0.9</v>
      </c>
      <c r="M77" s="282">
        <f>AH77*(1-BASE!M77)</f>
        <v>0.9</v>
      </c>
      <c r="N77" s="282">
        <f>AI77*(1-BASE!N77)</f>
        <v>0.9</v>
      </c>
      <c r="O77" s="282">
        <f>AJ77*(1-BASE!O77)</f>
        <v>0.9</v>
      </c>
      <c r="P77" s="282">
        <f>AK77*(1-BASE!P77)</f>
        <v>0.9</v>
      </c>
      <c r="Q77" s="282">
        <f>AL77*(1-BASE!Q77)</f>
        <v>0.8</v>
      </c>
      <c r="R77" s="282">
        <f>AM77*(1-BASE!R77)</f>
        <v>0.9</v>
      </c>
      <c r="S77" s="282">
        <f>AN77*(1-BASE!S77)</f>
        <v>0.9</v>
      </c>
      <c r="T77" s="282">
        <f>AO77*(1-BASE!T77)</f>
        <v>0.8</v>
      </c>
      <c r="X77" s="276">
        <v>1</v>
      </c>
      <c r="Y77" s="276">
        <v>1</v>
      </c>
      <c r="Z77" s="276">
        <v>1</v>
      </c>
      <c r="AA77" s="276">
        <v>1</v>
      </c>
      <c r="AB77" s="276">
        <v>1</v>
      </c>
      <c r="AC77" s="276">
        <v>1</v>
      </c>
      <c r="AD77" s="276">
        <v>1</v>
      </c>
      <c r="AE77" s="276">
        <v>1</v>
      </c>
      <c r="AF77" s="276">
        <v>1</v>
      </c>
      <c r="AG77" s="276">
        <v>1</v>
      </c>
      <c r="AH77" s="276">
        <v>1</v>
      </c>
      <c r="AI77" s="276">
        <v>1</v>
      </c>
      <c r="AJ77" s="276">
        <v>1</v>
      </c>
      <c r="AK77" s="276">
        <v>1</v>
      </c>
      <c r="AL77" s="276">
        <v>1</v>
      </c>
      <c r="AM77" s="276">
        <v>1</v>
      </c>
      <c r="AN77" s="276">
        <v>1</v>
      </c>
      <c r="AO77" s="276">
        <v>1</v>
      </c>
      <c r="AP77" s="276">
        <v>0</v>
      </c>
    </row>
    <row r="78" spans="1:43">
      <c r="A78" t="str">
        <f>MLIST!A78</f>
        <v>Motors/Drives</v>
      </c>
      <c r="B78" s="415" t="str">
        <f>MLIST!D78</f>
        <v>Pool pumps-Retro</v>
      </c>
      <c r="C78" s="227">
        <f>X78*(1-BASE!C78)</f>
        <v>0.01</v>
      </c>
      <c r="D78" s="227">
        <f>Y78*(1-BASE!D78)</f>
        <v>0.01</v>
      </c>
      <c r="E78" s="227">
        <f>Z78*(1-BASE!E78)</f>
        <v>0.01</v>
      </c>
      <c r="F78" s="227">
        <f>AA78*(1-BASE!F78)</f>
        <v>0.01</v>
      </c>
      <c r="G78" s="227">
        <f>AB78*(1-BASE!G78)</f>
        <v>0.01</v>
      </c>
      <c r="H78" s="227">
        <f>AC78*(1-BASE!H78)</f>
        <v>0.01</v>
      </c>
      <c r="I78" s="227">
        <f>AD78*(1-BASE!I78)</f>
        <v>0.01</v>
      </c>
      <c r="J78" s="227">
        <f>AE78*(1-BASE!J78)</f>
        <v>0.01</v>
      </c>
      <c r="K78" s="227">
        <f>AF78*(1-BASE!K78)</f>
        <v>0.01</v>
      </c>
      <c r="L78" s="227">
        <f>AG78*(1-BASE!L78)</f>
        <v>0.01</v>
      </c>
      <c r="M78" s="227">
        <f>AH78*(1-BASE!M78)</f>
        <v>0.01</v>
      </c>
      <c r="N78" s="227">
        <f>AI78*(1-BASE!N78)</f>
        <v>0.01</v>
      </c>
      <c r="O78" s="227">
        <f>AJ78*(1-BASE!O78)</f>
        <v>0.01</v>
      </c>
      <c r="P78" s="227">
        <f>AK78*(1-BASE!P78)</f>
        <v>0.01</v>
      </c>
      <c r="Q78" s="227">
        <f>AL78*(1-BASE!Q78)</f>
        <v>0.01</v>
      </c>
      <c r="R78" s="227">
        <f>AM78*(1-BASE!R78)</f>
        <v>0.01</v>
      </c>
      <c r="S78" s="227">
        <f>AN78*(1-BASE!S78)</f>
        <v>0.01</v>
      </c>
      <c r="T78" s="227">
        <f>AO78*(1-BASE!T78)</f>
        <v>0.01</v>
      </c>
      <c r="V78" s="224"/>
      <c r="X78" s="226">
        <v>0.01</v>
      </c>
      <c r="Y78" s="226">
        <v>0.01</v>
      </c>
      <c r="Z78" s="226">
        <v>0.01</v>
      </c>
      <c r="AA78" s="226">
        <v>0.01</v>
      </c>
      <c r="AB78" s="226">
        <v>0.01</v>
      </c>
      <c r="AC78" s="226">
        <v>0.01</v>
      </c>
      <c r="AD78" s="226">
        <v>0.01</v>
      </c>
      <c r="AE78" s="226">
        <v>0.01</v>
      </c>
      <c r="AF78" s="226">
        <v>0.01</v>
      </c>
      <c r="AG78" s="226">
        <v>0.01</v>
      </c>
      <c r="AH78" s="226">
        <v>0.01</v>
      </c>
      <c r="AI78" s="226">
        <v>0.01</v>
      </c>
      <c r="AJ78" s="226">
        <v>0.01</v>
      </c>
      <c r="AK78" s="226">
        <v>0.01</v>
      </c>
      <c r="AL78" s="226">
        <v>0.01</v>
      </c>
      <c r="AM78" s="226">
        <v>0.01</v>
      </c>
      <c r="AN78" s="226">
        <v>0.01</v>
      </c>
      <c r="AO78" s="226">
        <v>0.01</v>
      </c>
      <c r="AP78" s="226">
        <v>0.01</v>
      </c>
    </row>
    <row r="79" spans="1:43">
      <c r="A79" t="str">
        <f>MLIST!A79</f>
        <v>Motors/Drives</v>
      </c>
      <c r="B79" t="str">
        <f>MLIST!D79</f>
        <v>MotorsRewind-New</v>
      </c>
      <c r="C79" s="227">
        <f>X79*(1-BASE!C79)</f>
        <v>0.01</v>
      </c>
      <c r="D79" s="227">
        <f>Y79*(1-BASE!D79)</f>
        <v>0.01</v>
      </c>
      <c r="E79" s="227">
        <f>Z79*(1-BASE!E79)</f>
        <v>0.01</v>
      </c>
      <c r="F79" s="227">
        <f>AA79*(1-BASE!F79)</f>
        <v>0.01</v>
      </c>
      <c r="G79" s="227">
        <f>AB79*(1-BASE!G79)</f>
        <v>0.01</v>
      </c>
      <c r="H79" s="227">
        <f>AC79*(1-BASE!H79)</f>
        <v>0.01</v>
      </c>
      <c r="I79" s="227">
        <f>AD79*(1-BASE!I79)</f>
        <v>0.01</v>
      </c>
      <c r="J79" s="227">
        <f>AE79*(1-BASE!J79)</f>
        <v>0.01</v>
      </c>
      <c r="K79" s="227">
        <f>AF79*(1-BASE!K79)</f>
        <v>0.01</v>
      </c>
      <c r="L79" s="227">
        <f>AG79*(1-BASE!L79)</f>
        <v>0.01</v>
      </c>
      <c r="M79" s="227">
        <f>AH79*(1-BASE!M79)</f>
        <v>0.01</v>
      </c>
      <c r="N79" s="227">
        <f>AI79*(1-BASE!N79)</f>
        <v>0.01</v>
      </c>
      <c r="O79" s="227">
        <f>AJ79*(1-BASE!O79)</f>
        <v>0.01</v>
      </c>
      <c r="P79" s="227">
        <f>AK79*(1-BASE!P79)</f>
        <v>0.01</v>
      </c>
      <c r="Q79" s="227">
        <f>AL79*(1-BASE!Q79)</f>
        <v>0.01</v>
      </c>
      <c r="R79" s="227">
        <f>AM79*(1-BASE!R79)</f>
        <v>0.01</v>
      </c>
      <c r="S79" s="227">
        <f>AN79*(1-BASE!S79)</f>
        <v>0.01</v>
      </c>
      <c r="T79" s="227">
        <f>AO79*(1-BASE!T79)</f>
        <v>0.01</v>
      </c>
      <c r="U79" s="32"/>
      <c r="V79" s="224"/>
      <c r="X79" s="226">
        <v>0.01</v>
      </c>
      <c r="Y79" s="226">
        <v>0.01</v>
      </c>
      <c r="Z79" s="226">
        <v>0.01</v>
      </c>
      <c r="AA79" s="226">
        <v>0.01</v>
      </c>
      <c r="AB79" s="226">
        <v>0.01</v>
      </c>
      <c r="AC79" s="226">
        <v>0.01</v>
      </c>
      <c r="AD79" s="226">
        <v>0.01</v>
      </c>
      <c r="AE79" s="226">
        <v>0.01</v>
      </c>
      <c r="AF79" s="226">
        <v>0.01</v>
      </c>
      <c r="AG79" s="226">
        <v>0.01</v>
      </c>
      <c r="AH79" s="226">
        <v>0.01</v>
      </c>
      <c r="AI79" s="226">
        <v>0.01</v>
      </c>
      <c r="AJ79" s="226">
        <v>0.01</v>
      </c>
      <c r="AK79" s="226">
        <v>0.01</v>
      </c>
      <c r="AL79" s="226">
        <v>0.01</v>
      </c>
      <c r="AM79" s="226">
        <v>0.01</v>
      </c>
      <c r="AN79" s="226">
        <v>0.01</v>
      </c>
      <c r="AO79" s="226">
        <v>0.01</v>
      </c>
      <c r="AP79" s="226">
        <v>0.01</v>
      </c>
    </row>
    <row r="80" spans="1:43">
      <c r="A80" t="str">
        <f>MLIST!A80</f>
        <v>Motors/Drives</v>
      </c>
      <c r="B80" t="str">
        <f>MLIST!D80</f>
        <v>MotorsRewind-NR</v>
      </c>
      <c r="C80" s="227">
        <f>X80*(1-BASE!C80)</f>
        <v>0.01</v>
      </c>
      <c r="D80" s="227">
        <f>Y80*(1-BASE!D80)</f>
        <v>0.01</v>
      </c>
      <c r="E80" s="227">
        <f>Z80*(1-BASE!E80)</f>
        <v>0.01</v>
      </c>
      <c r="F80" s="227">
        <f>AA80*(1-BASE!F80)</f>
        <v>0.01</v>
      </c>
      <c r="G80" s="227">
        <f>AB80*(1-BASE!G80)</f>
        <v>0.01</v>
      </c>
      <c r="H80" s="227">
        <f>AC80*(1-BASE!H80)</f>
        <v>0.01</v>
      </c>
      <c r="I80" s="227">
        <f>AD80*(1-BASE!I80)</f>
        <v>0.01</v>
      </c>
      <c r="J80" s="227">
        <f>AE80*(1-BASE!J80)</f>
        <v>0.01</v>
      </c>
      <c r="K80" s="227">
        <f>AF80*(1-BASE!K80)</f>
        <v>0.01</v>
      </c>
      <c r="L80" s="227">
        <f>AG80*(1-BASE!L80)</f>
        <v>0.01</v>
      </c>
      <c r="M80" s="227">
        <f>AH80*(1-BASE!M80)</f>
        <v>0.01</v>
      </c>
      <c r="N80" s="227">
        <f>AI80*(1-BASE!N80)</f>
        <v>0.01</v>
      </c>
      <c r="O80" s="227">
        <f>AJ80*(1-BASE!O80)</f>
        <v>0.01</v>
      </c>
      <c r="P80" s="227">
        <f>AK80*(1-BASE!P80)</f>
        <v>0.01</v>
      </c>
      <c r="Q80" s="227">
        <f>AL80*(1-BASE!Q80)</f>
        <v>0.01</v>
      </c>
      <c r="R80" s="227">
        <f>AM80*(1-BASE!R80)</f>
        <v>0.01</v>
      </c>
      <c r="S80" s="227">
        <f>AN80*(1-BASE!S80)</f>
        <v>0.01</v>
      </c>
      <c r="T80" s="227">
        <f>AO80*(1-BASE!T80)</f>
        <v>0.01</v>
      </c>
      <c r="U80" s="32"/>
      <c r="V80" s="224"/>
      <c r="X80" s="226">
        <v>0.01</v>
      </c>
      <c r="Y80" s="226">
        <v>0.01</v>
      </c>
      <c r="Z80" s="226">
        <v>0.01</v>
      </c>
      <c r="AA80" s="226">
        <v>0.01</v>
      </c>
      <c r="AB80" s="226">
        <v>0.01</v>
      </c>
      <c r="AC80" s="226">
        <v>0.01</v>
      </c>
      <c r="AD80" s="226">
        <v>0.01</v>
      </c>
      <c r="AE80" s="226">
        <v>0.01</v>
      </c>
      <c r="AF80" s="226">
        <v>0.01</v>
      </c>
      <c r="AG80" s="226">
        <v>0.01</v>
      </c>
      <c r="AH80" s="226">
        <v>0.01</v>
      </c>
      <c r="AI80" s="226">
        <v>0.01</v>
      </c>
      <c r="AJ80" s="226">
        <v>0.01</v>
      </c>
      <c r="AK80" s="226">
        <v>0.01</v>
      </c>
      <c r="AL80" s="226">
        <v>0.01</v>
      </c>
      <c r="AM80" s="226">
        <v>0.01</v>
      </c>
      <c r="AN80" s="226">
        <v>0.01</v>
      </c>
      <c r="AO80" s="226">
        <v>0.01</v>
      </c>
      <c r="AP80" s="226">
        <v>0.01</v>
      </c>
    </row>
    <row r="81" spans="1:43">
      <c r="A81" t="str">
        <f>MLIST!A81</f>
        <v>Process Loads</v>
      </c>
      <c r="B81" t="str">
        <f>MLIST!D81</f>
        <v>Municipal Sewage Treatment-Retro</v>
      </c>
      <c r="C81" s="282">
        <f>X81*(1-BASE!C81)</f>
        <v>0</v>
      </c>
      <c r="D81" s="282">
        <f>Y81*(1-BASE!D81)</f>
        <v>0</v>
      </c>
      <c r="E81" s="282">
        <f>Z81*(1-BASE!E81)</f>
        <v>0</v>
      </c>
      <c r="F81" s="282">
        <f>AA81*(1-BASE!F81)</f>
        <v>0</v>
      </c>
      <c r="G81" s="282">
        <f>AB81*(1-BASE!G81)</f>
        <v>0</v>
      </c>
      <c r="H81" s="282">
        <f>AC81*(1-BASE!H81)</f>
        <v>0</v>
      </c>
      <c r="I81" s="282">
        <f>AD81*(1-BASE!I81)</f>
        <v>0</v>
      </c>
      <c r="J81" s="282">
        <f>AE81*(1-BASE!J81)</f>
        <v>0</v>
      </c>
      <c r="K81" s="282">
        <f>AF81*(1-BASE!K81)</f>
        <v>0</v>
      </c>
      <c r="L81" s="282">
        <f>AG81*(1-BASE!L81)</f>
        <v>0</v>
      </c>
      <c r="M81" s="282">
        <f>AH81*(1-BASE!M81)</f>
        <v>0</v>
      </c>
      <c r="N81" s="282">
        <f>AI81*(1-BASE!N81)</f>
        <v>0</v>
      </c>
      <c r="O81" s="282">
        <f>AJ81*(1-BASE!O81)</f>
        <v>0</v>
      </c>
      <c r="P81" s="282">
        <f>AK81*(1-BASE!P81)</f>
        <v>0</v>
      </c>
      <c r="Q81" s="282">
        <f>AL81*(1-BASE!Q81)</f>
        <v>0</v>
      </c>
      <c r="R81" s="282">
        <f>AM81*(1-BASE!R81)</f>
        <v>0</v>
      </c>
      <c r="S81" s="282">
        <f>AN81*(1-BASE!S81)</f>
        <v>0</v>
      </c>
      <c r="T81" s="282">
        <f>AO81*(1-BASE!T81)</f>
        <v>0</v>
      </c>
      <c r="U81" s="32">
        <f>AP81*(1-BASE!U81)</f>
        <v>1</v>
      </c>
      <c r="V81" s="224"/>
      <c r="X81" s="404">
        <v>0</v>
      </c>
      <c r="Y81" s="404">
        <v>0</v>
      </c>
      <c r="Z81" s="404">
        <v>0</v>
      </c>
      <c r="AA81" s="404">
        <v>0</v>
      </c>
      <c r="AB81" s="404">
        <v>0</v>
      </c>
      <c r="AC81" s="404">
        <v>0</v>
      </c>
      <c r="AD81" s="404">
        <v>0</v>
      </c>
      <c r="AE81" s="404">
        <v>0</v>
      </c>
      <c r="AF81" s="404">
        <v>0</v>
      </c>
      <c r="AG81" s="404">
        <v>0</v>
      </c>
      <c r="AH81" s="404">
        <v>0</v>
      </c>
      <c r="AI81" s="404">
        <v>0</v>
      </c>
      <c r="AJ81" s="404">
        <v>0</v>
      </c>
      <c r="AK81" s="404">
        <v>0</v>
      </c>
      <c r="AL81" s="404">
        <v>0</v>
      </c>
      <c r="AM81" s="404">
        <v>0</v>
      </c>
      <c r="AN81" s="404">
        <v>0</v>
      </c>
      <c r="AO81" s="404">
        <v>0</v>
      </c>
      <c r="AP81" s="276">
        <v>1</v>
      </c>
    </row>
    <row r="82" spans="1:43">
      <c r="A82" t="str">
        <f>MLIST!A82</f>
        <v>Process Loads</v>
      </c>
      <c r="B82" t="str">
        <f>MLIST!D82</f>
        <v>Municipal Water Supply-Retro</v>
      </c>
      <c r="C82" s="282">
        <f>X82*(1-BASE!C82)</f>
        <v>0</v>
      </c>
      <c r="D82" s="282">
        <f>Y82*(1-BASE!D82)</f>
        <v>0</v>
      </c>
      <c r="E82" s="282">
        <f>Z82*(1-BASE!E82)</f>
        <v>0</v>
      </c>
      <c r="F82" s="282">
        <f>AA82*(1-BASE!F82)</f>
        <v>0</v>
      </c>
      <c r="G82" s="282">
        <f>AB82*(1-BASE!G82)</f>
        <v>0</v>
      </c>
      <c r="H82" s="282">
        <f>AC82*(1-BASE!H82)</f>
        <v>0</v>
      </c>
      <c r="I82" s="282">
        <f>AD82*(1-BASE!I82)</f>
        <v>0</v>
      </c>
      <c r="J82" s="282">
        <f>AE82*(1-BASE!J82)</f>
        <v>0</v>
      </c>
      <c r="K82" s="282">
        <f>AF82*(1-BASE!K82)</f>
        <v>0</v>
      </c>
      <c r="L82" s="282">
        <f>AG82*(1-BASE!L82)</f>
        <v>0</v>
      </c>
      <c r="M82" s="282">
        <f>AH82*(1-BASE!M82)</f>
        <v>0</v>
      </c>
      <c r="N82" s="282">
        <f>AI82*(1-BASE!N82)</f>
        <v>0</v>
      </c>
      <c r="O82" s="282">
        <f>AJ82*(1-BASE!O82)</f>
        <v>0</v>
      </c>
      <c r="P82" s="282">
        <f>AK82*(1-BASE!P82)</f>
        <v>0</v>
      </c>
      <c r="Q82" s="282">
        <f>AL82*(1-BASE!Q82)</f>
        <v>0</v>
      </c>
      <c r="R82" s="282">
        <f>AM82*(1-BASE!R82)</f>
        <v>0</v>
      </c>
      <c r="S82" s="282">
        <f>AN82*(1-BASE!S82)</f>
        <v>0</v>
      </c>
      <c r="T82" s="282">
        <f>AO82*(1-BASE!T82)</f>
        <v>0</v>
      </c>
      <c r="U82" s="32">
        <f>AP82*(1-BASE!U82)</f>
        <v>1</v>
      </c>
      <c r="V82" s="224"/>
      <c r="X82" s="404">
        <v>0</v>
      </c>
      <c r="Y82" s="404">
        <v>0</v>
      </c>
      <c r="Z82" s="404">
        <v>0</v>
      </c>
      <c r="AA82" s="404">
        <v>0</v>
      </c>
      <c r="AB82" s="404">
        <v>0</v>
      </c>
      <c r="AC82" s="404">
        <v>0</v>
      </c>
      <c r="AD82" s="404">
        <v>0</v>
      </c>
      <c r="AE82" s="404">
        <v>0</v>
      </c>
      <c r="AF82" s="404">
        <v>0</v>
      </c>
      <c r="AG82" s="404">
        <v>0</v>
      </c>
      <c r="AH82" s="404">
        <v>0</v>
      </c>
      <c r="AI82" s="404">
        <v>0</v>
      </c>
      <c r="AJ82" s="404">
        <v>0</v>
      </c>
      <c r="AK82" s="404">
        <v>0</v>
      </c>
      <c r="AL82" s="404">
        <v>0</v>
      </c>
      <c r="AM82" s="404">
        <v>0</v>
      </c>
      <c r="AN82" s="404">
        <v>0</v>
      </c>
      <c r="AO82" s="404">
        <v>0</v>
      </c>
      <c r="AP82" s="276">
        <v>1</v>
      </c>
    </row>
    <row r="83" spans="1:43">
      <c r="A83" t="str">
        <f>MLIST!A83</f>
        <v>Process Loads</v>
      </c>
      <c r="B83" s="415" t="str">
        <f>MLIST!D83</f>
        <v>Engine Generator Block Heaters-Retro</v>
      </c>
      <c r="C83" s="227">
        <f>X83*(1-BASE!C83)</f>
        <v>0.01</v>
      </c>
      <c r="D83" s="227">
        <f>Y83*(1-BASE!D83)</f>
        <v>0.01</v>
      </c>
      <c r="E83" s="227">
        <f>Z83*(1-BASE!E83)</f>
        <v>0.01</v>
      </c>
      <c r="F83" s="227">
        <f>AA83*(1-BASE!F83)</f>
        <v>0.01</v>
      </c>
      <c r="G83" s="227">
        <f>AB83*(1-BASE!G83)</f>
        <v>0.01</v>
      </c>
      <c r="H83" s="227">
        <f>AC83*(1-BASE!H83)</f>
        <v>0.01</v>
      </c>
      <c r="I83" s="227">
        <f>AD83*(1-BASE!I83)</f>
        <v>0.01</v>
      </c>
      <c r="J83" s="227">
        <f>AE83*(1-BASE!J83)</f>
        <v>0.01</v>
      </c>
      <c r="K83" s="227">
        <f>AF83*(1-BASE!K83)</f>
        <v>0.01</v>
      </c>
      <c r="L83" s="227">
        <f>AG83*(1-BASE!L83)</f>
        <v>0.01</v>
      </c>
      <c r="M83" s="227">
        <f>AH83*(1-BASE!M83)</f>
        <v>0.01</v>
      </c>
      <c r="N83" s="227">
        <f>AI83*(1-BASE!N83)</f>
        <v>0.01</v>
      </c>
      <c r="O83" s="227">
        <f>AJ83*(1-BASE!O83)</f>
        <v>0.01</v>
      </c>
      <c r="P83" s="227">
        <f>AK83*(1-BASE!P83)</f>
        <v>0.01</v>
      </c>
      <c r="Q83" s="227">
        <f>AL83*(1-BASE!Q83)</f>
        <v>0.01</v>
      </c>
      <c r="R83" s="227">
        <f>AM83*(1-BASE!R83)</f>
        <v>0.01</v>
      </c>
      <c r="S83" s="227">
        <f>AN83*(1-BASE!S83)</f>
        <v>0.01</v>
      </c>
      <c r="T83" s="227">
        <f>AO83*(1-BASE!T83)</f>
        <v>0.01</v>
      </c>
      <c r="U83" s="32"/>
      <c r="V83" s="224"/>
      <c r="X83" s="226">
        <v>0.01</v>
      </c>
      <c r="Y83" s="226">
        <v>0.01</v>
      </c>
      <c r="Z83" s="226">
        <v>0.01</v>
      </c>
      <c r="AA83" s="226">
        <v>0.01</v>
      </c>
      <c r="AB83" s="226">
        <v>0.01</v>
      </c>
      <c r="AC83" s="226">
        <v>0.01</v>
      </c>
      <c r="AD83" s="226">
        <v>0.01</v>
      </c>
      <c r="AE83" s="226">
        <v>0.01</v>
      </c>
      <c r="AF83" s="226">
        <v>0.01</v>
      </c>
      <c r="AG83" s="226">
        <v>0.01</v>
      </c>
      <c r="AH83" s="226">
        <v>0.01</v>
      </c>
      <c r="AI83" s="226">
        <v>0.01</v>
      </c>
      <c r="AJ83" s="226">
        <v>0.01</v>
      </c>
      <c r="AK83" s="226">
        <v>0.01</v>
      </c>
      <c r="AL83" s="226">
        <v>0.01</v>
      </c>
      <c r="AM83" s="226">
        <v>0.01</v>
      </c>
      <c r="AN83" s="226">
        <v>0.01</v>
      </c>
      <c r="AO83" s="226">
        <v>0.01</v>
      </c>
      <c r="AP83" s="226">
        <v>0.01</v>
      </c>
    </row>
    <row r="84" spans="1:43">
      <c r="A84" t="str">
        <f>MLIST!A84</f>
        <v>Refrigeration</v>
      </c>
      <c r="B84" t="str">
        <f>MLIST!D84</f>
        <v>Grocery Refrigeration Bundle-Retro</v>
      </c>
      <c r="C84" s="227">
        <f>X84*(1-BASE!C84)</f>
        <v>0</v>
      </c>
      <c r="D84" s="227">
        <f>Y84*(1-BASE!D84)</f>
        <v>0</v>
      </c>
      <c r="E84" s="227">
        <f>Z84*(1-BASE!E84)</f>
        <v>0</v>
      </c>
      <c r="F84" s="227">
        <f>AA84*(1-BASE!F84)</f>
        <v>0</v>
      </c>
      <c r="G84" s="227">
        <f>AB84*(1-BASE!G84)</f>
        <v>0</v>
      </c>
      <c r="H84" s="227">
        <f>AC84*(1-BASE!H84)</f>
        <v>0</v>
      </c>
      <c r="I84" s="227">
        <f>AD84*(1-BASE!I84)</f>
        <v>0</v>
      </c>
      <c r="J84" s="227">
        <f>AE84*(1-BASE!J84)</f>
        <v>0</v>
      </c>
      <c r="K84" s="227">
        <f>AF84*(1-BASE!K84)</f>
        <v>0</v>
      </c>
      <c r="L84" s="227">
        <f>AG84*(1-BASE!L84)</f>
        <v>0</v>
      </c>
      <c r="M84" s="227">
        <f>AH84*(1-BASE!M84)</f>
        <v>0</v>
      </c>
      <c r="N84" s="227">
        <f>AI84*(1-BASE!N84)</f>
        <v>0</v>
      </c>
      <c r="O84" s="227">
        <f>AJ84*(1-BASE!O84)</f>
        <v>0</v>
      </c>
      <c r="P84" s="227">
        <f>AK84*(1-BASE!P84)</f>
        <v>0</v>
      </c>
      <c r="Q84" s="227">
        <f>AL84*(1-BASE!Q84)</f>
        <v>0</v>
      </c>
      <c r="R84" s="227">
        <f>AM84*(1-BASE!R84)</f>
        <v>0</v>
      </c>
      <c r="S84" s="227">
        <f>AN84*(1-BASE!S84)</f>
        <v>0</v>
      </c>
      <c r="T84" s="227">
        <f>AO84*(1-BASE!T84)</f>
        <v>0</v>
      </c>
      <c r="U84" s="256">
        <f>AP84*(1-BASE!U84)</f>
        <v>0</v>
      </c>
      <c r="V84" s="224"/>
      <c r="X84" s="226">
        <v>0</v>
      </c>
      <c r="Y84" s="226">
        <v>0</v>
      </c>
      <c r="Z84" s="226">
        <v>0</v>
      </c>
      <c r="AA84" s="226">
        <v>0</v>
      </c>
      <c r="AB84" s="226">
        <v>0</v>
      </c>
      <c r="AC84" s="226">
        <v>0</v>
      </c>
      <c r="AD84" s="226">
        <v>0</v>
      </c>
      <c r="AE84" s="226">
        <v>0</v>
      </c>
      <c r="AF84" s="226">
        <v>0</v>
      </c>
      <c r="AG84" s="226">
        <v>0</v>
      </c>
      <c r="AH84" s="226">
        <v>0</v>
      </c>
      <c r="AI84" s="226">
        <v>0</v>
      </c>
      <c r="AJ84" s="226">
        <v>0</v>
      </c>
      <c r="AK84" s="226">
        <v>0</v>
      </c>
      <c r="AL84" s="226">
        <v>0</v>
      </c>
      <c r="AM84" s="226">
        <v>0</v>
      </c>
      <c r="AN84" s="226">
        <v>0</v>
      </c>
      <c r="AO84" s="226">
        <v>0</v>
      </c>
      <c r="AP84" s="226">
        <v>0</v>
      </c>
    </row>
    <row r="85" spans="1:43">
      <c r="A85" t="str">
        <f>MLIST!A85</f>
        <v>Refrigeration</v>
      </c>
      <c r="B85" s="415" t="str">
        <f>MLIST!D85</f>
        <v>Packaged Refrigeration Equipment-New</v>
      </c>
      <c r="C85" s="227">
        <f>X85*(1-BASE!C85)</f>
        <v>0</v>
      </c>
      <c r="D85" s="227">
        <f>Y85*(1-BASE!D85)</f>
        <v>0</v>
      </c>
      <c r="E85" s="227">
        <f>Z85*(1-BASE!E85)</f>
        <v>0</v>
      </c>
      <c r="F85" s="227">
        <f>AA85*(1-BASE!F85)</f>
        <v>0</v>
      </c>
      <c r="G85" s="227">
        <f>AB85*(1-BASE!G85)</f>
        <v>0</v>
      </c>
      <c r="H85" s="227">
        <f>AC85*(1-BASE!H85)</f>
        <v>0</v>
      </c>
      <c r="I85" s="227">
        <f>AD85*(1-BASE!I85)</f>
        <v>0</v>
      </c>
      <c r="J85" s="227">
        <f>AE85*(1-BASE!J85)</f>
        <v>0</v>
      </c>
      <c r="K85" s="227">
        <f>AF85*(1-BASE!K85)</f>
        <v>0</v>
      </c>
      <c r="L85" s="227">
        <f>AG85*(1-BASE!L85)</f>
        <v>0</v>
      </c>
      <c r="M85" s="227">
        <f>AH85*(1-BASE!M85)</f>
        <v>0</v>
      </c>
      <c r="N85" s="227">
        <f>AI85*(1-BASE!N85)</f>
        <v>0</v>
      </c>
      <c r="O85" s="227">
        <f>AJ85*(1-BASE!O85)</f>
        <v>0</v>
      </c>
      <c r="P85" s="227">
        <f>AK85*(1-BASE!P85)</f>
        <v>0</v>
      </c>
      <c r="Q85" s="227">
        <f>AL85*(1-BASE!Q85)</f>
        <v>0</v>
      </c>
      <c r="R85" s="227">
        <f>AM85*(1-BASE!R85)</f>
        <v>0</v>
      </c>
      <c r="S85" s="227">
        <f>AN85*(1-BASE!S85)</f>
        <v>0</v>
      </c>
      <c r="T85" s="227">
        <f>AO85*(1-BASE!T85)</f>
        <v>0</v>
      </c>
      <c r="U85" s="256">
        <f>AP85*(1-BASE!U85)</f>
        <v>0</v>
      </c>
      <c r="V85" s="224"/>
      <c r="X85" s="226">
        <v>0</v>
      </c>
      <c r="Y85" s="226">
        <v>0</v>
      </c>
      <c r="Z85" s="226">
        <v>0</v>
      </c>
      <c r="AA85" s="226">
        <v>0</v>
      </c>
      <c r="AB85" s="226">
        <v>0</v>
      </c>
      <c r="AC85" s="226">
        <v>0</v>
      </c>
      <c r="AD85" s="226">
        <v>0</v>
      </c>
      <c r="AE85" s="226">
        <v>0</v>
      </c>
      <c r="AF85" s="226">
        <v>0</v>
      </c>
      <c r="AG85" s="226">
        <v>0</v>
      </c>
      <c r="AH85" s="226">
        <v>0</v>
      </c>
      <c r="AI85" s="226">
        <v>0</v>
      </c>
      <c r="AJ85" s="226">
        <v>0</v>
      </c>
      <c r="AK85" s="226">
        <v>0</v>
      </c>
      <c r="AL85" s="226">
        <v>0</v>
      </c>
      <c r="AM85" s="226">
        <v>0</v>
      </c>
      <c r="AN85" s="226">
        <v>0</v>
      </c>
      <c r="AO85" s="226">
        <v>0</v>
      </c>
      <c r="AP85" s="226">
        <v>0</v>
      </c>
    </row>
    <row r="86" spans="1:43">
      <c r="A86" t="str">
        <f>MLIST!A86</f>
        <v>Refrigeration</v>
      </c>
      <c r="B86" t="str">
        <f>MLIST!D86</f>
        <v>Appliances - Freezers-NR</v>
      </c>
      <c r="C86" s="227">
        <f>X86*(1-BASE!C86)</f>
        <v>0.01</v>
      </c>
      <c r="D86" s="227">
        <f>Y86*(1-BASE!D86)</f>
        <v>0.01</v>
      </c>
      <c r="E86" s="227">
        <f>Z86*(1-BASE!E86)</f>
        <v>0.01</v>
      </c>
      <c r="F86" s="227">
        <f>AA86*(1-BASE!F86)</f>
        <v>0.01</v>
      </c>
      <c r="G86" s="227">
        <f>AB86*(1-BASE!G86)</f>
        <v>0.01</v>
      </c>
      <c r="H86" s="227">
        <f>AC86*(1-BASE!H86)</f>
        <v>0.01</v>
      </c>
      <c r="I86" s="227">
        <f>AD86*(1-BASE!I86)</f>
        <v>0.01</v>
      </c>
      <c r="J86" s="227">
        <f>AE86*(1-BASE!J86)</f>
        <v>0.01</v>
      </c>
      <c r="K86" s="227">
        <f>AF86*(1-BASE!K86)</f>
        <v>0.01</v>
      </c>
      <c r="L86" s="227">
        <f>AG86*(1-BASE!L86)</f>
        <v>0.01</v>
      </c>
      <c r="M86" s="227">
        <f>AH86*(1-BASE!M86)</f>
        <v>0.01</v>
      </c>
      <c r="N86" s="227">
        <f>AI86*(1-BASE!N86)</f>
        <v>0.01</v>
      </c>
      <c r="O86" s="227">
        <f>AJ86*(1-BASE!O86)</f>
        <v>0.01</v>
      </c>
      <c r="P86" s="227">
        <f>AK86*(1-BASE!P86)</f>
        <v>0.01</v>
      </c>
      <c r="Q86" s="227">
        <f>AL86*(1-BASE!Q86)</f>
        <v>0.01</v>
      </c>
      <c r="R86" s="227">
        <f>AM86*(1-BASE!R86)</f>
        <v>0.01</v>
      </c>
      <c r="S86" s="227">
        <f>AN86*(1-BASE!S86)</f>
        <v>0.01</v>
      </c>
      <c r="T86" s="227">
        <f>AO86*(1-BASE!T86)</f>
        <v>0.01</v>
      </c>
      <c r="U86" s="256" t="e">
        <f>AP86*(1-BASE!U86)</f>
        <v>#VALUE!</v>
      </c>
      <c r="V86" s="224"/>
      <c r="X86" s="226">
        <v>0.01</v>
      </c>
      <c r="Y86" s="226">
        <v>0.01</v>
      </c>
      <c r="Z86" s="226">
        <v>0.01</v>
      </c>
      <c r="AA86" s="226">
        <v>0.01</v>
      </c>
      <c r="AB86" s="226">
        <v>0.01</v>
      </c>
      <c r="AC86" s="226">
        <v>0.01</v>
      </c>
      <c r="AD86" s="226">
        <v>0.01</v>
      </c>
      <c r="AE86" s="226">
        <v>0.01</v>
      </c>
      <c r="AF86" s="226">
        <v>0.01</v>
      </c>
      <c r="AG86" s="226">
        <v>0.01</v>
      </c>
      <c r="AH86" s="226">
        <v>0.01</v>
      </c>
      <c r="AI86" s="226">
        <v>0.01</v>
      </c>
      <c r="AJ86" s="226">
        <v>0.01</v>
      </c>
      <c r="AK86" s="226">
        <v>0.01</v>
      </c>
      <c r="AL86" s="226">
        <v>0.01</v>
      </c>
      <c r="AM86" s="226">
        <v>0.01</v>
      </c>
      <c r="AN86" s="226">
        <v>0.01</v>
      </c>
      <c r="AO86" s="226">
        <v>0.01</v>
      </c>
      <c r="AP86" s="226">
        <v>0.01</v>
      </c>
    </row>
    <row r="87" spans="1:43">
      <c r="A87" t="str">
        <f>MLIST!A87</f>
        <v>Refrigeration</v>
      </c>
      <c r="B87" t="str">
        <f>MLIST!D87</f>
        <v>Appliances - Refrigerators-NR</v>
      </c>
      <c r="C87" s="227">
        <f>X87*(1-BASE!C87)</f>
        <v>0.01</v>
      </c>
      <c r="D87" s="227">
        <f>Y87*(1-BASE!D87)</f>
        <v>0.01</v>
      </c>
      <c r="E87" s="227">
        <f>Z87*(1-BASE!E87)</f>
        <v>0.01</v>
      </c>
      <c r="F87" s="227">
        <f>AA87*(1-BASE!F87)</f>
        <v>0.01</v>
      </c>
      <c r="G87" s="227">
        <f>AB87*(1-BASE!G87)</f>
        <v>0.01</v>
      </c>
      <c r="H87" s="227">
        <f>AC87*(1-BASE!H87)</f>
        <v>0.01</v>
      </c>
      <c r="I87" s="227">
        <f>AD87*(1-BASE!I87)</f>
        <v>0.01</v>
      </c>
      <c r="J87" s="227">
        <f>AE87*(1-BASE!J87)</f>
        <v>0.01</v>
      </c>
      <c r="K87" s="227">
        <f>AF87*(1-BASE!K87)</f>
        <v>0.01</v>
      </c>
      <c r="L87" s="227">
        <f>AG87*(1-BASE!L87)</f>
        <v>0.01</v>
      </c>
      <c r="M87" s="227">
        <f>AH87*(1-BASE!M87)</f>
        <v>0.01</v>
      </c>
      <c r="N87" s="227">
        <f>AI87*(1-BASE!N87)</f>
        <v>0.01</v>
      </c>
      <c r="O87" s="227">
        <f>AJ87*(1-BASE!O87)</f>
        <v>0.01</v>
      </c>
      <c r="P87" s="227">
        <f>AK87*(1-BASE!P87)</f>
        <v>0.01</v>
      </c>
      <c r="Q87" s="227">
        <f>AL87*(1-BASE!Q87)</f>
        <v>0.01</v>
      </c>
      <c r="R87" s="227">
        <f>AM87*(1-BASE!R87)</f>
        <v>0.01</v>
      </c>
      <c r="S87" s="227">
        <f>AN87*(1-BASE!S87)</f>
        <v>0.01</v>
      </c>
      <c r="T87" s="227">
        <f>AO87*(1-BASE!T87)</f>
        <v>0.01</v>
      </c>
      <c r="U87" s="256" t="e">
        <f>AP87*(1-BASE!U87)</f>
        <v>#VALUE!</v>
      </c>
      <c r="V87" s="224"/>
      <c r="X87" s="226">
        <v>0.01</v>
      </c>
      <c r="Y87" s="226">
        <v>0.01</v>
      </c>
      <c r="Z87" s="226">
        <v>0.01</v>
      </c>
      <c r="AA87" s="226">
        <v>0.01</v>
      </c>
      <c r="AB87" s="226">
        <v>0.01</v>
      </c>
      <c r="AC87" s="226">
        <v>0.01</v>
      </c>
      <c r="AD87" s="226">
        <v>0.01</v>
      </c>
      <c r="AE87" s="226">
        <v>0.01</v>
      </c>
      <c r="AF87" s="226">
        <v>0.01</v>
      </c>
      <c r="AG87" s="226">
        <v>0.01</v>
      </c>
      <c r="AH87" s="226">
        <v>0.01</v>
      </c>
      <c r="AI87" s="226">
        <v>0.01</v>
      </c>
      <c r="AJ87" s="226">
        <v>0.01</v>
      </c>
      <c r="AK87" s="226">
        <v>0.01</v>
      </c>
      <c r="AL87" s="226">
        <v>0.01</v>
      </c>
      <c r="AM87" s="226">
        <v>0.01</v>
      </c>
      <c r="AN87" s="226">
        <v>0.01</v>
      </c>
      <c r="AO87" s="226">
        <v>0.01</v>
      </c>
      <c r="AP87" s="226">
        <v>0.01</v>
      </c>
    </row>
    <row r="88" spans="1:43">
      <c r="A88" t="str">
        <f>MLIST!A88</f>
        <v>Refrigeration</v>
      </c>
      <c r="B88" t="str">
        <f>MLIST!D88</f>
        <v>Water Cooler Controls-NR</v>
      </c>
      <c r="C88" s="282">
        <f>X88*(1-BASE!C88)</f>
        <v>0</v>
      </c>
      <c r="D88" s="282">
        <f>Y88*(1-BASE!D88)</f>
        <v>0</v>
      </c>
      <c r="E88" s="282">
        <f>Z88*(1-BASE!E88)</f>
        <v>0</v>
      </c>
      <c r="F88" s="282">
        <f>AA88*(1-BASE!F88)</f>
        <v>0</v>
      </c>
      <c r="G88" s="282">
        <f>AB88*(1-BASE!G88)</f>
        <v>0</v>
      </c>
      <c r="H88" s="282">
        <f>AC88*(1-BASE!H88)</f>
        <v>0</v>
      </c>
      <c r="I88" s="282">
        <f>AD88*(1-BASE!I88)</f>
        <v>0</v>
      </c>
      <c r="J88" s="282">
        <f>AE88*(1-BASE!J88)</f>
        <v>0</v>
      </c>
      <c r="K88" s="282">
        <f>AF88*(1-BASE!K88)</f>
        <v>0</v>
      </c>
      <c r="L88" s="282">
        <f>AG88*(1-BASE!L88)</f>
        <v>0</v>
      </c>
      <c r="M88" s="282">
        <f>AH88*(1-BASE!M88)</f>
        <v>0</v>
      </c>
      <c r="N88" s="282">
        <f>AI88*(1-BASE!N88)</f>
        <v>0</v>
      </c>
      <c r="O88" s="282">
        <f>AJ88*(1-BASE!O88)</f>
        <v>0</v>
      </c>
      <c r="P88" s="282">
        <f>AK88*(1-BASE!P88)</f>
        <v>0</v>
      </c>
      <c r="Q88" s="282">
        <f>AL88*(1-BASE!Q88)</f>
        <v>0</v>
      </c>
      <c r="R88" s="282">
        <f>AM88*(1-BASE!R88)</f>
        <v>0</v>
      </c>
      <c r="S88" s="282">
        <f>AN88*(1-BASE!S88)</f>
        <v>0</v>
      </c>
      <c r="T88" s="282">
        <f>AO88*(1-BASE!T88)</f>
        <v>0</v>
      </c>
      <c r="U88" s="32">
        <f>AP88*(1-BASE!U88)</f>
        <v>0</v>
      </c>
      <c r="V88" s="224"/>
      <c r="X88" s="403">
        <v>0</v>
      </c>
      <c r="Y88" s="403">
        <v>0</v>
      </c>
      <c r="Z88" s="403">
        <v>0</v>
      </c>
      <c r="AA88" s="403">
        <v>0</v>
      </c>
      <c r="AB88" s="403">
        <v>0</v>
      </c>
      <c r="AC88" s="403">
        <v>0</v>
      </c>
      <c r="AD88" s="403">
        <v>0</v>
      </c>
      <c r="AE88" s="403">
        <v>0</v>
      </c>
      <c r="AF88" s="403">
        <v>0</v>
      </c>
      <c r="AG88" s="403">
        <v>0</v>
      </c>
      <c r="AH88" s="403">
        <v>0</v>
      </c>
      <c r="AI88" s="403">
        <v>0</v>
      </c>
      <c r="AJ88" s="403">
        <v>0</v>
      </c>
      <c r="AK88" s="403">
        <v>0</v>
      </c>
      <c r="AL88" s="403">
        <v>0</v>
      </c>
      <c r="AM88" s="403">
        <v>0</v>
      </c>
      <c r="AN88" s="403">
        <v>0</v>
      </c>
      <c r="AO88" s="403">
        <v>0</v>
      </c>
      <c r="AP88" s="404">
        <v>0</v>
      </c>
      <c r="AQ88" s="218" t="s">
        <v>856</v>
      </c>
    </row>
    <row r="89" spans="1:43">
      <c r="A89" t="str">
        <f>MLIST!A89</f>
        <v>Water Heating</v>
      </c>
      <c r="B89" s="415" t="str">
        <f>MLIST!D89</f>
        <v>WHTanks-New</v>
      </c>
      <c r="C89" s="227">
        <f>X89*(1-BASE!C89)</f>
        <v>1</v>
      </c>
      <c r="D89" s="227">
        <f>Y89*(1-BASE!D89)</f>
        <v>1</v>
      </c>
      <c r="E89" s="227">
        <f>Z89*(1-BASE!E89)</f>
        <v>1</v>
      </c>
      <c r="F89" s="227">
        <f>AA89*(1-BASE!F89)</f>
        <v>1</v>
      </c>
      <c r="G89" s="227">
        <f>AB89*(1-BASE!G89)</f>
        <v>1</v>
      </c>
      <c r="H89" s="227">
        <f>AC89*(1-BASE!H89)</f>
        <v>1</v>
      </c>
      <c r="I89" s="227">
        <f>AD89*(1-BASE!I89)</f>
        <v>1</v>
      </c>
      <c r="J89" s="227">
        <f>AE89*(1-BASE!J89)</f>
        <v>1</v>
      </c>
      <c r="K89" s="227">
        <f>AF89*(1-BASE!K89)</f>
        <v>1</v>
      </c>
      <c r="L89" s="227">
        <f>AG89*(1-BASE!L89)</f>
        <v>1</v>
      </c>
      <c r="M89" s="227">
        <f>AH89*(1-BASE!M89)</f>
        <v>1</v>
      </c>
      <c r="N89" s="227">
        <f>AI89*(1-BASE!N89)</f>
        <v>1</v>
      </c>
      <c r="O89" s="227">
        <f>AJ89*(1-BASE!O89)</f>
        <v>1</v>
      </c>
      <c r="P89" s="227">
        <f>AK89*(1-BASE!P89)</f>
        <v>1</v>
      </c>
      <c r="Q89" s="227">
        <f>AL89*(1-BASE!Q89)</f>
        <v>1</v>
      </c>
      <c r="R89" s="227">
        <f>AM89*(1-BASE!R89)</f>
        <v>1</v>
      </c>
      <c r="S89" s="227">
        <f>AN89*(1-BASE!S89)</f>
        <v>1</v>
      </c>
      <c r="T89" s="227">
        <f>AO89*(1-BASE!T89)</f>
        <v>1</v>
      </c>
      <c r="U89" s="256">
        <f>AP89*(1-BASE!U89)</f>
        <v>0</v>
      </c>
      <c r="V89" s="224"/>
      <c r="X89" s="276">
        <v>1</v>
      </c>
      <c r="Y89" s="276">
        <v>1</v>
      </c>
      <c r="Z89" s="276">
        <v>1</v>
      </c>
      <c r="AA89" s="276">
        <v>1</v>
      </c>
      <c r="AB89" s="276">
        <v>1</v>
      </c>
      <c r="AC89" s="276">
        <v>1</v>
      </c>
      <c r="AD89" s="276">
        <v>1</v>
      </c>
      <c r="AE89" s="276">
        <v>1</v>
      </c>
      <c r="AF89" s="276">
        <v>1</v>
      </c>
      <c r="AG89" s="276">
        <v>1</v>
      </c>
      <c r="AH89" s="276">
        <v>1</v>
      </c>
      <c r="AI89" s="276">
        <v>1</v>
      </c>
      <c r="AJ89" s="276">
        <v>1</v>
      </c>
      <c r="AK89" s="276">
        <v>1</v>
      </c>
      <c r="AL89" s="276">
        <v>1</v>
      </c>
      <c r="AM89" s="276">
        <v>1</v>
      </c>
      <c r="AN89" s="276">
        <v>1</v>
      </c>
      <c r="AO89" s="276">
        <v>1</v>
      </c>
      <c r="AP89" s="226">
        <v>0</v>
      </c>
      <c r="AQ89" s="218" t="s">
        <v>945</v>
      </c>
    </row>
    <row r="90" spans="1:43" s="218" customFormat="1">
      <c r="A90" s="218" t="str">
        <f>MLIST!A90</f>
        <v>Water Heating</v>
      </c>
      <c r="B90" s="218" t="str">
        <f>MLIST!D90</f>
        <v>WHTanks-NR</v>
      </c>
      <c r="C90" s="282">
        <f>X90*(1-BASE!C90)</f>
        <v>1</v>
      </c>
      <c r="D90" s="282">
        <f>Y90*(1-BASE!D90)</f>
        <v>1</v>
      </c>
      <c r="E90" s="282">
        <f>Z90*(1-BASE!E90)</f>
        <v>1</v>
      </c>
      <c r="F90" s="282">
        <f>AA90*(1-BASE!F90)</f>
        <v>1</v>
      </c>
      <c r="G90" s="282">
        <f>AB90*(1-BASE!G90)</f>
        <v>1</v>
      </c>
      <c r="H90" s="282">
        <f>AC90*(1-BASE!H90)</f>
        <v>1</v>
      </c>
      <c r="I90" s="282">
        <f>AD90*(1-BASE!I90)</f>
        <v>1</v>
      </c>
      <c r="J90" s="282">
        <f>AE90*(1-BASE!J90)</f>
        <v>1</v>
      </c>
      <c r="K90" s="282">
        <f>AF90*(1-BASE!K90)</f>
        <v>1</v>
      </c>
      <c r="L90" s="282">
        <f>AG90*(1-BASE!L90)</f>
        <v>1</v>
      </c>
      <c r="M90" s="282">
        <f>AH90*(1-BASE!M90)</f>
        <v>1</v>
      </c>
      <c r="N90" s="282">
        <f>AI90*(1-BASE!N90)</f>
        <v>1</v>
      </c>
      <c r="O90" s="282">
        <f>AJ90*(1-BASE!O90)</f>
        <v>1</v>
      </c>
      <c r="P90" s="282">
        <f>AK90*(1-BASE!P90)</f>
        <v>1</v>
      </c>
      <c r="Q90" s="282">
        <f>AL90*(1-BASE!Q90)</f>
        <v>1</v>
      </c>
      <c r="R90" s="282">
        <f>AM90*(1-BASE!R90)</f>
        <v>1</v>
      </c>
      <c r="S90" s="282">
        <f>AN90*(1-BASE!S90)</f>
        <v>1</v>
      </c>
      <c r="T90" s="282">
        <f>AO90*(1-BASE!T90)</f>
        <v>1</v>
      </c>
      <c r="U90" s="277" t="e">
        <f>AP90*(1-BASE!U90)</f>
        <v>#VALUE!</v>
      </c>
      <c r="X90" s="276">
        <v>1</v>
      </c>
      <c r="Y90" s="276">
        <v>1</v>
      </c>
      <c r="Z90" s="276">
        <v>1</v>
      </c>
      <c r="AA90" s="276">
        <v>1</v>
      </c>
      <c r="AB90" s="276">
        <v>1</v>
      </c>
      <c r="AC90" s="276">
        <v>1</v>
      </c>
      <c r="AD90" s="276">
        <v>1</v>
      </c>
      <c r="AE90" s="276">
        <v>1</v>
      </c>
      <c r="AF90" s="276">
        <v>1</v>
      </c>
      <c r="AG90" s="276">
        <v>1</v>
      </c>
      <c r="AH90" s="276">
        <v>1</v>
      </c>
      <c r="AI90" s="276">
        <v>1</v>
      </c>
      <c r="AJ90" s="276">
        <v>1</v>
      </c>
      <c r="AK90" s="276">
        <v>1</v>
      </c>
      <c r="AL90" s="276">
        <v>1</v>
      </c>
      <c r="AM90" s="276">
        <v>1</v>
      </c>
      <c r="AN90" s="276">
        <v>1</v>
      </c>
      <c r="AO90" s="276">
        <v>1</v>
      </c>
      <c r="AP90" s="276">
        <v>0</v>
      </c>
      <c r="AQ90" s="218" t="s">
        <v>945</v>
      </c>
    </row>
    <row r="91" spans="1:43">
      <c r="A91" t="str">
        <f>MLIST!A91</f>
        <v>Water Heating</v>
      </c>
      <c r="B91" t="str">
        <f>MLIST!D91</f>
        <v>Appliances - Clothes Washers-NR</v>
      </c>
      <c r="C91" s="227">
        <f>X91*(1-BASE!C91)</f>
        <v>0.01</v>
      </c>
      <c r="D91" s="227">
        <f>Y91*(1-BASE!D91)</f>
        <v>0.01</v>
      </c>
      <c r="E91" s="227">
        <f>Z91*(1-BASE!E91)</f>
        <v>0.01</v>
      </c>
      <c r="F91" s="227">
        <f>AA91*(1-BASE!F91)</f>
        <v>0.01</v>
      </c>
      <c r="G91" s="227">
        <f>AB91*(1-BASE!G91)</f>
        <v>0.01</v>
      </c>
      <c r="H91" s="227">
        <f>AC91*(1-BASE!H91)</f>
        <v>0.01</v>
      </c>
      <c r="I91" s="227">
        <f>AD91*(1-BASE!I91)</f>
        <v>0.01</v>
      </c>
      <c r="J91" s="227">
        <f>AE91*(1-BASE!J91)</f>
        <v>0.01</v>
      </c>
      <c r="K91" s="227">
        <f>AF91*(1-BASE!K91)</f>
        <v>0.01</v>
      </c>
      <c r="L91" s="227">
        <f>AG91*(1-BASE!L91)</f>
        <v>0.01</v>
      </c>
      <c r="M91" s="227">
        <f>AH91*(1-BASE!M91)</f>
        <v>0.01</v>
      </c>
      <c r="N91" s="227">
        <f>AI91*(1-BASE!N91)</f>
        <v>0.01</v>
      </c>
      <c r="O91" s="227">
        <f>AJ91*(1-BASE!O91)</f>
        <v>0.01</v>
      </c>
      <c r="P91" s="227">
        <f>AK91*(1-BASE!P91)</f>
        <v>0.01</v>
      </c>
      <c r="Q91" s="227">
        <f>AL91*(1-BASE!Q91)</f>
        <v>0.01</v>
      </c>
      <c r="R91" s="227">
        <f>AM91*(1-BASE!R91)</f>
        <v>0.01</v>
      </c>
      <c r="S91" s="227">
        <f>AN91*(1-BASE!S91)</f>
        <v>0.01</v>
      </c>
      <c r="T91" s="227">
        <f>AO91*(1-BASE!T91)</f>
        <v>0.01</v>
      </c>
      <c r="U91" s="256" t="e">
        <f>AP91*(1-BASE!U91)</f>
        <v>#VALUE!</v>
      </c>
      <c r="V91" s="224"/>
      <c r="X91" s="226">
        <v>0.01</v>
      </c>
      <c r="Y91" s="226">
        <v>0.01</v>
      </c>
      <c r="Z91" s="226">
        <v>0.01</v>
      </c>
      <c r="AA91" s="226">
        <v>0.01</v>
      </c>
      <c r="AB91" s="226">
        <v>0.01</v>
      </c>
      <c r="AC91" s="226">
        <v>0.01</v>
      </c>
      <c r="AD91" s="226">
        <v>0.01</v>
      </c>
      <c r="AE91" s="226">
        <v>0.01</v>
      </c>
      <c r="AF91" s="226">
        <v>0.01</v>
      </c>
      <c r="AG91" s="226">
        <v>0.01</v>
      </c>
      <c r="AH91" s="226">
        <v>0.01</v>
      </c>
      <c r="AI91" s="226">
        <v>0.01</v>
      </c>
      <c r="AJ91" s="226">
        <v>0.01</v>
      </c>
      <c r="AK91" s="226">
        <v>0.01</v>
      </c>
      <c r="AL91" s="226">
        <v>0.01</v>
      </c>
      <c r="AM91" s="226">
        <v>0.01</v>
      </c>
      <c r="AN91" s="226">
        <v>0.01</v>
      </c>
      <c r="AO91" s="226">
        <v>0.01</v>
      </c>
      <c r="AP91" s="226">
        <v>0.01</v>
      </c>
    </row>
    <row r="92" spans="1:43">
      <c r="A92" s="218" t="str">
        <f>MLIST!A92</f>
        <v>Water Heating</v>
      </c>
      <c r="B92" s="218" t="str">
        <f>MLIST!D92</f>
        <v>Showerheads-Retro</v>
      </c>
      <c r="C92" s="282">
        <f>X92*(1-BASE!C92)</f>
        <v>0.8</v>
      </c>
      <c r="D92" s="282">
        <f>Y92*(1-BASE!D92)</f>
        <v>0.8</v>
      </c>
      <c r="E92" s="282">
        <f>Z92*(1-BASE!E92)</f>
        <v>0.8</v>
      </c>
      <c r="F92" s="282">
        <f>AA92*(1-BASE!F92)</f>
        <v>0.8</v>
      </c>
      <c r="G92" s="282">
        <f>AB92*(1-BASE!G92)</f>
        <v>0.8</v>
      </c>
      <c r="H92" s="282">
        <f>AC92*(1-BASE!H92)</f>
        <v>0.8</v>
      </c>
      <c r="I92" s="282">
        <f>AD92*(1-BASE!I92)</f>
        <v>0.8</v>
      </c>
      <c r="J92" s="282">
        <f>AE92*(1-BASE!J92)</f>
        <v>0.8</v>
      </c>
      <c r="K92" s="282">
        <f>AF92*(1-BASE!K92)</f>
        <v>0.8</v>
      </c>
      <c r="L92" s="282">
        <f>AG92*(1-BASE!L92)</f>
        <v>0.8</v>
      </c>
      <c r="M92" s="282">
        <f>AH92*(1-BASE!M92)</f>
        <v>0.8</v>
      </c>
      <c r="N92" s="282">
        <f>AI92*(1-BASE!N92)</f>
        <v>0.8</v>
      </c>
      <c r="O92" s="282">
        <f>AJ92*(1-BASE!O92)</f>
        <v>0.8</v>
      </c>
      <c r="P92" s="282">
        <f>AK92*(1-BASE!P92)</f>
        <v>0.8</v>
      </c>
      <c r="Q92" s="282">
        <f>AL92*(1-BASE!Q92)</f>
        <v>0.8</v>
      </c>
      <c r="R92" s="282">
        <f>AM92*(1-BASE!R92)</f>
        <v>0.8</v>
      </c>
      <c r="S92" s="282">
        <f>AN92*(1-BASE!S92)</f>
        <v>0.8</v>
      </c>
      <c r="T92" s="282">
        <f>AO92*(1-BASE!T92)</f>
        <v>0.8</v>
      </c>
      <c r="U92" s="277" t="e">
        <f>AP92*(1-BASE!U92)</f>
        <v>#VALUE!</v>
      </c>
      <c r="V92" s="218"/>
      <c r="W92" s="218"/>
      <c r="X92" s="276">
        <v>1</v>
      </c>
      <c r="Y92" s="276">
        <v>1</v>
      </c>
      <c r="Z92" s="276">
        <v>1</v>
      </c>
      <c r="AA92" s="276">
        <v>1</v>
      </c>
      <c r="AB92" s="276">
        <v>1</v>
      </c>
      <c r="AC92" s="276">
        <v>1</v>
      </c>
      <c r="AD92" s="276">
        <v>1</v>
      </c>
      <c r="AE92" s="276">
        <v>1</v>
      </c>
      <c r="AF92" s="276">
        <v>1</v>
      </c>
      <c r="AG92" s="276">
        <v>1</v>
      </c>
      <c r="AH92" s="276">
        <v>1</v>
      </c>
      <c r="AI92" s="276">
        <v>1</v>
      </c>
      <c r="AJ92" s="276">
        <v>1</v>
      </c>
      <c r="AK92" s="276">
        <v>1</v>
      </c>
      <c r="AL92" s="276">
        <v>1</v>
      </c>
      <c r="AM92" s="276">
        <v>1</v>
      </c>
      <c r="AN92" s="276">
        <v>1</v>
      </c>
      <c r="AO92" s="276">
        <v>1</v>
      </c>
      <c r="AP92" s="276">
        <v>0</v>
      </c>
    </row>
    <row r="93" spans="1:43">
      <c r="A93" t="str">
        <f>MLIST!A93</f>
        <v>Water Heating</v>
      </c>
      <c r="B93" s="415" t="str">
        <f>MLIST!D93</f>
        <v>Water Heating - GFHX-New</v>
      </c>
      <c r="C93" s="227">
        <f>X93*(1-BASE!C93)</f>
        <v>0.01</v>
      </c>
      <c r="D93" s="227">
        <f>Y93*(1-BASE!D93)</f>
        <v>0.01</v>
      </c>
      <c r="E93" s="227">
        <f>Z93*(1-BASE!E93)</f>
        <v>0.01</v>
      </c>
      <c r="F93" s="227">
        <f>AA93*(1-BASE!F93)</f>
        <v>0.01</v>
      </c>
      <c r="G93" s="227">
        <f>AB93*(1-BASE!G93)</f>
        <v>0.01</v>
      </c>
      <c r="H93" s="227">
        <f>AC93*(1-BASE!H93)</f>
        <v>0.01</v>
      </c>
      <c r="I93" s="227">
        <f>AD93*(1-BASE!I93)</f>
        <v>0.01</v>
      </c>
      <c r="J93" s="227">
        <f>AE93*(1-BASE!J93)</f>
        <v>0.01</v>
      </c>
      <c r="K93" s="227">
        <f>AF93*(1-BASE!K93)</f>
        <v>0.01</v>
      </c>
      <c r="L93" s="227">
        <f>AG93*(1-BASE!L93)</f>
        <v>0.01</v>
      </c>
      <c r="M93" s="227">
        <f>AH93*(1-BASE!M93)</f>
        <v>0.01</v>
      </c>
      <c r="N93" s="227">
        <f>AI93*(1-BASE!N93)</f>
        <v>0.01</v>
      </c>
      <c r="O93" s="227">
        <f>AJ93*(1-BASE!O93)</f>
        <v>0.01</v>
      </c>
      <c r="P93" s="227">
        <f>AK93*(1-BASE!P93)</f>
        <v>0.01</v>
      </c>
      <c r="Q93" s="227">
        <f>AL93*(1-BASE!Q93)</f>
        <v>0.01</v>
      </c>
      <c r="R93" s="227">
        <f>AM93*(1-BASE!R93)</f>
        <v>0.01</v>
      </c>
      <c r="S93" s="227">
        <f>AN93*(1-BASE!S93)</f>
        <v>0.01</v>
      </c>
      <c r="T93" s="227">
        <f>AO93*(1-BASE!T93)</f>
        <v>0.01</v>
      </c>
      <c r="U93" s="256" t="e">
        <f>AP93*(1-BASE!U93)</f>
        <v>#VALUE!</v>
      </c>
      <c r="V93" s="224"/>
      <c r="X93" s="226">
        <v>0.01</v>
      </c>
      <c r="Y93" s="226">
        <v>0.01</v>
      </c>
      <c r="Z93" s="226">
        <v>0.01</v>
      </c>
      <c r="AA93" s="226">
        <v>0.01</v>
      </c>
      <c r="AB93" s="226">
        <v>0.01</v>
      </c>
      <c r="AC93" s="226">
        <v>0.01</v>
      </c>
      <c r="AD93" s="226">
        <v>0.01</v>
      </c>
      <c r="AE93" s="226">
        <v>0.01</v>
      </c>
      <c r="AF93" s="226">
        <v>0.01</v>
      </c>
      <c r="AG93" s="226">
        <v>0.01</v>
      </c>
      <c r="AH93" s="226">
        <v>0.01</v>
      </c>
      <c r="AI93" s="226">
        <v>0.01</v>
      </c>
      <c r="AJ93" s="226">
        <v>0.01</v>
      </c>
      <c r="AK93" s="226">
        <v>0.01</v>
      </c>
      <c r="AL93" s="226">
        <v>0.01</v>
      </c>
      <c r="AM93" s="226">
        <v>0.01</v>
      </c>
      <c r="AN93" s="226">
        <v>0.01</v>
      </c>
      <c r="AO93" s="226">
        <v>0.01</v>
      </c>
      <c r="AP93" s="226">
        <v>0.01</v>
      </c>
    </row>
    <row r="94" spans="1:43">
      <c r="A94" t="str">
        <f>MLIST!A94</f>
        <v>Water Heating</v>
      </c>
      <c r="B94" s="415" t="str">
        <f>MLIST!D94</f>
        <v>Demand Control Circulating system DHW-Retro</v>
      </c>
      <c r="C94" s="227">
        <f>X94*(1-BASE!C94)</f>
        <v>0.01</v>
      </c>
      <c r="D94" s="227">
        <f>Y94*(1-BASE!D94)</f>
        <v>0.01</v>
      </c>
      <c r="E94" s="227">
        <f>Z94*(1-BASE!E94)</f>
        <v>0.01</v>
      </c>
      <c r="F94" s="227">
        <f>AA94*(1-BASE!F94)</f>
        <v>0.01</v>
      </c>
      <c r="G94" s="227">
        <f>AB94*(1-BASE!G94)</f>
        <v>0.01</v>
      </c>
      <c r="H94" s="227">
        <f>AC94*(1-BASE!H94)</f>
        <v>0.01</v>
      </c>
      <c r="I94" s="227">
        <f>AD94*(1-BASE!I94)</f>
        <v>0.01</v>
      </c>
      <c r="J94" s="227">
        <f>AE94*(1-BASE!J94)</f>
        <v>0.01</v>
      </c>
      <c r="K94" s="227">
        <f>AF94*(1-BASE!K94)</f>
        <v>0.01</v>
      </c>
      <c r="L94" s="227">
        <f>AG94*(1-BASE!L94)</f>
        <v>0.01</v>
      </c>
      <c r="M94" s="227">
        <f>AH94*(1-BASE!M94)</f>
        <v>0.01</v>
      </c>
      <c r="N94" s="227">
        <f>AI94*(1-BASE!N94)</f>
        <v>0.01</v>
      </c>
      <c r="O94" s="227">
        <f>AJ94*(1-BASE!O94)</f>
        <v>0.01</v>
      </c>
      <c r="P94" s="227">
        <f>AK94*(1-BASE!P94)</f>
        <v>0.01</v>
      </c>
      <c r="Q94" s="227">
        <f>AL94*(1-BASE!Q94)</f>
        <v>0.01</v>
      </c>
      <c r="R94" s="227">
        <f>AM94*(1-BASE!R94)</f>
        <v>0.01</v>
      </c>
      <c r="S94" s="227">
        <f>AN94*(1-BASE!S94)</f>
        <v>0.01</v>
      </c>
      <c r="T94" s="227">
        <f>AO94*(1-BASE!T94)</f>
        <v>0.01</v>
      </c>
      <c r="U94" s="256" t="e">
        <f>AP94*(1-BASE!U94)</f>
        <v>#VALUE!</v>
      </c>
      <c r="V94" s="224"/>
      <c r="X94" s="226">
        <v>0.01</v>
      </c>
      <c r="Y94" s="226">
        <v>0.01</v>
      </c>
      <c r="Z94" s="226">
        <v>0.01</v>
      </c>
      <c r="AA94" s="226">
        <v>0.01</v>
      </c>
      <c r="AB94" s="226">
        <v>0.01</v>
      </c>
      <c r="AC94" s="226">
        <v>0.01</v>
      </c>
      <c r="AD94" s="226">
        <v>0.01</v>
      </c>
      <c r="AE94" s="226">
        <v>0.01</v>
      </c>
      <c r="AF94" s="226">
        <v>0.01</v>
      </c>
      <c r="AG94" s="226">
        <v>0.01</v>
      </c>
      <c r="AH94" s="226">
        <v>0.01</v>
      </c>
      <c r="AI94" s="226">
        <v>0.01</v>
      </c>
      <c r="AJ94" s="226">
        <v>0.01</v>
      </c>
      <c r="AK94" s="226">
        <v>0.01</v>
      </c>
      <c r="AL94" s="226">
        <v>0.01</v>
      </c>
      <c r="AM94" s="226">
        <v>0.01</v>
      </c>
      <c r="AN94" s="226">
        <v>0.01</v>
      </c>
      <c r="AO94" s="226">
        <v>0.01</v>
      </c>
      <c r="AP94" s="226">
        <v>0.01</v>
      </c>
    </row>
    <row r="95" spans="1:43">
      <c r="A95" t="str">
        <f>MLIST!A95</f>
        <v>Water Heating</v>
      </c>
      <c r="B95" s="415" t="str">
        <f>MLIST!D95</f>
        <v>Central HPWH MF-Retro</v>
      </c>
      <c r="C95" s="227">
        <f>X95*(1-BASE!C95)</f>
        <v>0.01</v>
      </c>
      <c r="D95" s="227">
        <f>Y95*(1-BASE!D95)</f>
        <v>0.01</v>
      </c>
      <c r="E95" s="227">
        <f>Z95*(1-BASE!E95)</f>
        <v>0.01</v>
      </c>
      <c r="F95" s="227">
        <f>AA95*(1-BASE!F95)</f>
        <v>0.01</v>
      </c>
      <c r="G95" s="227">
        <f>AB95*(1-BASE!G95)</f>
        <v>0.01</v>
      </c>
      <c r="H95" s="227">
        <f>AC95*(1-BASE!H95)</f>
        <v>0.01</v>
      </c>
      <c r="I95" s="227">
        <f>AD95*(1-BASE!I95)</f>
        <v>0.01</v>
      </c>
      <c r="J95" s="227">
        <f>AE95*(1-BASE!J95)</f>
        <v>0.01</v>
      </c>
      <c r="K95" s="227">
        <f>AF95*(1-BASE!K95)</f>
        <v>0.01</v>
      </c>
      <c r="L95" s="227">
        <f>AG95*(1-BASE!L95)</f>
        <v>0.01</v>
      </c>
      <c r="M95" s="227">
        <f>AH95*(1-BASE!M95)</f>
        <v>0.01</v>
      </c>
      <c r="N95" s="227">
        <f>AI95*(1-BASE!N95)</f>
        <v>0.01</v>
      </c>
      <c r="O95" s="227">
        <f>AJ95*(1-BASE!O95)</f>
        <v>0.01</v>
      </c>
      <c r="P95" s="227">
        <f>AK95*(1-BASE!P95)</f>
        <v>0.01</v>
      </c>
      <c r="Q95" s="227">
        <f>AL95*(1-BASE!Q95)</f>
        <v>0.01</v>
      </c>
      <c r="R95" s="227">
        <f>AM95*(1-BASE!R95)</f>
        <v>0.01</v>
      </c>
      <c r="S95" s="227">
        <f>AN95*(1-BASE!S95)</f>
        <v>0.01</v>
      </c>
      <c r="T95" s="227">
        <f>AO95*(1-BASE!T95)</f>
        <v>0.01</v>
      </c>
      <c r="U95" s="256" t="e">
        <f>AP95*(1-BASE!U95)</f>
        <v>#VALUE!</v>
      </c>
      <c r="V95" s="224"/>
      <c r="X95" s="226">
        <v>0.01</v>
      </c>
      <c r="Y95" s="226">
        <v>0.01</v>
      </c>
      <c r="Z95" s="226">
        <v>0.01</v>
      </c>
      <c r="AA95" s="226">
        <v>0.01</v>
      </c>
      <c r="AB95" s="226">
        <v>0.01</v>
      </c>
      <c r="AC95" s="226">
        <v>0.01</v>
      </c>
      <c r="AD95" s="226">
        <v>0.01</v>
      </c>
      <c r="AE95" s="226">
        <v>0.01</v>
      </c>
      <c r="AF95" s="226">
        <v>0.01</v>
      </c>
      <c r="AG95" s="226">
        <v>0.01</v>
      </c>
      <c r="AH95" s="226">
        <v>0.01</v>
      </c>
      <c r="AI95" s="226">
        <v>0.01</v>
      </c>
      <c r="AJ95" s="226">
        <v>0.01</v>
      </c>
      <c r="AK95" s="226">
        <v>0.01</v>
      </c>
      <c r="AL95" s="226">
        <v>0.01</v>
      </c>
      <c r="AM95" s="226">
        <v>0.01</v>
      </c>
      <c r="AN95" s="226">
        <v>0.01</v>
      </c>
      <c r="AO95" s="226">
        <v>0.01</v>
      </c>
      <c r="AP95" s="226">
        <v>0.01</v>
      </c>
    </row>
    <row r="96" spans="1:43">
      <c r="A96" t="str">
        <f>MLIST!A96</f>
        <v>Whole Bldg/Meter Level</v>
      </c>
      <c r="B96" t="str">
        <f>MLIST!D96</f>
        <v>Ultra Low Energy Building-New</v>
      </c>
      <c r="C96" s="282">
        <f>X96*(1-BASE!C96)</f>
        <v>0</v>
      </c>
      <c r="D96" s="282">
        <f>Y96*(1-BASE!D96)</f>
        <v>0</v>
      </c>
      <c r="E96" s="282">
        <f>Z96*(1-BASE!E96)</f>
        <v>0</v>
      </c>
      <c r="F96" s="282">
        <f>AA96*(1-BASE!F96)</f>
        <v>0</v>
      </c>
      <c r="G96" s="282">
        <f>AB96*(1-BASE!G96)</f>
        <v>0</v>
      </c>
      <c r="H96" s="282">
        <f>AC96*(1-BASE!H96)</f>
        <v>0</v>
      </c>
      <c r="I96" s="282">
        <f>AD96*(1-BASE!I96)</f>
        <v>0</v>
      </c>
      <c r="J96" s="282">
        <f>AE96*(1-BASE!J96)</f>
        <v>0</v>
      </c>
      <c r="K96" s="282">
        <f>AF96*(1-BASE!K96)</f>
        <v>0</v>
      </c>
      <c r="L96" s="282">
        <f>AG96*(1-BASE!L96)</f>
        <v>0</v>
      </c>
      <c r="M96" s="282">
        <f>AH96*(1-BASE!M96)</f>
        <v>0</v>
      </c>
      <c r="N96" s="282">
        <f>AI96*(1-BASE!N96)</f>
        <v>0</v>
      </c>
      <c r="O96" s="282">
        <f>AJ96*(1-BASE!O96)</f>
        <v>0</v>
      </c>
      <c r="P96" s="282">
        <f>AK96*(1-BASE!P96)</f>
        <v>0</v>
      </c>
      <c r="Q96" s="282">
        <f>AL96*(1-BASE!Q96)</f>
        <v>0</v>
      </c>
      <c r="R96" s="282">
        <f>AM96*(1-BASE!R96)</f>
        <v>0</v>
      </c>
      <c r="S96" s="282">
        <f>AN96*(1-BASE!S96)</f>
        <v>0</v>
      </c>
      <c r="T96" s="282">
        <f>AO96*(1-BASE!T96)</f>
        <v>0</v>
      </c>
      <c r="U96" s="268"/>
      <c r="V96" s="224"/>
      <c r="X96" s="226">
        <v>0</v>
      </c>
      <c r="Y96" s="226">
        <v>0</v>
      </c>
      <c r="Z96" s="226">
        <v>0</v>
      </c>
      <c r="AA96" s="226">
        <v>0</v>
      </c>
      <c r="AB96" s="226">
        <v>0</v>
      </c>
      <c r="AC96" s="226">
        <v>0</v>
      </c>
      <c r="AD96" s="226">
        <v>0</v>
      </c>
      <c r="AE96" s="226">
        <v>0</v>
      </c>
      <c r="AF96" s="226">
        <v>0</v>
      </c>
      <c r="AG96" s="226">
        <v>0</v>
      </c>
      <c r="AH96" s="226">
        <v>0</v>
      </c>
      <c r="AI96" s="226">
        <v>0</v>
      </c>
      <c r="AJ96" s="226">
        <v>0</v>
      </c>
      <c r="AK96" s="226">
        <v>0</v>
      </c>
      <c r="AL96" s="226">
        <v>0</v>
      </c>
      <c r="AM96" s="226">
        <v>0</v>
      </c>
      <c r="AN96" s="226">
        <v>0</v>
      </c>
      <c r="AO96" s="226">
        <v>0</v>
      </c>
      <c r="AP96" s="226">
        <v>0</v>
      </c>
    </row>
    <row r="98" spans="2:42">
      <c r="B98" s="7"/>
      <c r="C98" s="7"/>
      <c r="D98" s="7"/>
      <c r="E98" s="7"/>
      <c r="F98" s="7"/>
      <c r="G98" s="7"/>
      <c r="H98" s="7"/>
      <c r="I98" s="7"/>
      <c r="J98" s="7"/>
      <c r="K98" s="7"/>
      <c r="L98" s="7"/>
      <c r="M98" s="7"/>
      <c r="N98" s="7"/>
      <c r="O98" s="7"/>
      <c r="P98" s="7"/>
      <c r="Q98" s="7"/>
      <c r="R98" s="7"/>
      <c r="S98" s="7"/>
      <c r="T98" s="7"/>
      <c r="U98" s="34"/>
      <c r="V98" s="224"/>
      <c r="X98" s="226"/>
      <c r="Y98" s="226"/>
      <c r="Z98" s="226"/>
      <c r="AA98" s="226"/>
      <c r="AB98" s="226"/>
      <c r="AC98" s="226"/>
      <c r="AD98" s="226"/>
      <c r="AE98" s="226"/>
      <c r="AF98" s="226"/>
      <c r="AG98" s="226"/>
      <c r="AH98" s="226"/>
      <c r="AI98" s="226"/>
      <c r="AJ98" s="226"/>
      <c r="AK98" s="226"/>
      <c r="AL98" s="226"/>
      <c r="AM98" s="226"/>
      <c r="AN98" s="226"/>
      <c r="AO98" s="226"/>
      <c r="AP98" s="230"/>
    </row>
    <row r="99" spans="2:42">
      <c r="B99" s="7"/>
      <c r="C99" s="221"/>
      <c r="D99" s="221"/>
      <c r="E99" s="221"/>
      <c r="F99" s="221"/>
      <c r="G99" s="221"/>
      <c r="H99" s="221"/>
      <c r="I99" s="221"/>
      <c r="J99" s="221"/>
      <c r="K99" s="221"/>
      <c r="L99" s="221"/>
      <c r="M99" s="221"/>
      <c r="N99" s="221"/>
      <c r="O99" s="221"/>
      <c r="P99" s="221"/>
      <c r="Q99" s="221"/>
      <c r="R99" s="221"/>
      <c r="S99" s="221"/>
      <c r="T99" s="221"/>
      <c r="U99" s="34"/>
      <c r="V99" s="224"/>
      <c r="X99" s="226"/>
      <c r="Y99" s="226"/>
      <c r="Z99" s="226"/>
      <c r="AA99" s="226"/>
      <c r="AB99" s="226"/>
      <c r="AC99" s="226"/>
      <c r="AD99" s="226"/>
      <c r="AE99" s="226"/>
      <c r="AF99" s="226"/>
      <c r="AG99" s="226"/>
      <c r="AH99" s="226"/>
      <c r="AI99" s="226"/>
      <c r="AJ99" s="226"/>
      <c r="AK99" s="226"/>
      <c r="AL99" s="226"/>
      <c r="AM99" s="226"/>
      <c r="AN99" s="226"/>
      <c r="AO99" s="226"/>
      <c r="AP99" s="230"/>
    </row>
    <row r="100" spans="2:42">
      <c r="B100" s="7"/>
      <c r="C100" s="221"/>
      <c r="D100" s="221"/>
      <c r="E100" s="221"/>
      <c r="F100" s="221"/>
      <c r="G100" s="221"/>
      <c r="H100" s="221"/>
      <c r="I100" s="221"/>
      <c r="J100" s="221"/>
      <c r="K100" s="221"/>
      <c r="L100" s="221"/>
      <c r="M100" s="221"/>
      <c r="N100" s="221"/>
      <c r="O100" s="221"/>
      <c r="P100" s="221"/>
      <c r="Q100" s="221"/>
      <c r="R100" s="221"/>
      <c r="S100" s="221"/>
      <c r="T100" s="221"/>
      <c r="U100" s="34"/>
      <c r="V100" s="224"/>
      <c r="X100" s="226"/>
      <c r="Y100" s="226"/>
      <c r="Z100" s="226"/>
      <c r="AA100" s="226"/>
      <c r="AB100" s="226"/>
      <c r="AC100" s="226"/>
      <c r="AD100" s="226"/>
      <c r="AE100" s="226"/>
      <c r="AF100" s="226"/>
      <c r="AG100" s="226"/>
      <c r="AH100" s="226"/>
      <c r="AI100" s="226"/>
      <c r="AJ100" s="226"/>
      <c r="AK100" s="226"/>
      <c r="AL100" s="226"/>
      <c r="AM100" s="226"/>
      <c r="AN100" s="226"/>
      <c r="AO100" s="226"/>
      <c r="AP100" s="230"/>
    </row>
    <row r="101" spans="2:42">
      <c r="B101" s="7"/>
      <c r="C101" s="221"/>
      <c r="D101" s="221"/>
      <c r="E101" s="221"/>
      <c r="F101" s="221"/>
      <c r="G101" s="221"/>
      <c r="H101" s="221"/>
      <c r="I101" s="221"/>
      <c r="J101" s="221"/>
      <c r="K101" s="221"/>
      <c r="L101" s="221"/>
      <c r="M101" s="221"/>
      <c r="N101" s="221"/>
      <c r="O101" s="221"/>
      <c r="P101" s="221"/>
      <c r="Q101" s="221"/>
      <c r="R101" s="221"/>
      <c r="S101" s="221"/>
      <c r="T101" s="221"/>
      <c r="U101" s="34"/>
      <c r="V101" s="224"/>
      <c r="X101" s="226"/>
      <c r="Y101" s="226"/>
      <c r="Z101" s="226"/>
      <c r="AA101" s="226"/>
      <c r="AB101" s="226"/>
      <c r="AC101" s="226"/>
      <c r="AD101" s="226"/>
      <c r="AE101" s="226"/>
      <c r="AF101" s="226"/>
      <c r="AG101" s="226"/>
      <c r="AH101" s="226"/>
      <c r="AI101" s="226"/>
      <c r="AJ101" s="226"/>
      <c r="AK101" s="226"/>
      <c r="AL101" s="226"/>
      <c r="AM101" s="226"/>
      <c r="AN101" s="226"/>
      <c r="AO101" s="226"/>
      <c r="AP101" s="230"/>
    </row>
    <row r="102" spans="2:42">
      <c r="B102" s="7"/>
      <c r="C102" s="7"/>
      <c r="D102" s="7"/>
      <c r="E102" s="7"/>
      <c r="F102" s="7"/>
      <c r="G102" s="7"/>
      <c r="H102" s="7"/>
      <c r="I102" s="7"/>
      <c r="J102" s="7"/>
      <c r="K102" s="7"/>
      <c r="L102" s="7"/>
      <c r="M102" s="7"/>
      <c r="N102" s="7"/>
      <c r="O102" s="7"/>
      <c r="P102" s="7"/>
      <c r="Q102" s="7"/>
      <c r="R102" s="7"/>
      <c r="S102" s="7"/>
      <c r="T102" s="7"/>
      <c r="U102" s="34"/>
      <c r="V102" s="224"/>
      <c r="X102" s="226"/>
      <c r="Y102" s="226"/>
      <c r="Z102" s="226"/>
      <c r="AA102" s="226"/>
      <c r="AB102" s="226"/>
      <c r="AC102" s="226"/>
      <c r="AD102" s="226"/>
      <c r="AE102" s="226"/>
      <c r="AF102" s="226"/>
      <c r="AG102" s="226"/>
      <c r="AH102" s="226"/>
      <c r="AI102" s="226"/>
      <c r="AJ102" s="226"/>
      <c r="AK102" s="226"/>
      <c r="AL102" s="226"/>
      <c r="AM102" s="226"/>
      <c r="AN102" s="226"/>
      <c r="AO102" s="226"/>
      <c r="AP102" s="229"/>
    </row>
    <row r="103" spans="2:42">
      <c r="B103" s="7"/>
      <c r="C103" s="7"/>
      <c r="D103" s="7"/>
      <c r="E103" s="7"/>
      <c r="F103" s="7"/>
      <c r="G103" s="7"/>
      <c r="H103" s="7"/>
      <c r="I103" s="7"/>
      <c r="J103" s="7"/>
      <c r="K103" s="7"/>
      <c r="L103" s="7"/>
      <c r="M103" s="7"/>
      <c r="N103" s="7"/>
      <c r="O103" s="7"/>
      <c r="P103" s="7"/>
      <c r="Q103" s="7"/>
      <c r="R103" s="7"/>
      <c r="S103" s="7"/>
      <c r="T103" s="7"/>
      <c r="U103" s="34"/>
      <c r="V103" s="224"/>
      <c r="X103" s="226"/>
      <c r="Y103" s="226"/>
      <c r="Z103" s="226"/>
      <c r="AA103" s="226"/>
      <c r="AB103" s="226"/>
      <c r="AC103" s="226"/>
      <c r="AD103" s="226"/>
      <c r="AE103" s="226"/>
      <c r="AF103" s="226"/>
      <c r="AG103" s="226"/>
      <c r="AH103" s="226"/>
      <c r="AI103" s="226"/>
      <c r="AJ103" s="226"/>
      <c r="AK103" s="226"/>
      <c r="AL103" s="226"/>
      <c r="AM103" s="226"/>
      <c r="AN103" s="226"/>
      <c r="AO103" s="226"/>
      <c r="AP103" s="229"/>
    </row>
    <row r="104" spans="2:42">
      <c r="B104" s="7"/>
      <c r="C104" s="178"/>
      <c r="D104" s="178"/>
      <c r="E104" s="178"/>
      <c r="F104" s="178"/>
      <c r="G104" s="178"/>
      <c r="H104" s="178"/>
      <c r="I104" s="178"/>
      <c r="J104" s="178"/>
      <c r="K104" s="178"/>
      <c r="L104" s="178"/>
      <c r="M104" s="178"/>
      <c r="N104" s="178"/>
      <c r="O104" s="178"/>
      <c r="P104" s="178"/>
      <c r="Q104" s="178"/>
      <c r="R104" s="178"/>
      <c r="S104" s="178"/>
      <c r="T104" s="178"/>
      <c r="U104" s="34"/>
      <c r="V104" s="224"/>
      <c r="X104" s="226"/>
      <c r="Y104" s="226"/>
      <c r="Z104" s="226"/>
      <c r="AA104" s="226"/>
      <c r="AB104" s="226"/>
      <c r="AC104" s="226"/>
      <c r="AD104" s="226"/>
      <c r="AE104" s="226"/>
      <c r="AF104" s="226"/>
      <c r="AG104" s="226"/>
      <c r="AH104" s="226"/>
      <c r="AI104" s="226"/>
      <c r="AJ104" s="226"/>
      <c r="AK104" s="226"/>
      <c r="AL104" s="226"/>
      <c r="AM104" s="226"/>
      <c r="AN104" s="226"/>
      <c r="AO104" s="226"/>
      <c r="AP104" s="230"/>
    </row>
    <row r="105" spans="2:42">
      <c r="B105" s="7"/>
      <c r="C105" s="178"/>
      <c r="D105" s="178"/>
      <c r="E105" s="178"/>
      <c r="F105" s="178"/>
      <c r="G105" s="178"/>
      <c r="H105" s="178"/>
      <c r="I105" s="178"/>
      <c r="J105" s="178"/>
      <c r="K105" s="178"/>
      <c r="L105" s="178"/>
      <c r="M105" s="178"/>
      <c r="N105" s="178"/>
      <c r="O105" s="178"/>
      <c r="P105" s="178"/>
      <c r="Q105" s="178"/>
      <c r="R105" s="178"/>
      <c r="S105" s="178"/>
      <c r="T105" s="178"/>
      <c r="U105" s="25"/>
      <c r="V105" s="225"/>
      <c r="X105" s="226"/>
      <c r="Y105" s="226"/>
      <c r="Z105" s="226"/>
      <c r="AA105" s="226"/>
      <c r="AB105" s="226"/>
      <c r="AC105" s="226"/>
      <c r="AD105" s="226"/>
      <c r="AE105" s="226"/>
      <c r="AF105" s="226"/>
      <c r="AG105" s="226"/>
      <c r="AH105" s="226"/>
      <c r="AI105" s="226"/>
      <c r="AJ105" s="226"/>
      <c r="AK105" s="226"/>
      <c r="AL105" s="226"/>
      <c r="AM105" s="226"/>
      <c r="AN105" s="226"/>
      <c r="AO105" s="226"/>
      <c r="AP105" s="231"/>
    </row>
    <row r="106" spans="2:42">
      <c r="B106" s="7"/>
      <c r="C106" s="2"/>
      <c r="D106" s="2"/>
      <c r="E106" s="2"/>
      <c r="F106" s="2"/>
      <c r="G106" s="2"/>
      <c r="H106" s="2"/>
      <c r="I106" s="2"/>
      <c r="J106" s="2"/>
      <c r="K106" s="2"/>
      <c r="L106" s="2"/>
      <c r="M106" s="2"/>
      <c r="N106" s="2"/>
      <c r="O106" s="2"/>
      <c r="P106" s="2"/>
      <c r="Q106" s="2"/>
      <c r="R106" s="2"/>
      <c r="S106" s="2"/>
      <c r="T106" s="2"/>
    </row>
    <row r="107" spans="2:42">
      <c r="B107" s="7"/>
      <c r="C107" s="2"/>
      <c r="D107" s="2"/>
      <c r="E107" s="2"/>
      <c r="F107" s="2"/>
      <c r="G107" s="2"/>
      <c r="H107" s="2"/>
      <c r="I107" s="2"/>
      <c r="J107" s="2"/>
      <c r="K107" s="2"/>
      <c r="L107" s="2"/>
      <c r="M107" s="2"/>
      <c r="N107" s="2"/>
      <c r="O107" s="2"/>
      <c r="P107" s="2"/>
      <c r="Q107" s="2"/>
      <c r="R107" s="2"/>
      <c r="S107" s="2"/>
      <c r="T107" s="2"/>
    </row>
    <row r="108" spans="2:42">
      <c r="B108" s="7"/>
      <c r="C108" s="2"/>
      <c r="D108" s="2"/>
      <c r="E108" s="2"/>
      <c r="F108" s="2"/>
      <c r="G108" s="2"/>
      <c r="H108" s="2"/>
      <c r="I108" s="2"/>
      <c r="J108" s="2"/>
      <c r="K108" s="2"/>
      <c r="L108" s="2"/>
      <c r="M108" s="2"/>
      <c r="N108" s="2"/>
      <c r="O108" s="2"/>
      <c r="P108" s="2"/>
      <c r="Q108" s="2"/>
      <c r="R108" s="2"/>
      <c r="S108" s="2"/>
      <c r="T108" s="2"/>
    </row>
    <row r="109" spans="2:42">
      <c r="B109" s="7"/>
      <c r="C109" s="2"/>
      <c r="D109" s="2"/>
      <c r="E109" s="2"/>
      <c r="F109" s="2"/>
      <c r="G109" s="2"/>
      <c r="H109" s="2"/>
      <c r="I109" s="2"/>
      <c r="J109" s="2"/>
      <c r="K109" s="2"/>
      <c r="L109" s="2"/>
      <c r="M109" s="2"/>
      <c r="N109" s="2"/>
      <c r="O109" s="2"/>
      <c r="P109" s="2"/>
      <c r="Q109" s="2"/>
      <c r="R109" s="2"/>
      <c r="S109" s="2"/>
      <c r="T109" s="2"/>
    </row>
    <row r="110" spans="2:42">
      <c r="B110" s="7"/>
      <c r="C110" s="2"/>
      <c r="D110" s="2"/>
      <c r="E110" s="2"/>
      <c r="F110" s="2"/>
      <c r="G110" s="2"/>
      <c r="H110" s="2"/>
      <c r="I110" s="2"/>
      <c r="J110" s="2"/>
      <c r="K110" s="2"/>
      <c r="L110" s="2"/>
      <c r="M110" s="2"/>
      <c r="N110" s="2"/>
      <c r="O110" s="2"/>
      <c r="P110" s="2"/>
      <c r="Q110" s="2"/>
      <c r="R110" s="2"/>
      <c r="S110" s="2"/>
      <c r="T110" s="2"/>
    </row>
    <row r="111" spans="2:42">
      <c r="B111" s="7"/>
      <c r="C111" s="2"/>
      <c r="D111" s="2"/>
      <c r="E111" s="2"/>
      <c r="F111" s="2"/>
      <c r="G111" s="2"/>
      <c r="H111" s="2"/>
      <c r="I111" s="2"/>
      <c r="J111" s="2"/>
      <c r="K111" s="2"/>
      <c r="L111" s="2"/>
      <c r="M111" s="2"/>
      <c r="N111" s="2"/>
      <c r="O111" s="2"/>
      <c r="P111" s="2"/>
      <c r="Q111" s="2"/>
      <c r="R111" s="2"/>
      <c r="S111" s="2"/>
      <c r="T111" s="2"/>
    </row>
    <row r="112" spans="2:42">
      <c r="B112" s="7"/>
      <c r="C112" s="2"/>
      <c r="D112" s="2"/>
      <c r="E112" s="2"/>
      <c r="F112" s="2"/>
      <c r="G112" s="2"/>
      <c r="H112" s="2"/>
      <c r="I112" s="2"/>
      <c r="J112" s="2"/>
      <c r="K112" s="2"/>
      <c r="L112" s="2"/>
      <c r="M112" s="2"/>
      <c r="N112" s="2"/>
      <c r="O112" s="2"/>
      <c r="P112" s="2"/>
      <c r="Q112" s="2"/>
      <c r="R112" s="2"/>
      <c r="S112" s="2"/>
      <c r="T112" s="2"/>
    </row>
    <row r="113" spans="3:20">
      <c r="C113" s="2"/>
      <c r="D113" s="2"/>
      <c r="E113" s="2"/>
      <c r="F113" s="2"/>
      <c r="G113" s="2"/>
      <c r="H113" s="2"/>
      <c r="I113" s="2"/>
      <c r="J113" s="2"/>
      <c r="K113" s="2"/>
      <c r="L113" s="2"/>
      <c r="M113" s="2"/>
      <c r="N113" s="2"/>
      <c r="O113" s="2"/>
      <c r="P113" s="2"/>
      <c r="Q113" s="2"/>
      <c r="R113" s="2"/>
      <c r="S113" s="2"/>
      <c r="T113" s="2"/>
    </row>
    <row r="114" spans="3:20">
      <c r="C114" s="2"/>
      <c r="D114" s="2"/>
      <c r="E114" s="2"/>
      <c r="F114" s="2"/>
      <c r="G114" s="2"/>
      <c r="H114" s="2"/>
      <c r="I114" s="2"/>
      <c r="J114" s="2"/>
      <c r="K114" s="2"/>
      <c r="L114" s="2"/>
      <c r="M114" s="2"/>
      <c r="N114" s="2"/>
      <c r="O114" s="2"/>
      <c r="P114" s="2"/>
      <c r="Q114" s="2"/>
      <c r="R114" s="2"/>
      <c r="S114" s="2"/>
      <c r="T114" s="2"/>
    </row>
    <row r="115" spans="3:20">
      <c r="C115" s="2"/>
      <c r="D115" s="2"/>
      <c r="E115" s="2"/>
      <c r="F115" s="2"/>
      <c r="G115" s="2"/>
      <c r="H115" s="2"/>
      <c r="I115" s="2"/>
      <c r="J115" s="2"/>
      <c r="K115" s="2"/>
      <c r="L115" s="2"/>
      <c r="M115" s="2"/>
      <c r="N115" s="2"/>
      <c r="O115" s="2"/>
      <c r="P115" s="2"/>
      <c r="Q115" s="2"/>
      <c r="R115" s="2"/>
      <c r="S115" s="2"/>
      <c r="T115" s="2"/>
    </row>
    <row r="116" spans="3:20">
      <c r="C116" s="2"/>
      <c r="D116" s="2"/>
      <c r="E116" s="2"/>
      <c r="F116" s="2"/>
      <c r="G116" s="2"/>
      <c r="H116" s="2"/>
      <c r="I116" s="2"/>
      <c r="J116" s="2"/>
      <c r="K116" s="2"/>
      <c r="L116" s="2"/>
      <c r="M116" s="2"/>
      <c r="N116" s="2"/>
      <c r="O116" s="2"/>
      <c r="P116" s="2"/>
      <c r="Q116" s="2"/>
      <c r="R116" s="2"/>
      <c r="S116" s="2"/>
      <c r="T116" s="2"/>
    </row>
    <row r="117" spans="3:20">
      <c r="C117" s="2"/>
      <c r="D117" s="2"/>
      <c r="E117" s="2"/>
      <c r="F117" s="2"/>
      <c r="G117" s="2"/>
      <c r="H117" s="2"/>
      <c r="I117" s="2"/>
      <c r="J117" s="2"/>
      <c r="K117" s="2"/>
      <c r="L117" s="2"/>
      <c r="M117" s="2"/>
      <c r="N117" s="2"/>
      <c r="O117" s="2"/>
      <c r="P117" s="2"/>
      <c r="Q117" s="2"/>
      <c r="R117" s="2"/>
      <c r="S117" s="2"/>
      <c r="T117" s="2"/>
    </row>
    <row r="118" spans="3:20">
      <c r="C118" s="2"/>
      <c r="D118" s="2"/>
      <c r="E118" s="2"/>
      <c r="F118" s="2"/>
      <c r="G118" s="2"/>
      <c r="H118" s="2"/>
      <c r="I118" s="2"/>
      <c r="J118" s="2"/>
      <c r="K118" s="2"/>
      <c r="L118" s="2"/>
      <c r="M118" s="2"/>
      <c r="N118" s="2"/>
      <c r="O118" s="2"/>
      <c r="P118" s="2"/>
      <c r="Q118" s="2"/>
      <c r="R118" s="2"/>
      <c r="S118" s="2"/>
      <c r="T118" s="2"/>
    </row>
    <row r="119" spans="3:20">
      <c r="C119" s="2"/>
      <c r="D119" s="2"/>
      <c r="E119" s="2"/>
      <c r="F119" s="2"/>
      <c r="G119" s="2"/>
      <c r="H119" s="2"/>
      <c r="I119" s="2"/>
      <c r="J119" s="2"/>
      <c r="K119" s="2"/>
      <c r="L119" s="2"/>
      <c r="M119" s="2"/>
      <c r="N119" s="2"/>
      <c r="O119" s="2"/>
      <c r="P119" s="2"/>
      <c r="Q119" s="2"/>
      <c r="R119" s="2"/>
      <c r="S119" s="2"/>
      <c r="T119" s="2"/>
    </row>
    <row r="120" spans="3:20">
      <c r="C120" s="2"/>
      <c r="D120" s="2"/>
      <c r="E120" s="2"/>
      <c r="F120" s="2"/>
      <c r="G120" s="2"/>
      <c r="H120" s="2"/>
      <c r="I120" s="2"/>
      <c r="J120" s="2"/>
      <c r="K120" s="2"/>
      <c r="L120" s="2"/>
      <c r="M120" s="2"/>
      <c r="N120" s="2"/>
      <c r="O120" s="2"/>
      <c r="P120" s="2"/>
      <c r="Q120" s="2"/>
      <c r="R120" s="2"/>
      <c r="S120" s="2"/>
      <c r="T120" s="2"/>
    </row>
    <row r="121" spans="3:20">
      <c r="C121" s="2"/>
      <c r="D121" s="2"/>
      <c r="E121" s="2"/>
      <c r="F121" s="2"/>
      <c r="G121" s="2"/>
      <c r="H121" s="2"/>
      <c r="I121" s="2"/>
      <c r="J121" s="2"/>
      <c r="K121" s="2"/>
      <c r="L121" s="2"/>
      <c r="M121" s="2"/>
      <c r="N121" s="2"/>
      <c r="O121" s="2"/>
      <c r="P121" s="2"/>
      <c r="Q121" s="2"/>
      <c r="R121" s="2"/>
      <c r="S121" s="2"/>
      <c r="T121" s="2"/>
    </row>
    <row r="122" spans="3:20">
      <c r="C122" s="2"/>
      <c r="D122" s="2"/>
      <c r="E122" s="2"/>
      <c r="F122" s="2"/>
      <c r="G122" s="2"/>
      <c r="H122" s="2"/>
      <c r="I122" s="2"/>
      <c r="J122" s="2"/>
      <c r="K122" s="2"/>
      <c r="L122" s="2"/>
      <c r="M122" s="2"/>
      <c r="N122" s="2"/>
      <c r="O122" s="2"/>
      <c r="P122" s="2"/>
      <c r="Q122" s="2"/>
      <c r="R122" s="2"/>
      <c r="S122" s="2"/>
      <c r="T122" s="2"/>
    </row>
    <row r="123" spans="3:20">
      <c r="C123" s="2"/>
      <c r="D123" s="2"/>
      <c r="E123" s="2"/>
      <c r="F123" s="2"/>
      <c r="G123" s="2"/>
      <c r="H123" s="2"/>
      <c r="I123" s="2"/>
      <c r="J123" s="2"/>
      <c r="K123" s="2"/>
      <c r="L123" s="2"/>
      <c r="M123" s="2"/>
      <c r="N123" s="2"/>
      <c r="O123" s="2"/>
      <c r="P123" s="2"/>
      <c r="Q123" s="2"/>
      <c r="R123" s="2"/>
      <c r="S123" s="2"/>
      <c r="T123" s="2"/>
    </row>
    <row r="124" spans="3:20">
      <c r="C124" s="2"/>
      <c r="D124" s="2"/>
      <c r="E124" s="2"/>
      <c r="F124" s="2"/>
      <c r="G124" s="2"/>
      <c r="H124" s="2"/>
      <c r="I124" s="2"/>
      <c r="J124" s="2"/>
      <c r="K124" s="2"/>
      <c r="L124" s="2"/>
      <c r="M124" s="2"/>
      <c r="N124" s="2"/>
      <c r="O124" s="2"/>
      <c r="P124" s="2"/>
      <c r="Q124" s="2"/>
      <c r="R124" s="2"/>
      <c r="S124" s="2"/>
      <c r="T124" s="2"/>
    </row>
    <row r="125" spans="3:20">
      <c r="C125" s="2"/>
      <c r="D125" s="2"/>
      <c r="E125" s="2"/>
      <c r="F125" s="2"/>
      <c r="G125" s="2"/>
      <c r="H125" s="2"/>
      <c r="I125" s="2"/>
      <c r="J125" s="2"/>
      <c r="K125" s="2"/>
      <c r="L125" s="2"/>
      <c r="M125" s="2"/>
      <c r="N125" s="2"/>
      <c r="O125" s="2"/>
      <c r="P125" s="2"/>
      <c r="Q125" s="2"/>
      <c r="R125" s="2"/>
      <c r="S125" s="2"/>
      <c r="T125" s="2"/>
    </row>
    <row r="126" spans="3:20">
      <c r="C126" s="2"/>
      <c r="D126" s="2"/>
      <c r="E126" s="2"/>
      <c r="F126" s="2"/>
      <c r="G126" s="2"/>
      <c r="H126" s="2"/>
      <c r="I126" s="2"/>
      <c r="J126" s="2"/>
      <c r="K126" s="2"/>
      <c r="L126" s="2"/>
      <c r="M126" s="2"/>
      <c r="N126" s="2"/>
      <c r="O126" s="2"/>
      <c r="P126" s="2"/>
      <c r="Q126" s="2"/>
      <c r="R126" s="2"/>
      <c r="S126" s="2"/>
      <c r="T126" s="2"/>
    </row>
    <row r="127" spans="3:20">
      <c r="C127" s="2"/>
      <c r="D127" s="2"/>
      <c r="E127" s="2"/>
      <c r="F127" s="2"/>
      <c r="G127" s="2"/>
      <c r="H127" s="2"/>
      <c r="I127" s="2"/>
      <c r="J127" s="2"/>
      <c r="K127" s="2"/>
      <c r="L127" s="2"/>
      <c r="M127" s="2"/>
      <c r="N127" s="2"/>
      <c r="O127" s="2"/>
      <c r="P127" s="2"/>
      <c r="Q127" s="2"/>
      <c r="R127" s="2"/>
      <c r="S127" s="2"/>
      <c r="T127" s="2"/>
    </row>
    <row r="128" spans="3:20">
      <c r="C128" s="2"/>
      <c r="D128" s="2"/>
      <c r="E128" s="2"/>
      <c r="F128" s="2"/>
      <c r="G128" s="2"/>
      <c r="H128" s="2"/>
      <c r="I128" s="2"/>
      <c r="J128" s="2"/>
      <c r="K128" s="2"/>
      <c r="L128" s="2"/>
      <c r="M128" s="2"/>
      <c r="N128" s="2"/>
      <c r="O128" s="2"/>
      <c r="P128" s="2"/>
      <c r="Q128" s="2"/>
      <c r="R128" s="2"/>
      <c r="S128" s="2"/>
      <c r="T128" s="2"/>
    </row>
    <row r="129" spans="3:20">
      <c r="C129" s="2"/>
      <c r="D129" s="2"/>
      <c r="E129" s="2"/>
      <c r="F129" s="2"/>
      <c r="G129" s="2"/>
      <c r="H129" s="2"/>
      <c r="I129" s="2"/>
      <c r="J129" s="2"/>
      <c r="K129" s="2"/>
      <c r="L129" s="2"/>
      <c r="M129" s="2"/>
      <c r="N129" s="2"/>
      <c r="O129" s="2"/>
      <c r="P129" s="2"/>
      <c r="Q129" s="2"/>
      <c r="R129" s="2"/>
      <c r="S129" s="2"/>
      <c r="T129" s="2"/>
    </row>
    <row r="130" spans="3:20">
      <c r="C130" s="2"/>
      <c r="D130" s="2"/>
      <c r="E130" s="2"/>
      <c r="F130" s="2"/>
      <c r="G130" s="2"/>
      <c r="H130" s="2"/>
      <c r="I130" s="2"/>
      <c r="J130" s="2"/>
      <c r="K130" s="2"/>
      <c r="L130" s="2"/>
      <c r="M130" s="2"/>
      <c r="N130" s="2"/>
      <c r="O130" s="2"/>
      <c r="P130" s="2"/>
      <c r="Q130" s="2"/>
      <c r="R130" s="2"/>
      <c r="S130" s="2"/>
      <c r="T130" s="2"/>
    </row>
    <row r="131" spans="3:20">
      <c r="C131" s="2"/>
      <c r="D131" s="2"/>
      <c r="E131" s="2"/>
      <c r="F131" s="2"/>
      <c r="G131" s="2"/>
      <c r="H131" s="2"/>
      <c r="I131" s="2"/>
      <c r="J131" s="2"/>
      <c r="K131" s="2"/>
      <c r="L131" s="2"/>
      <c r="M131" s="2"/>
      <c r="N131" s="2"/>
      <c r="O131" s="2"/>
      <c r="P131" s="2"/>
      <c r="Q131" s="2"/>
      <c r="R131" s="2"/>
      <c r="S131" s="2"/>
      <c r="T131" s="2"/>
    </row>
    <row r="132" spans="3:20">
      <c r="C132" s="2"/>
      <c r="D132" s="2"/>
      <c r="E132" s="2"/>
      <c r="F132" s="2"/>
      <c r="G132" s="2"/>
      <c r="H132" s="2"/>
      <c r="I132" s="2"/>
      <c r="J132" s="2"/>
      <c r="K132" s="2"/>
      <c r="L132" s="2"/>
      <c r="M132" s="2"/>
      <c r="N132" s="2"/>
      <c r="O132" s="2"/>
      <c r="P132" s="2"/>
      <c r="Q132" s="2"/>
      <c r="R132" s="2"/>
      <c r="S132" s="2"/>
      <c r="T132" s="2"/>
    </row>
    <row r="133" spans="3:20">
      <c r="C133" s="2"/>
      <c r="D133" s="2"/>
      <c r="E133" s="2"/>
      <c r="F133" s="2"/>
      <c r="G133" s="2"/>
      <c r="H133" s="2"/>
      <c r="I133" s="2"/>
      <c r="J133" s="2"/>
      <c r="K133" s="2"/>
      <c r="L133" s="2"/>
      <c r="M133" s="2"/>
      <c r="N133" s="2"/>
      <c r="O133" s="2"/>
      <c r="P133" s="2"/>
      <c r="Q133" s="2"/>
      <c r="R133" s="2"/>
      <c r="S133" s="2"/>
      <c r="T133" s="2"/>
    </row>
    <row r="134" spans="3:20">
      <c r="C134" s="2"/>
      <c r="D134" s="2"/>
      <c r="E134" s="2"/>
      <c r="F134" s="2"/>
      <c r="G134" s="2"/>
      <c r="H134" s="2"/>
      <c r="I134" s="2"/>
      <c r="J134" s="2"/>
      <c r="K134" s="2"/>
      <c r="L134" s="2"/>
      <c r="M134" s="2"/>
      <c r="N134" s="2"/>
      <c r="O134" s="2"/>
      <c r="P134" s="2"/>
      <c r="Q134" s="2"/>
      <c r="R134" s="2"/>
      <c r="S134" s="2"/>
      <c r="T134" s="2"/>
    </row>
    <row r="135" spans="3:20">
      <c r="C135" s="2"/>
      <c r="D135" s="2"/>
      <c r="E135" s="2"/>
      <c r="F135" s="2"/>
      <c r="G135" s="2"/>
      <c r="H135" s="2"/>
      <c r="I135" s="2"/>
      <c r="J135" s="2"/>
      <c r="K135" s="2"/>
      <c r="L135" s="2"/>
      <c r="M135" s="2"/>
      <c r="N135" s="2"/>
      <c r="O135" s="2"/>
      <c r="P135" s="2"/>
      <c r="Q135" s="2"/>
      <c r="R135" s="2"/>
      <c r="S135" s="2"/>
      <c r="T135" s="2"/>
    </row>
    <row r="136" spans="3:20">
      <c r="C136" s="2"/>
      <c r="D136" s="2"/>
      <c r="E136" s="2"/>
      <c r="F136" s="2"/>
      <c r="G136" s="2"/>
      <c r="H136" s="2"/>
      <c r="I136" s="2"/>
      <c r="J136" s="2"/>
      <c r="K136" s="2"/>
      <c r="L136" s="2"/>
      <c r="M136" s="2"/>
      <c r="N136" s="2"/>
      <c r="O136" s="2"/>
      <c r="P136" s="2"/>
      <c r="Q136" s="2"/>
      <c r="R136" s="2"/>
      <c r="S136" s="2"/>
      <c r="T136" s="2"/>
    </row>
    <row r="137" spans="3:20">
      <c r="C137" s="2"/>
      <c r="D137" s="2"/>
      <c r="E137" s="2"/>
      <c r="F137" s="2"/>
      <c r="G137" s="2"/>
      <c r="H137" s="2"/>
      <c r="I137" s="2"/>
      <c r="J137" s="2"/>
      <c r="K137" s="2"/>
      <c r="L137" s="2"/>
      <c r="M137" s="2"/>
      <c r="N137" s="2"/>
      <c r="O137" s="2"/>
      <c r="P137" s="2"/>
      <c r="Q137" s="2"/>
      <c r="R137" s="2"/>
      <c r="S137" s="2"/>
      <c r="T137" s="2"/>
    </row>
    <row r="138" spans="3:20">
      <c r="C138" s="2"/>
      <c r="D138" s="2"/>
      <c r="E138" s="2"/>
      <c r="F138" s="2"/>
      <c r="G138" s="2"/>
      <c r="H138" s="2"/>
      <c r="I138" s="2"/>
      <c r="J138" s="2"/>
      <c r="K138" s="2"/>
      <c r="L138" s="2"/>
      <c r="M138" s="2"/>
      <c r="N138" s="2"/>
      <c r="O138" s="2"/>
      <c r="P138" s="2"/>
      <c r="Q138" s="2"/>
      <c r="R138" s="2"/>
      <c r="S138" s="2"/>
      <c r="T138" s="2"/>
    </row>
    <row r="139" spans="3:20">
      <c r="C139" s="2"/>
      <c r="D139" s="2"/>
      <c r="E139" s="2"/>
      <c r="F139" s="2"/>
      <c r="G139" s="2"/>
      <c r="H139" s="2"/>
      <c r="I139" s="2"/>
      <c r="J139" s="2"/>
      <c r="K139" s="2"/>
      <c r="L139" s="2"/>
      <c r="M139" s="2"/>
      <c r="N139" s="2"/>
      <c r="O139" s="2"/>
      <c r="P139" s="2"/>
      <c r="Q139" s="2"/>
      <c r="R139" s="2"/>
      <c r="S139" s="2"/>
      <c r="T139" s="2"/>
    </row>
    <row r="140" spans="3:20">
      <c r="C140" s="2"/>
      <c r="D140" s="2"/>
      <c r="E140" s="2"/>
      <c r="F140" s="2"/>
      <c r="G140" s="2"/>
      <c r="H140" s="2"/>
      <c r="I140" s="2"/>
      <c r="J140" s="2"/>
      <c r="K140" s="2"/>
      <c r="L140" s="2"/>
      <c r="M140" s="2"/>
      <c r="N140" s="2"/>
      <c r="O140" s="2"/>
      <c r="P140" s="2"/>
      <c r="Q140" s="2"/>
      <c r="R140" s="2"/>
      <c r="S140" s="2"/>
      <c r="T140" s="2"/>
    </row>
    <row r="141" spans="3:20">
      <c r="C141" s="2"/>
      <c r="D141" s="2"/>
      <c r="E141" s="2"/>
      <c r="F141" s="2"/>
      <c r="G141" s="2"/>
      <c r="H141" s="2"/>
      <c r="I141" s="2"/>
      <c r="J141" s="2"/>
      <c r="K141" s="2"/>
      <c r="L141" s="2"/>
      <c r="M141" s="2"/>
      <c r="N141" s="2"/>
      <c r="O141" s="2"/>
      <c r="P141" s="2"/>
      <c r="Q141" s="2"/>
      <c r="R141" s="2"/>
      <c r="S141" s="2"/>
      <c r="T141" s="2"/>
    </row>
    <row r="142" spans="3:20">
      <c r="C142" s="2"/>
      <c r="D142" s="2"/>
      <c r="E142" s="2"/>
      <c r="F142" s="2"/>
      <c r="G142" s="2"/>
      <c r="H142" s="2"/>
      <c r="I142" s="2"/>
      <c r="J142" s="2"/>
      <c r="K142" s="2"/>
      <c r="L142" s="2"/>
      <c r="M142" s="2"/>
      <c r="N142" s="2"/>
      <c r="O142" s="2"/>
      <c r="P142" s="2"/>
      <c r="Q142" s="2"/>
      <c r="R142" s="2"/>
      <c r="S142" s="2"/>
      <c r="T142" s="2"/>
    </row>
    <row r="143" spans="3:20">
      <c r="C143" s="2"/>
      <c r="D143" s="2"/>
      <c r="E143" s="2"/>
      <c r="F143" s="2"/>
      <c r="G143" s="2"/>
      <c r="H143" s="2"/>
      <c r="I143" s="2"/>
      <c r="J143" s="2"/>
      <c r="K143" s="2"/>
      <c r="L143" s="2"/>
      <c r="M143" s="2"/>
      <c r="N143" s="2"/>
      <c r="O143" s="2"/>
      <c r="P143" s="2"/>
      <c r="Q143" s="2"/>
      <c r="R143" s="2"/>
      <c r="S143" s="2"/>
      <c r="T143" s="2"/>
    </row>
    <row r="144" spans="3:20">
      <c r="C144" s="2"/>
      <c r="D144" s="2"/>
      <c r="E144" s="2"/>
      <c r="F144" s="2"/>
      <c r="G144" s="2"/>
      <c r="H144" s="2"/>
      <c r="I144" s="2"/>
      <c r="J144" s="2"/>
      <c r="K144" s="2"/>
      <c r="L144" s="2"/>
      <c r="M144" s="2"/>
      <c r="N144" s="2"/>
      <c r="O144" s="2"/>
      <c r="P144" s="2"/>
      <c r="Q144" s="2"/>
      <c r="R144" s="2"/>
      <c r="S144" s="2"/>
      <c r="T144" s="2"/>
    </row>
    <row r="145" spans="3:20">
      <c r="C145" s="2"/>
      <c r="D145" s="2"/>
      <c r="E145" s="2"/>
      <c r="F145" s="2"/>
      <c r="G145" s="2"/>
      <c r="H145" s="2"/>
      <c r="I145" s="2"/>
      <c r="J145" s="2"/>
      <c r="K145" s="2"/>
      <c r="L145" s="2"/>
      <c r="M145" s="2"/>
      <c r="N145" s="2"/>
      <c r="O145" s="2"/>
      <c r="P145" s="2"/>
      <c r="Q145" s="2"/>
      <c r="R145" s="2"/>
      <c r="S145" s="2"/>
      <c r="T145" s="2"/>
    </row>
    <row r="146" spans="3:20">
      <c r="C146" s="2"/>
      <c r="D146" s="2"/>
      <c r="E146" s="2"/>
      <c r="F146" s="2"/>
      <c r="G146" s="2"/>
      <c r="H146" s="2"/>
      <c r="I146" s="2"/>
      <c r="J146" s="2"/>
      <c r="K146" s="2"/>
      <c r="L146" s="2"/>
      <c r="M146" s="2"/>
      <c r="N146" s="2"/>
      <c r="O146" s="2"/>
      <c r="P146" s="2"/>
      <c r="Q146" s="2"/>
      <c r="R146" s="2"/>
      <c r="S146" s="2"/>
      <c r="T146" s="2"/>
    </row>
    <row r="147" spans="3:20">
      <c r="C147" s="2"/>
      <c r="D147" s="2"/>
      <c r="E147" s="2"/>
      <c r="F147" s="2"/>
      <c r="G147" s="2"/>
      <c r="H147" s="2"/>
      <c r="I147" s="2"/>
      <c r="J147" s="2"/>
      <c r="K147" s="2"/>
      <c r="L147" s="2"/>
      <c r="M147" s="2"/>
      <c r="N147" s="2"/>
      <c r="O147" s="2"/>
      <c r="P147" s="2"/>
      <c r="Q147" s="2"/>
      <c r="R147" s="2"/>
      <c r="S147" s="2"/>
      <c r="T147" s="2"/>
    </row>
    <row r="148" spans="3:20">
      <c r="C148" s="2"/>
      <c r="D148" s="2"/>
      <c r="E148" s="2"/>
      <c r="F148" s="2"/>
      <c r="G148" s="2"/>
      <c r="H148" s="2"/>
      <c r="I148" s="2"/>
      <c r="J148" s="2"/>
      <c r="K148" s="2"/>
      <c r="L148" s="2"/>
      <c r="M148" s="2"/>
      <c r="N148" s="2"/>
      <c r="O148" s="2"/>
      <c r="P148" s="2"/>
      <c r="Q148" s="2"/>
      <c r="R148" s="2"/>
      <c r="S148" s="2"/>
      <c r="T148" s="2"/>
    </row>
    <row r="149" spans="3:20">
      <c r="C149" s="2"/>
      <c r="D149" s="2"/>
      <c r="E149" s="2"/>
      <c r="F149" s="2"/>
      <c r="G149" s="2"/>
      <c r="H149" s="2"/>
      <c r="I149" s="2"/>
      <c r="J149" s="2"/>
      <c r="K149" s="2"/>
      <c r="L149" s="2"/>
      <c r="M149" s="2"/>
      <c r="N149" s="2"/>
      <c r="O149" s="2"/>
      <c r="P149" s="2"/>
      <c r="Q149" s="2"/>
      <c r="R149" s="2"/>
      <c r="S149" s="2"/>
      <c r="T149" s="2"/>
    </row>
    <row r="150" spans="3:20">
      <c r="C150" s="2"/>
      <c r="D150" s="2"/>
      <c r="E150" s="2"/>
      <c r="F150" s="2"/>
      <c r="G150" s="2"/>
      <c r="H150" s="2"/>
      <c r="I150" s="2"/>
      <c r="J150" s="2"/>
      <c r="K150" s="2"/>
      <c r="L150" s="2"/>
      <c r="M150" s="2"/>
      <c r="N150" s="2"/>
      <c r="O150" s="2"/>
      <c r="P150" s="2"/>
      <c r="Q150" s="2"/>
      <c r="R150" s="2"/>
      <c r="S150" s="2"/>
      <c r="T150" s="2"/>
    </row>
    <row r="151" spans="3:20">
      <c r="C151" s="2"/>
      <c r="D151" s="2"/>
      <c r="E151" s="2"/>
      <c r="F151" s="2"/>
      <c r="G151" s="2"/>
      <c r="H151" s="2"/>
      <c r="I151" s="2"/>
      <c r="J151" s="2"/>
      <c r="K151" s="2"/>
      <c r="L151" s="2"/>
      <c r="M151" s="2"/>
      <c r="N151" s="2"/>
      <c r="O151" s="2"/>
      <c r="P151" s="2"/>
      <c r="Q151" s="2"/>
      <c r="R151" s="2"/>
      <c r="S151" s="2"/>
      <c r="T151" s="2"/>
    </row>
    <row r="152" spans="3:20">
      <c r="C152" s="2"/>
      <c r="D152" s="2"/>
      <c r="E152" s="2"/>
      <c r="F152" s="2"/>
      <c r="G152" s="2"/>
      <c r="H152" s="2"/>
      <c r="I152" s="2"/>
      <c r="J152" s="2"/>
      <c r="K152" s="2"/>
      <c r="L152" s="2"/>
      <c r="M152" s="2"/>
      <c r="N152" s="2"/>
      <c r="O152" s="2"/>
      <c r="P152" s="2"/>
      <c r="Q152" s="2"/>
      <c r="R152" s="2"/>
      <c r="S152" s="2"/>
      <c r="T152" s="2"/>
    </row>
    <row r="153" spans="3:20">
      <c r="C153" s="2"/>
      <c r="D153" s="2"/>
      <c r="E153" s="2"/>
      <c r="F153" s="2"/>
      <c r="G153" s="2"/>
      <c r="H153" s="2"/>
      <c r="I153" s="2"/>
      <c r="J153" s="2"/>
      <c r="K153" s="2"/>
      <c r="L153" s="2"/>
      <c r="M153" s="2"/>
      <c r="N153" s="2"/>
      <c r="O153" s="2"/>
      <c r="P153" s="2"/>
      <c r="Q153" s="2"/>
      <c r="R153" s="2"/>
      <c r="S153" s="2"/>
      <c r="T153" s="2"/>
    </row>
    <row r="154" spans="3:20">
      <c r="C154" s="2"/>
      <c r="D154" s="2"/>
      <c r="E154" s="2"/>
      <c r="F154" s="2"/>
      <c r="G154" s="2"/>
      <c r="H154" s="2"/>
      <c r="I154" s="2"/>
      <c r="J154" s="2"/>
      <c r="K154" s="2"/>
      <c r="L154" s="2"/>
      <c r="M154" s="2"/>
      <c r="N154" s="2"/>
      <c r="O154" s="2"/>
      <c r="P154" s="2"/>
      <c r="Q154" s="2"/>
      <c r="R154" s="2"/>
      <c r="S154" s="2"/>
      <c r="T154" s="2"/>
    </row>
    <row r="155" spans="3:20">
      <c r="C155" s="2"/>
      <c r="D155" s="2"/>
      <c r="E155" s="2"/>
      <c r="F155" s="2"/>
      <c r="G155" s="2"/>
      <c r="H155" s="2"/>
      <c r="I155" s="2"/>
      <c r="J155" s="2"/>
      <c r="K155" s="2"/>
      <c r="L155" s="2"/>
      <c r="M155" s="2"/>
      <c r="N155" s="2"/>
      <c r="O155" s="2"/>
      <c r="P155" s="2"/>
      <c r="Q155" s="2"/>
      <c r="R155" s="2"/>
      <c r="S155" s="2"/>
      <c r="T155" s="2"/>
    </row>
    <row r="156" spans="3:20">
      <c r="C156" s="2"/>
      <c r="D156" s="2"/>
      <c r="E156" s="2"/>
      <c r="F156" s="2"/>
      <c r="G156" s="2"/>
      <c r="H156" s="2"/>
      <c r="I156" s="2"/>
      <c r="J156" s="2"/>
      <c r="K156" s="2"/>
      <c r="L156" s="2"/>
      <c r="M156" s="2"/>
      <c r="N156" s="2"/>
      <c r="O156" s="2"/>
      <c r="P156" s="2"/>
      <c r="Q156" s="2"/>
      <c r="R156" s="2"/>
      <c r="S156" s="2"/>
      <c r="T156" s="2"/>
    </row>
    <row r="157" spans="3:20">
      <c r="C157" s="2"/>
      <c r="D157" s="2"/>
      <c r="E157" s="2"/>
      <c r="F157" s="2"/>
      <c r="G157" s="2"/>
      <c r="H157" s="2"/>
      <c r="I157" s="2"/>
      <c r="J157" s="2"/>
      <c r="K157" s="2"/>
      <c r="L157" s="2"/>
      <c r="M157" s="2"/>
      <c r="N157" s="2"/>
      <c r="O157" s="2"/>
      <c r="P157" s="2"/>
      <c r="Q157" s="2"/>
      <c r="R157" s="2"/>
      <c r="S157" s="2"/>
      <c r="T157" s="2"/>
    </row>
    <row r="158" spans="3:20">
      <c r="C158" s="2"/>
      <c r="D158" s="2"/>
      <c r="E158" s="2"/>
      <c r="F158" s="2"/>
      <c r="G158" s="2"/>
      <c r="H158" s="2"/>
      <c r="I158" s="2"/>
      <c r="J158" s="2"/>
      <c r="K158" s="2"/>
      <c r="L158" s="2"/>
      <c r="M158" s="2"/>
      <c r="N158" s="2"/>
      <c r="O158" s="2"/>
      <c r="P158" s="2"/>
      <c r="Q158" s="2"/>
      <c r="R158" s="2"/>
      <c r="S158" s="2"/>
      <c r="T158" s="2"/>
    </row>
    <row r="159" spans="3:20">
      <c r="C159" s="2"/>
      <c r="D159" s="2"/>
      <c r="E159" s="2"/>
      <c r="F159" s="2"/>
      <c r="G159" s="2"/>
      <c r="H159" s="2"/>
      <c r="I159" s="2"/>
      <c r="J159" s="2"/>
      <c r="K159" s="2"/>
      <c r="L159" s="2"/>
      <c r="M159" s="2"/>
      <c r="N159" s="2"/>
      <c r="O159" s="2"/>
      <c r="P159" s="2"/>
      <c r="Q159" s="2"/>
      <c r="R159" s="2"/>
      <c r="S159" s="2"/>
      <c r="T159" s="2"/>
    </row>
    <row r="160" spans="3:20">
      <c r="C160" s="2"/>
      <c r="D160" s="2"/>
      <c r="E160" s="2"/>
      <c r="F160" s="2"/>
      <c r="G160" s="2"/>
      <c r="H160" s="2"/>
      <c r="I160" s="2"/>
      <c r="J160" s="2"/>
      <c r="K160" s="2"/>
      <c r="L160" s="2"/>
      <c r="M160" s="2"/>
      <c r="N160" s="2"/>
      <c r="O160" s="2"/>
      <c r="P160" s="2"/>
      <c r="Q160" s="2"/>
      <c r="R160" s="2"/>
      <c r="S160" s="2"/>
      <c r="T160" s="2"/>
    </row>
    <row r="161" spans="3:20">
      <c r="C161" s="2"/>
      <c r="D161" s="2"/>
      <c r="E161" s="2"/>
      <c r="F161" s="2"/>
      <c r="G161" s="2"/>
      <c r="H161" s="2"/>
      <c r="I161" s="2"/>
      <c r="J161" s="2"/>
      <c r="K161" s="2"/>
      <c r="L161" s="2"/>
      <c r="M161" s="2"/>
      <c r="N161" s="2"/>
      <c r="O161" s="2"/>
      <c r="P161" s="2"/>
      <c r="Q161" s="2"/>
      <c r="R161" s="2"/>
      <c r="S161" s="2"/>
      <c r="T161" s="2"/>
    </row>
    <row r="162" spans="3:20">
      <c r="C162" s="2"/>
      <c r="D162" s="2"/>
      <c r="E162" s="2"/>
      <c r="F162" s="2"/>
      <c r="G162" s="2"/>
      <c r="H162" s="2"/>
      <c r="I162" s="2"/>
      <c r="J162" s="2"/>
      <c r="K162" s="2"/>
      <c r="L162" s="2"/>
      <c r="M162" s="2"/>
      <c r="N162" s="2"/>
      <c r="O162" s="2"/>
      <c r="P162" s="2"/>
      <c r="Q162" s="2"/>
      <c r="R162" s="2"/>
      <c r="S162" s="2"/>
      <c r="T162" s="2"/>
    </row>
    <row r="163" spans="3:20">
      <c r="C163" s="2"/>
      <c r="D163" s="2"/>
      <c r="E163" s="2"/>
      <c r="F163" s="2"/>
      <c r="G163" s="2"/>
      <c r="H163" s="2"/>
      <c r="I163" s="2"/>
      <c r="J163" s="2"/>
      <c r="K163" s="2"/>
      <c r="L163" s="2"/>
      <c r="M163" s="2"/>
      <c r="N163" s="2"/>
      <c r="O163" s="2"/>
      <c r="P163" s="2"/>
      <c r="Q163" s="2"/>
      <c r="R163" s="2"/>
      <c r="S163" s="2"/>
      <c r="T163" s="2"/>
    </row>
    <row r="164" spans="3:20">
      <c r="C164" s="2"/>
      <c r="D164" s="2"/>
      <c r="E164" s="2"/>
      <c r="F164" s="2"/>
      <c r="G164" s="2"/>
      <c r="H164" s="2"/>
      <c r="I164" s="2"/>
      <c r="J164" s="2"/>
      <c r="K164" s="2"/>
      <c r="L164" s="2"/>
      <c r="M164" s="2"/>
      <c r="N164" s="2"/>
      <c r="O164" s="2"/>
      <c r="P164" s="2"/>
      <c r="Q164" s="2"/>
      <c r="R164" s="2"/>
      <c r="S164" s="2"/>
      <c r="T164" s="2"/>
    </row>
    <row r="165" spans="3:20">
      <c r="C165" s="2"/>
      <c r="D165" s="2"/>
      <c r="E165" s="2"/>
      <c r="F165" s="2"/>
      <c r="G165" s="2"/>
      <c r="H165" s="2"/>
      <c r="I165" s="2"/>
      <c r="J165" s="2"/>
      <c r="K165" s="2"/>
      <c r="L165" s="2"/>
      <c r="M165" s="2"/>
      <c r="N165" s="2"/>
      <c r="O165" s="2"/>
      <c r="P165" s="2"/>
      <c r="Q165" s="2"/>
      <c r="R165" s="2"/>
      <c r="S165" s="2"/>
      <c r="T165" s="2"/>
    </row>
    <row r="166" spans="3:20">
      <c r="C166" s="2"/>
      <c r="D166" s="2"/>
      <c r="E166" s="2"/>
      <c r="F166" s="2"/>
      <c r="G166" s="2"/>
      <c r="H166" s="2"/>
      <c r="I166" s="2"/>
      <c r="J166" s="2"/>
      <c r="K166" s="2"/>
      <c r="L166" s="2"/>
      <c r="M166" s="2"/>
      <c r="N166" s="2"/>
      <c r="O166" s="2"/>
      <c r="P166" s="2"/>
      <c r="Q166" s="2"/>
      <c r="R166" s="2"/>
      <c r="S166" s="2"/>
      <c r="T166" s="2"/>
    </row>
    <row r="167" spans="3:20">
      <c r="C167" s="2"/>
      <c r="D167" s="2"/>
      <c r="E167" s="2"/>
      <c r="F167" s="2"/>
      <c r="G167" s="2"/>
      <c r="H167" s="2"/>
      <c r="I167" s="2"/>
      <c r="J167" s="2"/>
      <c r="K167" s="2"/>
      <c r="L167" s="2"/>
      <c r="M167" s="2"/>
      <c r="N167" s="2"/>
      <c r="O167" s="2"/>
      <c r="P167" s="2"/>
      <c r="Q167" s="2"/>
      <c r="R167" s="2"/>
      <c r="S167" s="2"/>
      <c r="T167" s="2"/>
    </row>
  </sheetData>
  <mergeCells count="11">
    <mergeCell ref="AL10:AM10"/>
    <mergeCell ref="X7:AP7"/>
    <mergeCell ref="X10:Z10"/>
    <mergeCell ref="AA10:AD10"/>
    <mergeCell ref="AE10:AF10"/>
    <mergeCell ref="AH10:AI10"/>
    <mergeCell ref="C10:E10"/>
    <mergeCell ref="F10:I10"/>
    <mergeCell ref="M10:N10"/>
    <mergeCell ref="Q10:R10"/>
    <mergeCell ref="J10:K10"/>
  </mergeCells>
  <phoneticPr fontId="0" type="noConversion"/>
  <printOptions headings="1" gridLines="1"/>
  <pageMargins left="0.63" right="0.62" top="1" bottom="1" header="0.5" footer="0.5"/>
  <pageSetup scale="27" orientation="landscape" r:id="rId1"/>
  <headerFooter alignWithMargins="0">
    <oddFooter>&amp;L&amp;D &amp;T&amp;C&amp;P of &amp;N&amp;R&amp;F &amp;A</oddFooter>
  </headerFooter>
  <ignoredErrors>
    <ignoredError sqref="U86:U87 U90:U94" evalError="1"/>
  </ignoredErrors>
  <legacyDrawing r:id="rId2"/>
</worksheet>
</file>

<file path=xl/worksheets/sheet5.xml><?xml version="1.0" encoding="utf-8"?>
<worksheet xmlns="http://schemas.openxmlformats.org/spreadsheetml/2006/main" xmlns:r="http://schemas.openxmlformats.org/officeDocument/2006/relationships">
  <sheetPr codeName="Sheet12" enableFormatConditionsCalculation="0">
    <tabColor indexed="43"/>
  </sheetPr>
  <dimension ref="A1:W106"/>
  <sheetViews>
    <sheetView topLeftCell="A37" workbookViewId="0">
      <selection activeCell="B73" sqref="B73:B75"/>
    </sheetView>
  </sheetViews>
  <sheetFormatPr defaultRowHeight="12.75"/>
  <cols>
    <col min="1" max="1" width="9.28515625" customWidth="1"/>
    <col min="2" max="2" width="43.5703125" customWidth="1"/>
    <col min="3" max="9" width="10.28515625" customWidth="1"/>
    <col min="10" max="10" width="12.7109375" customWidth="1"/>
    <col min="11" max="20" width="10.28515625" customWidth="1"/>
    <col min="21" max="21" width="18.42578125" customWidth="1"/>
    <col min="22" max="22" width="23.28515625" customWidth="1"/>
    <col min="23" max="23" width="28" customWidth="1"/>
  </cols>
  <sheetData>
    <row r="1" spans="1:23">
      <c r="A1" t="s">
        <v>366</v>
      </c>
      <c r="B1" s="236" t="s">
        <v>373</v>
      </c>
      <c r="C1" s="222"/>
      <c r="D1" s="222"/>
      <c r="E1" s="222"/>
    </row>
    <row r="3" spans="1:23">
      <c r="C3" s="7"/>
    </row>
    <row r="4" spans="1:23">
      <c r="C4" s="220"/>
      <c r="D4" s="7"/>
      <c r="E4" s="7"/>
      <c r="F4" s="7"/>
      <c r="G4" s="7"/>
      <c r="H4" s="7"/>
      <c r="I4" s="7"/>
    </row>
    <row r="7" spans="1:23">
      <c r="C7">
        <v>2</v>
      </c>
      <c r="D7">
        <f>C7+1</f>
        <v>3</v>
      </c>
      <c r="E7">
        <f t="shared" ref="E7:U7" si="0">D7+1</f>
        <v>4</v>
      </c>
      <c r="F7">
        <f t="shared" si="0"/>
        <v>5</v>
      </c>
      <c r="G7">
        <f t="shared" si="0"/>
        <v>6</v>
      </c>
      <c r="H7">
        <f t="shared" si="0"/>
        <v>7</v>
      </c>
      <c r="I7">
        <f t="shared" si="0"/>
        <v>8</v>
      </c>
      <c r="J7">
        <f t="shared" si="0"/>
        <v>9</v>
      </c>
      <c r="K7">
        <f t="shared" si="0"/>
        <v>10</v>
      </c>
      <c r="L7">
        <f t="shared" si="0"/>
        <v>11</v>
      </c>
      <c r="M7">
        <f t="shared" si="0"/>
        <v>12</v>
      </c>
      <c r="N7">
        <f t="shared" si="0"/>
        <v>13</v>
      </c>
      <c r="O7">
        <f t="shared" si="0"/>
        <v>14</v>
      </c>
      <c r="P7">
        <f t="shared" si="0"/>
        <v>15</v>
      </c>
      <c r="Q7">
        <f t="shared" si="0"/>
        <v>16</v>
      </c>
      <c r="R7">
        <f t="shared" si="0"/>
        <v>17</v>
      </c>
      <c r="S7">
        <f t="shared" si="0"/>
        <v>18</v>
      </c>
      <c r="T7">
        <f t="shared" si="0"/>
        <v>19</v>
      </c>
      <c r="U7">
        <f t="shared" si="0"/>
        <v>20</v>
      </c>
    </row>
    <row r="10" spans="1:23">
      <c r="A10" s="3"/>
      <c r="B10" s="246"/>
      <c r="C10" s="551" t="str">
        <f>APPLIC!C10</f>
        <v>Office</v>
      </c>
      <c r="D10" s="551"/>
      <c r="E10" s="551"/>
      <c r="F10" s="557" t="s">
        <v>261</v>
      </c>
      <c r="G10" s="551"/>
      <c r="H10" s="551"/>
      <c r="I10" s="551"/>
      <c r="J10" s="551" t="s">
        <v>262</v>
      </c>
      <c r="K10" s="551"/>
      <c r="L10" s="246" t="s">
        <v>264</v>
      </c>
      <c r="M10" s="551" t="s">
        <v>265</v>
      </c>
      <c r="N10" s="551"/>
      <c r="O10" s="246" t="s">
        <v>266</v>
      </c>
      <c r="P10" s="246" t="s">
        <v>267</v>
      </c>
      <c r="Q10" s="551" t="s">
        <v>270</v>
      </c>
      <c r="R10" s="551"/>
      <c r="S10" s="347" t="str">
        <f ca="1">S11</f>
        <v>Assembly</v>
      </c>
      <c r="T10" s="246" t="str">
        <f ca="1">T11</f>
        <v>Other</v>
      </c>
      <c r="U10" s="246"/>
      <c r="V10" s="246"/>
    </row>
    <row r="11" spans="1:23">
      <c r="A11" s="3" t="s">
        <v>109</v>
      </c>
      <c r="B11" s="246" t="s">
        <v>284</v>
      </c>
      <c r="C11" s="246" t="str">
        <f ca="1">APPLIC!C11</f>
        <v>Large Off</v>
      </c>
      <c r="D11" s="246" t="str">
        <f ca="1">APPLIC!D11</f>
        <v>Medium Off</v>
      </c>
      <c r="E11" s="246" t="str">
        <f ca="1">APPLIC!E11</f>
        <v>Small Off</v>
      </c>
      <c r="F11" s="246" t="str">
        <f ca="1">APPLIC!F11</f>
        <v>Xlarge Ret</v>
      </c>
      <c r="G11" s="246" t="str">
        <f ca="1">APPLIC!G11</f>
        <v>Large Ret</v>
      </c>
      <c r="H11" s="246" t="str">
        <f ca="1">APPLIC!H11</f>
        <v>Medium Ret</v>
      </c>
      <c r="I11" s="246" t="str">
        <f ca="1">APPLIC!I11</f>
        <v>Small Ret</v>
      </c>
      <c r="J11" s="246" t="str">
        <f ca="1">APPLIC!J11</f>
        <v>School K-12</v>
      </c>
      <c r="K11" s="246" t="str">
        <f ca="1">APPLIC!K11</f>
        <v>University</v>
      </c>
      <c r="L11" s="246" t="str">
        <f ca="1">APPLIC!L11</f>
        <v>Warehouse</v>
      </c>
      <c r="M11" s="246" t="str">
        <f ca="1">APPLIC!M11</f>
        <v>Supermarket</v>
      </c>
      <c r="N11" s="246" t="str">
        <f ca="1">APPLIC!N11</f>
        <v>MiniMart</v>
      </c>
      <c r="O11" s="246" t="str">
        <f ca="1">APPLIC!O11</f>
        <v>Restaurant</v>
      </c>
      <c r="P11" s="246" t="str">
        <f ca="1">APPLIC!P11</f>
        <v>Lodging</v>
      </c>
      <c r="Q11" s="246" t="str">
        <f ca="1">APPLIC!Q11</f>
        <v>Hospital</v>
      </c>
      <c r="R11" s="246" t="str">
        <f ca="1">APPLIC!R11</f>
        <v>Residential Care</v>
      </c>
      <c r="S11" s="246" t="str">
        <f ca="1">APPLIC!S11</f>
        <v>Assembly</v>
      </c>
      <c r="T11" s="246" t="str">
        <f ca="1">APPLIC!T11</f>
        <v>Other</v>
      </c>
      <c r="U11" s="246" t="s">
        <v>104</v>
      </c>
      <c r="V11" s="246" t="s">
        <v>105</v>
      </c>
      <c r="W11" s="67" t="s">
        <v>118</v>
      </c>
    </row>
    <row r="12" spans="1:23">
      <c r="B12" t="str">
        <f>MLIST!D12</f>
        <v>Compressed Air-Retro</v>
      </c>
      <c r="C12" s="253">
        <v>0</v>
      </c>
      <c r="D12" s="253">
        <v>0</v>
      </c>
      <c r="E12" s="253">
        <v>0</v>
      </c>
      <c r="F12" s="253">
        <v>0</v>
      </c>
      <c r="G12" s="253">
        <v>0</v>
      </c>
      <c r="H12" s="253">
        <v>0</v>
      </c>
      <c r="I12" s="253">
        <v>0</v>
      </c>
      <c r="J12" s="253">
        <v>0</v>
      </c>
      <c r="K12" s="253">
        <v>0</v>
      </c>
      <c r="L12" s="253">
        <v>0</v>
      </c>
      <c r="M12" s="253">
        <v>0</v>
      </c>
      <c r="N12" s="253">
        <v>0</v>
      </c>
      <c r="O12" s="253">
        <v>0</v>
      </c>
      <c r="P12" s="253">
        <v>0</v>
      </c>
      <c r="Q12" s="253">
        <v>0</v>
      </c>
      <c r="R12" s="253">
        <v>0</v>
      </c>
      <c r="S12" s="253">
        <v>0</v>
      </c>
      <c r="T12" s="253">
        <v>0</v>
      </c>
      <c r="U12" s="253" t="s">
        <v>688</v>
      </c>
      <c r="V12" s="235"/>
      <c r="W12" s="7"/>
    </row>
    <row r="13" spans="1:23">
      <c r="B13" t="str">
        <f>MLIST!D13</f>
        <v>Compressed Air-NR</v>
      </c>
      <c r="C13" s="253">
        <v>0</v>
      </c>
      <c r="D13" s="253">
        <v>0</v>
      </c>
      <c r="E13" s="253">
        <v>0</v>
      </c>
      <c r="F13" s="253">
        <v>0</v>
      </c>
      <c r="G13" s="253">
        <v>0</v>
      </c>
      <c r="H13" s="253">
        <v>0</v>
      </c>
      <c r="I13" s="253">
        <v>0</v>
      </c>
      <c r="J13" s="253">
        <v>0</v>
      </c>
      <c r="K13" s="253">
        <v>0</v>
      </c>
      <c r="L13" s="253">
        <v>0</v>
      </c>
      <c r="M13" s="253">
        <v>0</v>
      </c>
      <c r="N13" s="253">
        <v>0</v>
      </c>
      <c r="O13" s="253">
        <v>0</v>
      </c>
      <c r="P13" s="253">
        <v>0</v>
      </c>
      <c r="Q13" s="253">
        <v>0</v>
      </c>
      <c r="R13" s="253">
        <v>0</v>
      </c>
      <c r="S13" s="253">
        <v>0</v>
      </c>
      <c r="T13" s="253">
        <v>0</v>
      </c>
      <c r="U13" s="253" t="s">
        <v>688</v>
      </c>
      <c r="V13" s="7"/>
      <c r="W13" s="7"/>
    </row>
    <row r="14" spans="1:23">
      <c r="B14" t="str">
        <f>MLIST!D14</f>
        <v>Network PC Power Management-Retro</v>
      </c>
      <c r="C14" s="253">
        <v>0</v>
      </c>
      <c r="D14" s="253">
        <v>0</v>
      </c>
      <c r="E14" s="253">
        <v>0</v>
      </c>
      <c r="F14" s="253">
        <v>0</v>
      </c>
      <c r="G14" s="253">
        <v>0</v>
      </c>
      <c r="H14" s="253">
        <v>0</v>
      </c>
      <c r="I14" s="253">
        <v>0</v>
      </c>
      <c r="J14" s="253">
        <v>0</v>
      </c>
      <c r="K14" s="253">
        <v>0</v>
      </c>
      <c r="L14" s="253">
        <v>0</v>
      </c>
      <c r="M14" s="253">
        <v>0</v>
      </c>
      <c r="N14" s="253">
        <v>0</v>
      </c>
      <c r="O14" s="253">
        <v>0</v>
      </c>
      <c r="P14" s="253">
        <v>0</v>
      </c>
      <c r="Q14" s="253">
        <v>0</v>
      </c>
      <c r="R14" s="253">
        <v>0</v>
      </c>
      <c r="S14" s="253">
        <v>0</v>
      </c>
      <c r="T14" s="253">
        <v>0</v>
      </c>
      <c r="U14" s="253">
        <v>0.1</v>
      </c>
      <c r="V14" s="7"/>
      <c r="W14" s="7"/>
    </row>
    <row r="15" spans="1:23">
      <c r="B15" t="str">
        <f>MLIST!D15</f>
        <v>Laptop-NR</v>
      </c>
      <c r="C15" s="253">
        <v>0</v>
      </c>
      <c r="D15" s="253">
        <v>0</v>
      </c>
      <c r="E15" s="253">
        <v>0</v>
      </c>
      <c r="F15" s="253">
        <v>0</v>
      </c>
      <c r="G15" s="253">
        <v>0</v>
      </c>
      <c r="H15" s="253">
        <v>0</v>
      </c>
      <c r="I15" s="253">
        <v>0</v>
      </c>
      <c r="J15" s="253">
        <v>0</v>
      </c>
      <c r="K15" s="253">
        <v>0</v>
      </c>
      <c r="L15" s="253">
        <v>0</v>
      </c>
      <c r="M15" s="253">
        <v>0</v>
      </c>
      <c r="N15" s="253">
        <v>0</v>
      </c>
      <c r="O15" s="253">
        <v>0</v>
      </c>
      <c r="P15" s="253">
        <v>0</v>
      </c>
      <c r="Q15" s="253">
        <v>0</v>
      </c>
      <c r="R15" s="253">
        <v>0</v>
      </c>
      <c r="S15" s="253">
        <v>0</v>
      </c>
      <c r="T15" s="253">
        <v>0</v>
      </c>
      <c r="U15" s="267">
        <v>0.9</v>
      </c>
      <c r="V15" s="278" t="s">
        <v>965</v>
      </c>
      <c r="W15" s="7"/>
    </row>
    <row r="16" spans="1:23">
      <c r="B16" t="str">
        <f>MLIST!D16</f>
        <v>Smart Plug Power Strips-Retro</v>
      </c>
      <c r="C16" s="253">
        <v>0</v>
      </c>
      <c r="D16" s="253">
        <v>0</v>
      </c>
      <c r="E16" s="253">
        <v>0</v>
      </c>
      <c r="F16" s="253">
        <v>0</v>
      </c>
      <c r="G16" s="253">
        <v>0</v>
      </c>
      <c r="H16" s="253">
        <v>0</v>
      </c>
      <c r="I16" s="253">
        <v>0</v>
      </c>
      <c r="J16" s="253">
        <v>0</v>
      </c>
      <c r="K16" s="253">
        <v>0</v>
      </c>
      <c r="L16" s="253">
        <v>0</v>
      </c>
      <c r="M16" s="253">
        <v>0</v>
      </c>
      <c r="N16" s="253">
        <v>0</v>
      </c>
      <c r="O16" s="253">
        <v>0</v>
      </c>
      <c r="P16" s="253">
        <v>0</v>
      </c>
      <c r="Q16" s="253">
        <v>0</v>
      </c>
      <c r="R16" s="253">
        <v>0</v>
      </c>
      <c r="S16" s="253">
        <v>0</v>
      </c>
      <c r="T16" s="253">
        <v>0</v>
      </c>
      <c r="U16" s="267">
        <v>0.4</v>
      </c>
      <c r="V16" s="7"/>
      <c r="W16" s="7"/>
    </row>
    <row r="17" spans="1:23">
      <c r="B17" t="str">
        <f>MLIST!D17</f>
        <v>Data Centers-NR</v>
      </c>
      <c r="C17" s="253">
        <v>0</v>
      </c>
      <c r="D17" s="253">
        <v>0</v>
      </c>
      <c r="E17" s="253">
        <v>0</v>
      </c>
      <c r="F17" s="253">
        <v>0</v>
      </c>
      <c r="G17" s="253">
        <v>0</v>
      </c>
      <c r="H17" s="253">
        <v>0</v>
      </c>
      <c r="I17" s="253">
        <v>0</v>
      </c>
      <c r="J17" s="253">
        <v>0</v>
      </c>
      <c r="K17" s="253">
        <v>0</v>
      </c>
      <c r="L17" s="253">
        <v>0</v>
      </c>
      <c r="M17" s="253">
        <v>0</v>
      </c>
      <c r="N17" s="253">
        <v>0</v>
      </c>
      <c r="O17" s="253">
        <v>0</v>
      </c>
      <c r="P17" s="253">
        <v>0</v>
      </c>
      <c r="Q17" s="253">
        <v>0</v>
      </c>
      <c r="R17" s="253">
        <v>0</v>
      </c>
      <c r="S17" s="253">
        <v>0</v>
      </c>
      <c r="T17" s="253">
        <v>0</v>
      </c>
      <c r="U17" s="267">
        <v>0.2</v>
      </c>
      <c r="V17" s="278" t="s">
        <v>961</v>
      </c>
      <c r="W17" s="7"/>
    </row>
    <row r="18" spans="1:23">
      <c r="B18" t="str">
        <f>MLIST!D18</f>
        <v>Monitor-NR</v>
      </c>
      <c r="C18" s="253">
        <v>0</v>
      </c>
      <c r="D18" s="253">
        <v>0</v>
      </c>
      <c r="E18" s="253">
        <v>0</v>
      </c>
      <c r="F18" s="253">
        <v>0</v>
      </c>
      <c r="G18" s="253">
        <v>0</v>
      </c>
      <c r="H18" s="253">
        <v>0</v>
      </c>
      <c r="I18" s="253">
        <v>0</v>
      </c>
      <c r="J18" s="253">
        <v>0</v>
      </c>
      <c r="K18" s="253">
        <v>0</v>
      </c>
      <c r="L18" s="253">
        <v>0</v>
      </c>
      <c r="M18" s="253">
        <v>0</v>
      </c>
      <c r="N18" s="253">
        <v>0</v>
      </c>
      <c r="O18" s="253">
        <v>0</v>
      </c>
      <c r="P18" s="253">
        <v>0</v>
      </c>
      <c r="Q18" s="253">
        <v>0</v>
      </c>
      <c r="R18" s="253">
        <v>0</v>
      </c>
      <c r="S18" s="253">
        <v>0</v>
      </c>
      <c r="T18" s="253">
        <v>0</v>
      </c>
      <c r="U18" s="267">
        <v>0.55000000000000004</v>
      </c>
      <c r="V18" t="s">
        <v>937</v>
      </c>
      <c r="W18" s="7"/>
    </row>
    <row r="19" spans="1:23">
      <c r="B19" t="str">
        <f>MLIST!D19</f>
        <v>Desktop-NR</v>
      </c>
      <c r="C19" s="253">
        <v>0</v>
      </c>
      <c r="D19" s="253">
        <v>0</v>
      </c>
      <c r="E19" s="253">
        <v>0</v>
      </c>
      <c r="F19" s="253">
        <v>0</v>
      </c>
      <c r="G19" s="253">
        <v>0</v>
      </c>
      <c r="H19" s="253">
        <v>0</v>
      </c>
      <c r="I19" s="253">
        <v>0</v>
      </c>
      <c r="J19" s="253">
        <v>0</v>
      </c>
      <c r="K19" s="253">
        <v>0</v>
      </c>
      <c r="L19" s="253">
        <v>0</v>
      </c>
      <c r="M19" s="253">
        <v>0</v>
      </c>
      <c r="N19" s="253">
        <v>0</v>
      </c>
      <c r="O19" s="253">
        <v>0</v>
      </c>
      <c r="P19" s="253">
        <v>0</v>
      </c>
      <c r="Q19" s="253">
        <v>0</v>
      </c>
      <c r="R19" s="253">
        <v>0</v>
      </c>
      <c r="S19" s="253">
        <v>0</v>
      </c>
      <c r="T19" s="253">
        <v>0</v>
      </c>
      <c r="U19" s="267">
        <v>0.75</v>
      </c>
      <c r="V19" s="278" t="s">
        <v>965</v>
      </c>
      <c r="W19" s="7"/>
    </row>
    <row r="20" spans="1:23">
      <c r="B20" t="str">
        <f>MLIST!D20</f>
        <v>Pre-Rinse Spray Valve-Retro</v>
      </c>
      <c r="C20" s="267">
        <v>0</v>
      </c>
      <c r="D20" s="267">
        <v>0</v>
      </c>
      <c r="E20" s="267">
        <v>0</v>
      </c>
      <c r="F20" s="267">
        <v>0</v>
      </c>
      <c r="G20" s="267">
        <v>0</v>
      </c>
      <c r="H20" s="267">
        <v>0</v>
      </c>
      <c r="I20" s="267">
        <v>0</v>
      </c>
      <c r="J20" s="267">
        <v>0</v>
      </c>
      <c r="K20" s="267">
        <v>0</v>
      </c>
      <c r="L20" s="267">
        <v>0</v>
      </c>
      <c r="M20" s="267">
        <v>0</v>
      </c>
      <c r="N20" s="267">
        <v>0</v>
      </c>
      <c r="O20" s="267">
        <v>0</v>
      </c>
      <c r="P20" s="267">
        <v>0</v>
      </c>
      <c r="Q20" s="267">
        <v>0</v>
      </c>
      <c r="R20" s="267">
        <v>0</v>
      </c>
      <c r="S20" s="267">
        <v>0</v>
      </c>
      <c r="T20" s="267">
        <v>0</v>
      </c>
      <c r="U20" s="267">
        <v>0.26</v>
      </c>
      <c r="V20" s="278" t="s">
        <v>708</v>
      </c>
      <c r="W20" s="7"/>
    </row>
    <row r="21" spans="1:23">
      <c r="B21" t="str">
        <f>MLIST!D21</f>
        <v>Cooking Equipment-NR</v>
      </c>
      <c r="C21" s="267">
        <v>0</v>
      </c>
      <c r="D21" s="267">
        <v>0</v>
      </c>
      <c r="E21" s="267">
        <v>0</v>
      </c>
      <c r="F21" s="267">
        <v>0</v>
      </c>
      <c r="G21" s="267">
        <v>0</v>
      </c>
      <c r="H21" s="267">
        <v>0</v>
      </c>
      <c r="I21" s="267">
        <v>0</v>
      </c>
      <c r="J21" s="267">
        <v>0</v>
      </c>
      <c r="K21" s="267">
        <v>0</v>
      </c>
      <c r="L21" s="267">
        <v>0</v>
      </c>
      <c r="M21" s="267">
        <v>0</v>
      </c>
      <c r="N21" s="267">
        <v>0</v>
      </c>
      <c r="O21" s="267">
        <v>0</v>
      </c>
      <c r="P21" s="267">
        <v>0</v>
      </c>
      <c r="Q21" s="267">
        <v>0</v>
      </c>
      <c r="R21" s="267">
        <v>0</v>
      </c>
      <c r="S21" s="267">
        <v>0</v>
      </c>
      <c r="T21" s="267">
        <v>0</v>
      </c>
      <c r="U21" s="267">
        <v>0.39</v>
      </c>
      <c r="V21" s="278" t="s">
        <v>709</v>
      </c>
      <c r="W21" s="7"/>
    </row>
    <row r="22" spans="1:23" s="218" customFormat="1">
      <c r="B22" s="218" t="str">
        <f>MLIST!D22</f>
        <v>DHP-New</v>
      </c>
      <c r="C22" s="267">
        <v>0</v>
      </c>
      <c r="D22" s="267">
        <v>0</v>
      </c>
      <c r="E22" s="267">
        <v>0</v>
      </c>
      <c r="F22" s="267">
        <v>0</v>
      </c>
      <c r="G22" s="267">
        <v>0</v>
      </c>
      <c r="H22" s="267">
        <v>0</v>
      </c>
      <c r="I22" s="267">
        <v>0</v>
      </c>
      <c r="J22" s="267">
        <v>0</v>
      </c>
      <c r="K22" s="267">
        <v>0</v>
      </c>
      <c r="L22" s="267">
        <v>0</v>
      </c>
      <c r="M22" s="267">
        <v>0</v>
      </c>
      <c r="N22" s="267">
        <v>0</v>
      </c>
      <c r="O22" s="267">
        <v>0</v>
      </c>
      <c r="P22" s="267">
        <v>0</v>
      </c>
      <c r="Q22" s="267">
        <v>0</v>
      </c>
      <c r="R22" s="267">
        <v>0</v>
      </c>
      <c r="S22" s="267">
        <v>0</v>
      </c>
      <c r="T22" s="267">
        <v>0</v>
      </c>
      <c r="U22" s="267">
        <v>0</v>
      </c>
      <c r="V22" s="278"/>
      <c r="W22" s="278"/>
    </row>
    <row r="23" spans="1:23" s="218" customFormat="1">
      <c r="B23" s="278" t="str">
        <f>MLIST!D23</f>
        <v>DHP-Retro</v>
      </c>
      <c r="C23" s="267">
        <v>0</v>
      </c>
      <c r="D23" s="267">
        <v>0</v>
      </c>
      <c r="E23" s="267">
        <v>0</v>
      </c>
      <c r="F23" s="267">
        <v>0</v>
      </c>
      <c r="G23" s="267">
        <v>0</v>
      </c>
      <c r="H23" s="267">
        <v>0</v>
      </c>
      <c r="I23" s="267">
        <v>0</v>
      </c>
      <c r="J23" s="267">
        <v>0</v>
      </c>
      <c r="K23" s="267">
        <v>0</v>
      </c>
      <c r="L23" s="267">
        <v>0</v>
      </c>
      <c r="M23" s="267">
        <v>0</v>
      </c>
      <c r="N23" s="267">
        <v>0</v>
      </c>
      <c r="O23" s="267">
        <v>0</v>
      </c>
      <c r="P23" s="267">
        <v>0</v>
      </c>
      <c r="Q23" s="267">
        <v>0</v>
      </c>
      <c r="R23" s="267">
        <v>0</v>
      </c>
      <c r="S23" s="267">
        <v>0</v>
      </c>
      <c r="T23" s="267">
        <v>0</v>
      </c>
      <c r="U23" s="267">
        <v>0</v>
      </c>
      <c r="V23" s="278"/>
      <c r="W23" s="278"/>
    </row>
    <row r="24" spans="1:23">
      <c r="B24" s="415" t="str">
        <f>MLIST!D24</f>
        <v>Glass-New</v>
      </c>
      <c r="C24" s="253">
        <v>0.30399999999999999</v>
      </c>
      <c r="D24" s="253">
        <v>0.21039999999999998</v>
      </c>
      <c r="E24" s="253">
        <v>0.21760000000000002</v>
      </c>
      <c r="F24" s="253">
        <v>0.38244</v>
      </c>
      <c r="G24" s="253">
        <v>0.38183</v>
      </c>
      <c r="H24" s="253">
        <v>0.21683000000000002</v>
      </c>
      <c r="I24" s="253">
        <v>0.45624999999999999</v>
      </c>
      <c r="J24" s="253">
        <v>0.1434</v>
      </c>
      <c r="K24" s="253">
        <v>0.20800000000000002</v>
      </c>
      <c r="L24" s="253">
        <v>0.47244999999999998</v>
      </c>
      <c r="M24" s="253">
        <v>0.21212000000000003</v>
      </c>
      <c r="N24" s="253">
        <v>0.22062000000000004</v>
      </c>
      <c r="O24" s="253">
        <v>0.225000056</v>
      </c>
      <c r="P24" s="253">
        <v>0.25224999999999997</v>
      </c>
      <c r="Q24" s="253">
        <v>0.19740000000000002</v>
      </c>
      <c r="R24" s="253">
        <v>0.25850000000000001</v>
      </c>
      <c r="S24" s="253">
        <v>0.2</v>
      </c>
      <c r="T24" s="253">
        <v>0.23139999999999999</v>
      </c>
      <c r="U24" s="253">
        <v>0</v>
      </c>
      <c r="V24" s="7"/>
      <c r="W24" s="7"/>
    </row>
    <row r="25" spans="1:23" s="7" customFormat="1">
      <c r="A25"/>
      <c r="B25" t="str">
        <f>MLIST!D25</f>
        <v>Glass-NR</v>
      </c>
      <c r="C25" s="253">
        <v>0.30399999999999999</v>
      </c>
      <c r="D25" s="253">
        <v>0.21039999999999998</v>
      </c>
      <c r="E25" s="253">
        <v>0.21760000000000002</v>
      </c>
      <c r="F25" s="253">
        <v>0.38244</v>
      </c>
      <c r="G25" s="253">
        <v>0.38183</v>
      </c>
      <c r="H25" s="253">
        <v>0.21683000000000002</v>
      </c>
      <c r="I25" s="253">
        <v>0.45624999999999999</v>
      </c>
      <c r="J25" s="253">
        <v>0.1434</v>
      </c>
      <c r="K25" s="253">
        <v>0.20800000000000002</v>
      </c>
      <c r="L25" s="253">
        <v>0.47244999999999998</v>
      </c>
      <c r="M25" s="253">
        <v>0.21212000000000003</v>
      </c>
      <c r="N25" s="253">
        <v>0.22062000000000004</v>
      </c>
      <c r="O25" s="253">
        <v>0.225000056</v>
      </c>
      <c r="P25" s="253">
        <v>0.25224999999999997</v>
      </c>
      <c r="Q25" s="253">
        <v>0.19740000000000002</v>
      </c>
      <c r="R25" s="253">
        <v>0.25850000000000001</v>
      </c>
      <c r="S25" s="253">
        <v>0.2</v>
      </c>
      <c r="T25" s="253">
        <v>0.23139999999999999</v>
      </c>
      <c r="U25" s="253">
        <v>0</v>
      </c>
    </row>
    <row r="26" spans="1:23" s="278" customFormat="1">
      <c r="A26" s="218"/>
      <c r="B26" s="218" t="str">
        <f>MLIST!D26</f>
        <v>ControllerLite-Retro</v>
      </c>
      <c r="C26" s="267">
        <v>0</v>
      </c>
      <c r="D26" s="267">
        <v>0</v>
      </c>
      <c r="E26" s="267">
        <v>0</v>
      </c>
      <c r="F26" s="267">
        <v>0</v>
      </c>
      <c r="G26" s="267">
        <v>0</v>
      </c>
      <c r="H26" s="267">
        <v>0</v>
      </c>
      <c r="I26" s="267">
        <v>0</v>
      </c>
      <c r="J26" s="267">
        <v>0</v>
      </c>
      <c r="K26" s="267">
        <v>0</v>
      </c>
      <c r="L26" s="267">
        <v>0</v>
      </c>
      <c r="M26" s="267">
        <v>0</v>
      </c>
      <c r="N26" s="267">
        <v>0</v>
      </c>
      <c r="O26" s="267">
        <v>0</v>
      </c>
      <c r="P26" s="267">
        <v>0</v>
      </c>
      <c r="Q26" s="267">
        <v>0</v>
      </c>
      <c r="R26" s="267">
        <v>0</v>
      </c>
      <c r="S26" s="267">
        <v>0</v>
      </c>
      <c r="T26" s="267">
        <v>0</v>
      </c>
      <c r="U26" s="267">
        <v>0</v>
      </c>
    </row>
    <row r="27" spans="1:23">
      <c r="B27" t="str">
        <f>MLIST!D27</f>
        <v>Advanced Rooftop Controller-New</v>
      </c>
      <c r="C27" s="253">
        <v>0.05</v>
      </c>
      <c r="D27" s="253">
        <v>0.05</v>
      </c>
      <c r="E27" s="253">
        <v>0.05</v>
      </c>
      <c r="F27" s="253">
        <v>0.05</v>
      </c>
      <c r="G27" s="253">
        <v>0.05</v>
      </c>
      <c r="H27" s="253">
        <v>0.05</v>
      </c>
      <c r="I27" s="253">
        <v>0.05</v>
      </c>
      <c r="J27" s="253">
        <v>0.05</v>
      </c>
      <c r="K27" s="253">
        <v>0.05</v>
      </c>
      <c r="L27" s="253">
        <v>0.05</v>
      </c>
      <c r="M27" s="253">
        <v>0.05</v>
      </c>
      <c r="N27" s="253">
        <v>0.05</v>
      </c>
      <c r="O27" s="253">
        <v>0.05</v>
      </c>
      <c r="P27" s="253">
        <v>0.05</v>
      </c>
      <c r="Q27" s="253">
        <v>0.05</v>
      </c>
      <c r="R27" s="253">
        <v>0.05</v>
      </c>
      <c r="S27" s="253">
        <v>0.05</v>
      </c>
      <c r="T27" s="253">
        <v>0.05</v>
      </c>
      <c r="U27" s="253">
        <v>0</v>
      </c>
      <c r="V27" s="7"/>
      <c r="W27" s="7"/>
    </row>
    <row r="28" spans="1:23">
      <c r="B28" t="str">
        <f>MLIST!D28</f>
        <v>Advanced Rooftop Controller-NR</v>
      </c>
      <c r="C28" s="253">
        <v>0.05</v>
      </c>
      <c r="D28" s="253">
        <v>0.05</v>
      </c>
      <c r="E28" s="253">
        <v>0.05</v>
      </c>
      <c r="F28" s="253">
        <v>0.05</v>
      </c>
      <c r="G28" s="253">
        <v>0.05</v>
      </c>
      <c r="H28" s="253">
        <v>0.05</v>
      </c>
      <c r="I28" s="253">
        <v>0.05</v>
      </c>
      <c r="J28" s="253">
        <v>0.05</v>
      </c>
      <c r="K28" s="253">
        <v>0.05</v>
      </c>
      <c r="L28" s="253">
        <v>0.05</v>
      </c>
      <c r="M28" s="253">
        <v>0.05</v>
      </c>
      <c r="N28" s="253">
        <v>0.05</v>
      </c>
      <c r="O28" s="253">
        <v>0.05</v>
      </c>
      <c r="P28" s="253">
        <v>0.05</v>
      </c>
      <c r="Q28" s="253">
        <v>0.05</v>
      </c>
      <c r="R28" s="253">
        <v>0.05</v>
      </c>
      <c r="S28" s="253">
        <v>0.05</v>
      </c>
      <c r="T28" s="253">
        <v>0.05</v>
      </c>
      <c r="U28" s="253">
        <v>0</v>
      </c>
      <c r="V28" s="7"/>
      <c r="W28" s="7"/>
    </row>
    <row r="29" spans="1:23">
      <c r="B29" t="str">
        <f>MLIST!D29</f>
        <v>Advanced Rooftop Controller-Retro</v>
      </c>
      <c r="C29" s="253">
        <v>0.05</v>
      </c>
      <c r="D29" s="253">
        <v>0.05</v>
      </c>
      <c r="E29" s="253">
        <v>0.05</v>
      </c>
      <c r="F29" s="253">
        <v>0.05</v>
      </c>
      <c r="G29" s="253">
        <v>0.05</v>
      </c>
      <c r="H29" s="253">
        <v>0.05</v>
      </c>
      <c r="I29" s="253">
        <v>0.05</v>
      </c>
      <c r="J29" s="253">
        <v>0.05</v>
      </c>
      <c r="K29" s="253">
        <v>0.05</v>
      </c>
      <c r="L29" s="253">
        <v>0.05</v>
      </c>
      <c r="M29" s="253">
        <v>0.05</v>
      </c>
      <c r="N29" s="253">
        <v>0.05</v>
      </c>
      <c r="O29" s="253">
        <v>0.05</v>
      </c>
      <c r="P29" s="253">
        <v>0.05</v>
      </c>
      <c r="Q29" s="253">
        <v>0.05</v>
      </c>
      <c r="R29" s="253">
        <v>0.05</v>
      </c>
      <c r="S29" s="253">
        <v>0.05</v>
      </c>
      <c r="T29" s="253">
        <v>0.05</v>
      </c>
      <c r="U29" s="253">
        <v>0</v>
      </c>
      <c r="V29" s="7"/>
      <c r="W29" s="7"/>
    </row>
    <row r="30" spans="1:23">
      <c r="B30" t="str">
        <f>MLIST!D30</f>
        <v>Variable Speed Chiller-New</v>
      </c>
      <c r="C30" s="253">
        <v>0.1</v>
      </c>
      <c r="D30" s="253">
        <v>0.1</v>
      </c>
      <c r="E30" s="253">
        <v>0.1</v>
      </c>
      <c r="F30" s="253">
        <v>0.1</v>
      </c>
      <c r="G30" s="253">
        <v>0.1</v>
      </c>
      <c r="H30" s="253">
        <v>0.1</v>
      </c>
      <c r="I30" s="253">
        <v>0.1</v>
      </c>
      <c r="J30" s="253">
        <v>0.1</v>
      </c>
      <c r="K30" s="253">
        <v>0.1</v>
      </c>
      <c r="L30" s="253">
        <v>0.1</v>
      </c>
      <c r="M30" s="253">
        <v>0.1</v>
      </c>
      <c r="N30" s="253">
        <v>0.1</v>
      </c>
      <c r="O30" s="253">
        <v>0.1</v>
      </c>
      <c r="P30" s="253">
        <v>0.1</v>
      </c>
      <c r="Q30" s="253">
        <v>0.1</v>
      </c>
      <c r="R30" s="253">
        <v>0.1</v>
      </c>
      <c r="S30" s="253">
        <v>0.1</v>
      </c>
      <c r="T30" s="253">
        <v>0.1</v>
      </c>
      <c r="U30" s="253">
        <v>0</v>
      </c>
      <c r="V30" s="7"/>
      <c r="W30" s="7"/>
    </row>
    <row r="31" spans="1:23">
      <c r="B31" s="415" t="str">
        <f>MLIST!D31</f>
        <v>Variable Speed Chiller-NR</v>
      </c>
      <c r="C31" s="253">
        <v>0.1</v>
      </c>
      <c r="D31" s="253">
        <v>0.1</v>
      </c>
      <c r="E31" s="253">
        <v>0.1</v>
      </c>
      <c r="F31" s="253">
        <v>0.1</v>
      </c>
      <c r="G31" s="253">
        <v>0.1</v>
      </c>
      <c r="H31" s="253">
        <v>0.1</v>
      </c>
      <c r="I31" s="253">
        <v>0.1</v>
      </c>
      <c r="J31" s="253">
        <v>0.1</v>
      </c>
      <c r="K31" s="253">
        <v>0.1</v>
      </c>
      <c r="L31" s="253">
        <v>0.1</v>
      </c>
      <c r="M31" s="253">
        <v>0.1</v>
      </c>
      <c r="N31" s="253">
        <v>0.1</v>
      </c>
      <c r="O31" s="253">
        <v>0.1</v>
      </c>
      <c r="P31" s="253">
        <v>0.1</v>
      </c>
      <c r="Q31" s="253">
        <v>0.1</v>
      </c>
      <c r="R31" s="253">
        <v>0.1</v>
      </c>
      <c r="S31" s="253">
        <v>0.1</v>
      </c>
      <c r="T31" s="253">
        <v>0.1</v>
      </c>
      <c r="U31" s="253">
        <v>0</v>
      </c>
      <c r="V31" s="7"/>
      <c r="W31" s="7"/>
    </row>
    <row r="32" spans="1:23">
      <c r="B32" s="415" t="str">
        <f>MLIST!D32</f>
        <v>Commercial EM-New</v>
      </c>
      <c r="C32" s="253">
        <v>0</v>
      </c>
      <c r="D32" s="253">
        <v>0</v>
      </c>
      <c r="E32" s="253">
        <v>0</v>
      </c>
      <c r="F32" s="253">
        <v>0</v>
      </c>
      <c r="G32" s="253">
        <v>0</v>
      </c>
      <c r="H32" s="253">
        <v>0</v>
      </c>
      <c r="I32" s="253">
        <v>0</v>
      </c>
      <c r="J32" s="253">
        <v>0</v>
      </c>
      <c r="K32" s="253">
        <v>0</v>
      </c>
      <c r="L32" s="253">
        <v>0</v>
      </c>
      <c r="M32" s="253">
        <v>0</v>
      </c>
      <c r="N32" s="253">
        <v>0</v>
      </c>
      <c r="O32" s="253">
        <v>0</v>
      </c>
      <c r="P32" s="253">
        <v>0</v>
      </c>
      <c r="Q32" s="253">
        <v>0</v>
      </c>
      <c r="R32" s="253">
        <v>0</v>
      </c>
      <c r="S32" s="253">
        <v>0</v>
      </c>
      <c r="T32" s="253">
        <v>0</v>
      </c>
      <c r="U32" s="253" t="s">
        <v>688</v>
      </c>
      <c r="V32" s="278" t="s">
        <v>823</v>
      </c>
      <c r="W32" s="7"/>
    </row>
    <row r="33" spans="2:23">
      <c r="B33" s="415" t="str">
        <f>MLIST!D33</f>
        <v>Commercial EM-NR</v>
      </c>
      <c r="C33" s="253">
        <v>0</v>
      </c>
      <c r="D33" s="253">
        <v>0</v>
      </c>
      <c r="E33" s="253">
        <v>0</v>
      </c>
      <c r="F33" s="253">
        <v>0</v>
      </c>
      <c r="G33" s="253">
        <v>0</v>
      </c>
      <c r="H33" s="253">
        <v>0</v>
      </c>
      <c r="I33" s="253">
        <v>0</v>
      </c>
      <c r="J33" s="253">
        <v>0</v>
      </c>
      <c r="K33" s="253">
        <v>0</v>
      </c>
      <c r="L33" s="253">
        <v>0</v>
      </c>
      <c r="M33" s="253">
        <v>0</v>
      </c>
      <c r="N33" s="253">
        <v>0</v>
      </c>
      <c r="O33" s="253">
        <v>0</v>
      </c>
      <c r="P33" s="253">
        <v>0</v>
      </c>
      <c r="Q33" s="253">
        <v>0</v>
      </c>
      <c r="R33" s="253">
        <v>0</v>
      </c>
      <c r="S33" s="253">
        <v>0</v>
      </c>
      <c r="T33" s="253">
        <v>0</v>
      </c>
      <c r="U33" s="253" t="s">
        <v>688</v>
      </c>
      <c r="V33" s="7"/>
      <c r="W33" s="7"/>
    </row>
    <row r="34" spans="2:23">
      <c r="B34" s="415" t="str">
        <f>MLIST!D34</f>
        <v>Commercial EM-Retro</v>
      </c>
      <c r="C34" s="267">
        <v>0.18579999999999999</v>
      </c>
      <c r="D34" s="267">
        <v>0.18579999999999999</v>
      </c>
      <c r="E34" s="267">
        <v>0.18579999999999999</v>
      </c>
      <c r="F34" s="267">
        <v>0.18579999999999999</v>
      </c>
      <c r="G34" s="267">
        <v>0.18579999999999999</v>
      </c>
      <c r="H34" s="267">
        <v>0.18579999999999999</v>
      </c>
      <c r="I34" s="267">
        <v>0.18579999999999999</v>
      </c>
      <c r="J34" s="267">
        <v>0.18579999999999999</v>
      </c>
      <c r="K34" s="267">
        <v>0.18579999999999999</v>
      </c>
      <c r="L34" s="267">
        <v>0.18579999999999999</v>
      </c>
      <c r="M34" s="267">
        <v>0.18579999999999999</v>
      </c>
      <c r="N34" s="267">
        <v>0.18579999999999999</v>
      </c>
      <c r="O34" s="267">
        <v>0.18579999999999999</v>
      </c>
      <c r="P34" s="267">
        <v>0.18579999999999999</v>
      </c>
      <c r="Q34" s="267">
        <v>0.18579999999999999</v>
      </c>
      <c r="R34" s="267">
        <v>0.18579999999999999</v>
      </c>
      <c r="S34" s="267">
        <v>0.18579999999999999</v>
      </c>
      <c r="T34" s="267">
        <v>0.18579999999999999</v>
      </c>
      <c r="U34" s="253" t="s">
        <v>688</v>
      </c>
      <c r="V34" s="278" t="s">
        <v>970</v>
      </c>
      <c r="W34" s="7"/>
    </row>
    <row r="35" spans="2:23">
      <c r="B35" s="415" t="str">
        <f>MLIST!D35</f>
        <v>Evaporative Assist Cooling-New</v>
      </c>
      <c r="C35" s="253">
        <v>0</v>
      </c>
      <c r="D35" s="253">
        <v>0</v>
      </c>
      <c r="E35" s="253">
        <v>0</v>
      </c>
      <c r="F35" s="253">
        <v>0</v>
      </c>
      <c r="G35" s="253">
        <v>0</v>
      </c>
      <c r="H35" s="253">
        <v>0</v>
      </c>
      <c r="I35" s="253">
        <v>0</v>
      </c>
      <c r="J35" s="253">
        <v>0</v>
      </c>
      <c r="K35" s="253">
        <v>0</v>
      </c>
      <c r="L35" s="253">
        <v>0</v>
      </c>
      <c r="M35" s="253">
        <v>0</v>
      </c>
      <c r="N35" s="253">
        <v>0</v>
      </c>
      <c r="O35" s="253">
        <v>0</v>
      </c>
      <c r="P35" s="253">
        <v>0</v>
      </c>
      <c r="Q35" s="253">
        <v>0</v>
      </c>
      <c r="R35" s="253">
        <v>0</v>
      </c>
      <c r="S35" s="253">
        <v>0</v>
      </c>
      <c r="T35" s="253">
        <v>0</v>
      </c>
      <c r="U35" s="253">
        <v>0</v>
      </c>
      <c r="V35" s="7"/>
      <c r="W35" s="7"/>
    </row>
    <row r="36" spans="2:23">
      <c r="B36" t="str">
        <f>MLIST!D36</f>
        <v>Evaporative Assist Cooling-NR</v>
      </c>
      <c r="C36" s="253">
        <v>0</v>
      </c>
      <c r="D36" s="253">
        <v>0</v>
      </c>
      <c r="E36" s="253">
        <v>0</v>
      </c>
      <c r="F36" s="253">
        <v>0</v>
      </c>
      <c r="G36" s="253">
        <v>0</v>
      </c>
      <c r="H36" s="253">
        <v>0</v>
      </c>
      <c r="I36" s="253">
        <v>0</v>
      </c>
      <c r="J36" s="253">
        <v>0</v>
      </c>
      <c r="K36" s="253">
        <v>0</v>
      </c>
      <c r="L36" s="253">
        <v>0</v>
      </c>
      <c r="M36" s="253">
        <v>0</v>
      </c>
      <c r="N36" s="253">
        <v>0</v>
      </c>
      <c r="O36" s="253">
        <v>0</v>
      </c>
      <c r="P36" s="253">
        <v>0</v>
      </c>
      <c r="Q36" s="253">
        <v>0</v>
      </c>
      <c r="R36" s="253">
        <v>0</v>
      </c>
      <c r="S36" s="253">
        <v>0</v>
      </c>
      <c r="T36" s="253">
        <v>0</v>
      </c>
      <c r="U36" s="253">
        <v>0</v>
      </c>
      <c r="V36" s="7"/>
      <c r="W36" s="7"/>
    </row>
    <row r="37" spans="2:23" s="218" customFormat="1">
      <c r="B37" s="218" t="str">
        <f>MLIST!D37</f>
        <v>Economizer-Retro</v>
      </c>
      <c r="C37" s="267">
        <v>0.4</v>
      </c>
      <c r="D37" s="267">
        <v>0.25</v>
      </c>
      <c r="E37" s="267">
        <v>0.25</v>
      </c>
      <c r="F37" s="267">
        <v>0.4</v>
      </c>
      <c r="G37" s="267">
        <v>0.25</v>
      </c>
      <c r="H37" s="267">
        <v>0.25</v>
      </c>
      <c r="I37" s="267">
        <v>0.25</v>
      </c>
      <c r="J37" s="267">
        <v>0.4</v>
      </c>
      <c r="K37" s="267">
        <v>0.4</v>
      </c>
      <c r="L37" s="267">
        <v>0.25</v>
      </c>
      <c r="M37" s="267">
        <v>0.4</v>
      </c>
      <c r="N37" s="267">
        <v>0.25</v>
      </c>
      <c r="O37" s="267">
        <v>0.25</v>
      </c>
      <c r="P37" s="267">
        <v>0.25</v>
      </c>
      <c r="Q37" s="267">
        <v>0.4</v>
      </c>
      <c r="R37" s="267">
        <v>0.25</v>
      </c>
      <c r="S37" s="267">
        <v>0.25</v>
      </c>
      <c r="T37" s="267">
        <v>0.25</v>
      </c>
      <c r="U37" s="267">
        <v>0</v>
      </c>
      <c r="V37" s="278"/>
      <c r="W37" s="278"/>
    </row>
    <row r="38" spans="2:23">
      <c r="B38" t="str">
        <f>MLIST!D38</f>
        <v>Demand Control Ventilation-New</v>
      </c>
      <c r="C38" s="253">
        <v>0</v>
      </c>
      <c r="D38" s="253">
        <v>0</v>
      </c>
      <c r="E38" s="253">
        <v>0</v>
      </c>
      <c r="F38" s="253">
        <v>0.2</v>
      </c>
      <c r="G38" s="253">
        <v>0</v>
      </c>
      <c r="H38" s="253">
        <v>0</v>
      </c>
      <c r="I38" s="253">
        <v>0</v>
      </c>
      <c r="J38" s="253">
        <v>0</v>
      </c>
      <c r="K38" s="253">
        <v>0</v>
      </c>
      <c r="L38" s="253">
        <v>0</v>
      </c>
      <c r="M38" s="253">
        <v>0</v>
      </c>
      <c r="N38" s="253">
        <v>0</v>
      </c>
      <c r="O38" s="253">
        <v>0</v>
      </c>
      <c r="P38" s="253">
        <v>0</v>
      </c>
      <c r="Q38" s="253">
        <v>0</v>
      </c>
      <c r="R38" s="253">
        <v>0</v>
      </c>
      <c r="S38" s="253">
        <v>0</v>
      </c>
      <c r="T38" s="253">
        <v>0</v>
      </c>
      <c r="U38" s="253">
        <v>0</v>
      </c>
      <c r="V38" s="7"/>
      <c r="W38" s="7"/>
    </row>
    <row r="39" spans="2:23">
      <c r="B39" t="str">
        <f>MLIST!D39</f>
        <v>Demand Control Ventilation-NR</v>
      </c>
      <c r="C39" s="253">
        <v>0</v>
      </c>
      <c r="D39" s="253">
        <v>0</v>
      </c>
      <c r="E39" s="253">
        <v>0</v>
      </c>
      <c r="F39" s="253">
        <v>0</v>
      </c>
      <c r="G39" s="253">
        <v>0</v>
      </c>
      <c r="H39" s="253">
        <v>0</v>
      </c>
      <c r="I39" s="253">
        <v>0</v>
      </c>
      <c r="J39" s="253">
        <v>0</v>
      </c>
      <c r="K39" s="253">
        <v>0</v>
      </c>
      <c r="L39" s="253">
        <v>0</v>
      </c>
      <c r="M39" s="253">
        <v>0</v>
      </c>
      <c r="N39" s="253">
        <v>0</v>
      </c>
      <c r="O39" s="253">
        <v>0</v>
      </c>
      <c r="P39" s="253">
        <v>0</v>
      </c>
      <c r="Q39" s="253">
        <v>0</v>
      </c>
      <c r="R39" s="253">
        <v>0</v>
      </c>
      <c r="S39" s="253">
        <v>0</v>
      </c>
      <c r="T39" s="253">
        <v>0</v>
      </c>
      <c r="U39" s="253">
        <v>0</v>
      </c>
      <c r="V39" s="7"/>
      <c r="W39" s="7"/>
    </row>
    <row r="40" spans="2:23">
      <c r="B40" t="str">
        <f>MLIST!D40</f>
        <v>Demand Control Ventilation-Retro</v>
      </c>
      <c r="C40" s="267">
        <v>0.29417841433623887</v>
      </c>
      <c r="D40" s="25">
        <v>0.16600530238180544</v>
      </c>
      <c r="E40" s="25">
        <v>2.3737663898859066E-2</v>
      </c>
      <c r="F40" s="25">
        <v>0.22300715162221316</v>
      </c>
      <c r="G40" s="267">
        <v>0.19741792645695339</v>
      </c>
      <c r="H40" s="25">
        <v>4.2740762746028386E-2</v>
      </c>
      <c r="I40" s="25">
        <v>1.3597214573254024E-2</v>
      </c>
      <c r="J40" s="25">
        <v>0.3265989178858158</v>
      </c>
      <c r="K40" s="25">
        <v>0.13622896031789924</v>
      </c>
      <c r="L40" s="25">
        <v>0.12181229468805803</v>
      </c>
      <c r="M40" s="25">
        <v>1.5043119467328166E-2</v>
      </c>
      <c r="N40" s="25">
        <v>0.13718952244125024</v>
      </c>
      <c r="O40" s="25">
        <v>0.13714113159081304</v>
      </c>
      <c r="P40" s="25">
        <v>3.8125362646436782E-2</v>
      </c>
      <c r="Q40" s="25">
        <v>0.13622896031789924</v>
      </c>
      <c r="R40" s="25">
        <v>9.2381299117502383E-2</v>
      </c>
      <c r="S40" s="25">
        <v>0.22458868903269982</v>
      </c>
      <c r="T40" s="25">
        <v>0.27868917229328594</v>
      </c>
      <c r="U40" s="253">
        <v>0</v>
      </c>
      <c r="V40" s="7"/>
      <c r="W40" s="7"/>
    </row>
    <row r="41" spans="2:23" s="218" customFormat="1">
      <c r="B41" t="str">
        <f>MLIST!D41</f>
        <v>Premium Fume Hood-NR</v>
      </c>
      <c r="C41" s="267">
        <v>0</v>
      </c>
      <c r="D41" s="267">
        <v>0</v>
      </c>
      <c r="E41" s="267">
        <v>0</v>
      </c>
      <c r="F41" s="267">
        <v>0</v>
      </c>
      <c r="G41" s="267">
        <v>0</v>
      </c>
      <c r="H41" s="267">
        <v>0</v>
      </c>
      <c r="I41" s="267">
        <v>0</v>
      </c>
      <c r="J41" s="267">
        <v>0</v>
      </c>
      <c r="K41" s="267">
        <v>0</v>
      </c>
      <c r="L41" s="267">
        <v>0</v>
      </c>
      <c r="M41" s="267">
        <v>0</v>
      </c>
      <c r="N41" s="267">
        <v>0</v>
      </c>
      <c r="O41" s="267">
        <v>0</v>
      </c>
      <c r="P41" s="267">
        <v>0</v>
      </c>
      <c r="Q41" s="267">
        <v>0</v>
      </c>
      <c r="R41" s="267">
        <v>0</v>
      </c>
      <c r="S41" s="267">
        <v>0</v>
      </c>
      <c r="T41" s="267">
        <v>0</v>
      </c>
      <c r="U41" s="267">
        <v>0.1</v>
      </c>
      <c r="V41" s="278"/>
      <c r="W41" s="267">
        <v>0.29417841433623887</v>
      </c>
    </row>
    <row r="42" spans="2:23">
      <c r="B42" t="str">
        <f>MLIST!D42</f>
        <v>DCV Restaurant Hood-Retro</v>
      </c>
      <c r="C42" s="253">
        <v>0</v>
      </c>
      <c r="D42" s="253">
        <v>0</v>
      </c>
      <c r="E42" s="253">
        <v>0</v>
      </c>
      <c r="F42" s="253">
        <v>0</v>
      </c>
      <c r="G42" s="253">
        <v>0</v>
      </c>
      <c r="H42" s="253">
        <v>0</v>
      </c>
      <c r="I42" s="253">
        <v>0</v>
      </c>
      <c r="J42" s="253">
        <v>0</v>
      </c>
      <c r="K42" s="253">
        <v>0</v>
      </c>
      <c r="L42" s="253">
        <v>0</v>
      </c>
      <c r="M42" s="253">
        <v>0</v>
      </c>
      <c r="N42" s="253">
        <v>0</v>
      </c>
      <c r="O42" s="253">
        <v>0</v>
      </c>
      <c r="P42" s="253">
        <v>0</v>
      </c>
      <c r="Q42" s="253">
        <v>0</v>
      </c>
      <c r="R42" s="253">
        <v>0</v>
      </c>
      <c r="S42" s="253">
        <v>0</v>
      </c>
      <c r="T42" s="253">
        <v>0</v>
      </c>
      <c r="U42" s="253">
        <v>0</v>
      </c>
      <c r="V42" s="7"/>
      <c r="W42" s="25">
        <v>0.16600530238180544</v>
      </c>
    </row>
    <row r="43" spans="2:23">
      <c r="B43" t="str">
        <f>MLIST!D43</f>
        <v>DCV Parking Garage-Retro</v>
      </c>
      <c r="C43" s="253">
        <v>0</v>
      </c>
      <c r="D43" s="253">
        <v>0</v>
      </c>
      <c r="E43" s="253">
        <v>0</v>
      </c>
      <c r="F43" s="253">
        <v>0</v>
      </c>
      <c r="G43" s="253">
        <v>0</v>
      </c>
      <c r="H43" s="253">
        <v>0</v>
      </c>
      <c r="I43" s="253">
        <v>0</v>
      </c>
      <c r="J43" s="253">
        <v>0</v>
      </c>
      <c r="K43" s="253">
        <v>0</v>
      </c>
      <c r="L43" s="253">
        <v>0</v>
      </c>
      <c r="M43" s="253">
        <v>0</v>
      </c>
      <c r="N43" s="253">
        <v>0</v>
      </c>
      <c r="O43" s="253">
        <v>0</v>
      </c>
      <c r="P43" s="253">
        <v>0</v>
      </c>
      <c r="Q43" s="253">
        <v>0</v>
      </c>
      <c r="R43" s="253">
        <v>0</v>
      </c>
      <c r="S43" s="253">
        <v>0</v>
      </c>
      <c r="T43" s="253">
        <v>0</v>
      </c>
      <c r="U43" s="253">
        <v>0.4</v>
      </c>
      <c r="V43" s="7"/>
      <c r="W43" s="25">
        <v>2.3737663898859066E-2</v>
      </c>
    </row>
    <row r="44" spans="2:23">
      <c r="B44" s="415" t="str">
        <f>MLIST!D44</f>
        <v>Weatherization - School-Retro</v>
      </c>
      <c r="C44" s="253">
        <v>0</v>
      </c>
      <c r="D44" s="253">
        <v>0</v>
      </c>
      <c r="E44" s="253">
        <v>0</v>
      </c>
      <c r="F44" s="253">
        <v>0</v>
      </c>
      <c r="G44" s="253">
        <v>0</v>
      </c>
      <c r="H44" s="253">
        <v>0</v>
      </c>
      <c r="I44" s="253">
        <v>0</v>
      </c>
      <c r="J44" s="253">
        <v>0</v>
      </c>
      <c r="K44" s="253">
        <v>0</v>
      </c>
      <c r="L44" s="253">
        <v>0</v>
      </c>
      <c r="M44" s="253">
        <v>0</v>
      </c>
      <c r="N44" s="253">
        <v>0</v>
      </c>
      <c r="O44" s="253">
        <v>0</v>
      </c>
      <c r="P44" s="253">
        <v>0</v>
      </c>
      <c r="Q44" s="253">
        <v>0</v>
      </c>
      <c r="R44" s="253">
        <v>0</v>
      </c>
      <c r="S44" s="253">
        <v>0</v>
      </c>
      <c r="T44" s="253">
        <v>0</v>
      </c>
      <c r="U44" s="253" t="s">
        <v>688</v>
      </c>
      <c r="V44" s="7"/>
      <c r="W44" s="25">
        <v>0.22300715162221316</v>
      </c>
    </row>
    <row r="45" spans="2:23" s="218" customFormat="1">
      <c r="B45" s="218" t="str">
        <f>MLIST!D45</f>
        <v>Energy Recovery Ventilator-NR</v>
      </c>
      <c r="C45" s="267">
        <v>0</v>
      </c>
      <c r="D45" s="267">
        <v>0</v>
      </c>
      <c r="E45" s="267">
        <v>0</v>
      </c>
      <c r="F45" s="267">
        <v>0</v>
      </c>
      <c r="G45" s="267">
        <v>0</v>
      </c>
      <c r="H45" s="267">
        <v>0</v>
      </c>
      <c r="I45" s="267">
        <v>0</v>
      </c>
      <c r="J45" s="267">
        <v>0</v>
      </c>
      <c r="K45" s="267">
        <v>0</v>
      </c>
      <c r="L45" s="267">
        <v>0</v>
      </c>
      <c r="M45" s="267">
        <v>0</v>
      </c>
      <c r="N45" s="267">
        <v>0</v>
      </c>
      <c r="O45" s="267">
        <v>0</v>
      </c>
      <c r="P45" s="267">
        <v>0</v>
      </c>
      <c r="Q45" s="267">
        <v>0</v>
      </c>
      <c r="R45" s="267">
        <v>0</v>
      </c>
      <c r="S45" s="267">
        <v>0</v>
      </c>
      <c r="T45" s="267">
        <v>0</v>
      </c>
      <c r="U45" s="267">
        <v>0.9</v>
      </c>
      <c r="V45" s="278" t="s">
        <v>965</v>
      </c>
      <c r="W45" s="267">
        <v>0.19741792645695339</v>
      </c>
    </row>
    <row r="46" spans="2:23">
      <c r="B46" t="str">
        <f>MLIST!D46</f>
        <v>AC Heat Recovery for Water Heating-NR</v>
      </c>
      <c r="C46" s="253">
        <v>0</v>
      </c>
      <c r="D46" s="253">
        <v>0</v>
      </c>
      <c r="E46" s="253">
        <v>0</v>
      </c>
      <c r="F46" s="253">
        <v>0</v>
      </c>
      <c r="G46" s="253">
        <v>0</v>
      </c>
      <c r="H46" s="253">
        <v>0</v>
      </c>
      <c r="I46" s="253">
        <v>0</v>
      </c>
      <c r="J46" s="253">
        <v>0</v>
      </c>
      <c r="K46" s="253">
        <v>0</v>
      </c>
      <c r="L46" s="253">
        <v>0</v>
      </c>
      <c r="M46" s="253">
        <v>0</v>
      </c>
      <c r="N46" s="253">
        <v>0</v>
      </c>
      <c r="O46" s="253">
        <v>0</v>
      </c>
      <c r="P46" s="253">
        <v>0</v>
      </c>
      <c r="Q46" s="253">
        <v>0</v>
      </c>
      <c r="R46" s="253">
        <v>0</v>
      </c>
      <c r="S46" s="253">
        <v>0</v>
      </c>
      <c r="T46" s="253">
        <v>0</v>
      </c>
      <c r="U46" s="253" t="s">
        <v>688</v>
      </c>
      <c r="V46" s="7"/>
      <c r="W46" s="25">
        <v>4.2740762746028386E-2</v>
      </c>
    </row>
    <row r="47" spans="2:23">
      <c r="B47" t="str">
        <f>MLIST!D47</f>
        <v>Room Occupancy Sensors in Lodging-Retro</v>
      </c>
      <c r="C47" s="253">
        <v>0</v>
      </c>
      <c r="D47" s="253">
        <v>0</v>
      </c>
      <c r="E47" s="253">
        <v>0</v>
      </c>
      <c r="F47" s="253">
        <v>0</v>
      </c>
      <c r="G47" s="253">
        <v>0</v>
      </c>
      <c r="H47" s="253">
        <v>0</v>
      </c>
      <c r="I47" s="253">
        <v>0</v>
      </c>
      <c r="J47" s="253">
        <v>0</v>
      </c>
      <c r="K47" s="253">
        <v>0</v>
      </c>
      <c r="L47" s="253">
        <v>0</v>
      </c>
      <c r="M47" s="253">
        <v>0</v>
      </c>
      <c r="N47" s="253">
        <v>0</v>
      </c>
      <c r="O47" s="253">
        <v>0</v>
      </c>
      <c r="P47" s="253">
        <v>0</v>
      </c>
      <c r="Q47" s="253">
        <v>0</v>
      </c>
      <c r="R47" s="253">
        <v>0</v>
      </c>
      <c r="S47" s="253">
        <v>0</v>
      </c>
      <c r="T47" s="253">
        <v>0</v>
      </c>
      <c r="U47" s="253" t="s">
        <v>688</v>
      </c>
      <c r="V47" s="7"/>
      <c r="W47" s="25">
        <v>1.3597214573254024E-2</v>
      </c>
    </row>
    <row r="48" spans="2:23">
      <c r="B48" t="str">
        <f>MLIST!D48</f>
        <v>Chiller - chilled water retrofit-Retro</v>
      </c>
      <c r="C48" s="253">
        <v>0</v>
      </c>
      <c r="D48" s="253">
        <v>0</v>
      </c>
      <c r="E48" s="253">
        <v>0</v>
      </c>
      <c r="F48" s="253">
        <v>0</v>
      </c>
      <c r="G48" s="253">
        <v>0</v>
      </c>
      <c r="H48" s="253">
        <v>0</v>
      </c>
      <c r="I48" s="253">
        <v>0</v>
      </c>
      <c r="J48" s="253">
        <v>0</v>
      </c>
      <c r="K48" s="253">
        <v>0</v>
      </c>
      <c r="L48" s="253">
        <v>0</v>
      </c>
      <c r="M48" s="253">
        <v>0</v>
      </c>
      <c r="N48" s="253">
        <v>0</v>
      </c>
      <c r="O48" s="253">
        <v>0</v>
      </c>
      <c r="P48" s="253">
        <v>0</v>
      </c>
      <c r="Q48" s="253">
        <v>0</v>
      </c>
      <c r="R48" s="253">
        <v>0</v>
      </c>
      <c r="S48" s="253">
        <v>0</v>
      </c>
      <c r="T48" s="253">
        <v>0</v>
      </c>
      <c r="U48" s="253" t="s">
        <v>688</v>
      </c>
      <c r="V48" s="7"/>
      <c r="W48" s="25">
        <v>0.3265989178858158</v>
      </c>
    </row>
    <row r="49" spans="2:23">
      <c r="B49" t="str">
        <f>MLIST!D49</f>
        <v>Chiller - equip retrofits-Retro</v>
      </c>
      <c r="C49" s="253">
        <v>0</v>
      </c>
      <c r="D49" s="253">
        <v>0</v>
      </c>
      <c r="E49" s="253">
        <v>0</v>
      </c>
      <c r="F49" s="253">
        <v>0</v>
      </c>
      <c r="G49" s="253">
        <v>0</v>
      </c>
      <c r="H49" s="253">
        <v>0</v>
      </c>
      <c r="I49" s="253">
        <v>0</v>
      </c>
      <c r="J49" s="253">
        <v>0</v>
      </c>
      <c r="K49" s="253">
        <v>0</v>
      </c>
      <c r="L49" s="253">
        <v>0</v>
      </c>
      <c r="M49" s="253">
        <v>0</v>
      </c>
      <c r="N49" s="253">
        <v>0</v>
      </c>
      <c r="O49" s="253">
        <v>0</v>
      </c>
      <c r="P49" s="253">
        <v>0</v>
      </c>
      <c r="Q49" s="253">
        <v>0</v>
      </c>
      <c r="R49" s="253">
        <v>0</v>
      </c>
      <c r="S49" s="253">
        <v>0</v>
      </c>
      <c r="T49" s="253">
        <v>0</v>
      </c>
      <c r="U49" s="253" t="s">
        <v>688</v>
      </c>
      <c r="V49" s="7"/>
      <c r="W49" s="25">
        <v>0.13622896031789924</v>
      </c>
    </row>
    <row r="50" spans="2:23">
      <c r="B50" t="str">
        <f>MLIST!D50</f>
        <v>Pool Blankets-Retro</v>
      </c>
      <c r="C50" s="253">
        <v>0</v>
      </c>
      <c r="D50" s="253">
        <v>0</v>
      </c>
      <c r="E50" s="253">
        <v>0</v>
      </c>
      <c r="F50" s="253">
        <v>0</v>
      </c>
      <c r="G50" s="253">
        <v>0</v>
      </c>
      <c r="H50" s="253">
        <v>0</v>
      </c>
      <c r="I50" s="253">
        <v>0</v>
      </c>
      <c r="J50" s="253">
        <v>0</v>
      </c>
      <c r="K50" s="253">
        <v>0</v>
      </c>
      <c r="L50" s="253">
        <v>0</v>
      </c>
      <c r="M50" s="253">
        <v>0</v>
      </c>
      <c r="N50" s="253">
        <v>0</v>
      </c>
      <c r="O50" s="253">
        <v>0</v>
      </c>
      <c r="P50" s="253">
        <v>0</v>
      </c>
      <c r="Q50" s="253">
        <v>0</v>
      </c>
      <c r="R50" s="253">
        <v>0</v>
      </c>
      <c r="S50" s="253">
        <v>0</v>
      </c>
      <c r="T50" s="253">
        <v>0</v>
      </c>
      <c r="U50" s="253" t="s">
        <v>688</v>
      </c>
      <c r="V50" s="7"/>
      <c r="W50" s="25">
        <v>0.12181229468805803</v>
      </c>
    </row>
    <row r="51" spans="2:23">
      <c r="B51" t="str">
        <f>MLIST!D51</f>
        <v>Web-Enabled Thermostats-Retro</v>
      </c>
      <c r="C51" s="253">
        <v>0</v>
      </c>
      <c r="D51" s="253">
        <v>0</v>
      </c>
      <c r="E51" s="253">
        <v>0</v>
      </c>
      <c r="F51" s="253">
        <v>0</v>
      </c>
      <c r="G51" s="253">
        <v>0</v>
      </c>
      <c r="H51" s="253">
        <v>0</v>
      </c>
      <c r="I51" s="253">
        <v>0</v>
      </c>
      <c r="J51" s="253">
        <v>0</v>
      </c>
      <c r="K51" s="253">
        <v>0</v>
      </c>
      <c r="L51" s="253">
        <v>0</v>
      </c>
      <c r="M51" s="253">
        <v>0</v>
      </c>
      <c r="N51" s="253">
        <v>0</v>
      </c>
      <c r="O51" s="253">
        <v>0</v>
      </c>
      <c r="P51" s="253">
        <v>0</v>
      </c>
      <c r="Q51" s="253">
        <v>0</v>
      </c>
      <c r="R51" s="253">
        <v>0</v>
      </c>
      <c r="S51" s="253">
        <v>0</v>
      </c>
      <c r="T51" s="253">
        <v>0</v>
      </c>
      <c r="U51" s="253" t="s">
        <v>688</v>
      </c>
      <c r="V51" s="7"/>
      <c r="W51" s="25">
        <v>1.5043119467328166E-2</v>
      </c>
    </row>
    <row r="52" spans="2:23">
      <c r="B52" t="str">
        <f>MLIST!D52</f>
        <v>Garage CO2 ventilation-Retro</v>
      </c>
      <c r="C52" s="253">
        <v>0</v>
      </c>
      <c r="D52" s="253">
        <v>0</v>
      </c>
      <c r="E52" s="253">
        <v>0</v>
      </c>
      <c r="F52" s="253">
        <v>0</v>
      </c>
      <c r="G52" s="253">
        <v>0</v>
      </c>
      <c r="H52" s="253">
        <v>0</v>
      </c>
      <c r="I52" s="253">
        <v>0</v>
      </c>
      <c r="J52" s="253">
        <v>0</v>
      </c>
      <c r="K52" s="253">
        <v>0</v>
      </c>
      <c r="L52" s="253">
        <v>0</v>
      </c>
      <c r="M52" s="253">
        <v>0</v>
      </c>
      <c r="N52" s="253">
        <v>0</v>
      </c>
      <c r="O52" s="253">
        <v>0</v>
      </c>
      <c r="P52" s="253">
        <v>0</v>
      </c>
      <c r="Q52" s="253">
        <v>0</v>
      </c>
      <c r="R52" s="253">
        <v>0</v>
      </c>
      <c r="S52" s="253">
        <v>0</v>
      </c>
      <c r="T52" s="253">
        <v>0</v>
      </c>
      <c r="U52" s="253" t="s">
        <v>688</v>
      </c>
      <c r="V52" s="7"/>
      <c r="W52" s="25">
        <v>0.13718952244125024</v>
      </c>
    </row>
    <row r="53" spans="2:23">
      <c r="B53" t="str">
        <f>MLIST!D53</f>
        <v>Circ Pump ECM and drive-Retro</v>
      </c>
      <c r="C53" s="253">
        <v>0</v>
      </c>
      <c r="D53" s="253">
        <v>0</v>
      </c>
      <c r="E53" s="253">
        <v>0</v>
      </c>
      <c r="F53" s="253">
        <v>0</v>
      </c>
      <c r="G53" s="253">
        <v>0</v>
      </c>
      <c r="H53" s="253">
        <v>0</v>
      </c>
      <c r="I53" s="253">
        <v>0</v>
      </c>
      <c r="J53" s="253">
        <v>0</v>
      </c>
      <c r="K53" s="253">
        <v>0</v>
      </c>
      <c r="L53" s="253">
        <v>0</v>
      </c>
      <c r="M53" s="253">
        <v>0</v>
      </c>
      <c r="N53" s="253">
        <v>0</v>
      </c>
      <c r="O53" s="253">
        <v>0</v>
      </c>
      <c r="P53" s="253">
        <v>0</v>
      </c>
      <c r="Q53" s="253">
        <v>0</v>
      </c>
      <c r="R53" s="253">
        <v>0</v>
      </c>
      <c r="S53" s="253">
        <v>0</v>
      </c>
      <c r="T53" s="253">
        <v>0</v>
      </c>
      <c r="U53" s="253" t="s">
        <v>688</v>
      </c>
      <c r="V53" s="7"/>
      <c r="W53" s="25">
        <v>0.13714113159081304</v>
      </c>
    </row>
    <row r="54" spans="2:23">
      <c r="B54" s="218" t="str">
        <f>MLIST!D54</f>
        <v>VRF-New</v>
      </c>
      <c r="C54" s="267">
        <v>0.02</v>
      </c>
      <c r="D54" s="267">
        <v>0.02</v>
      </c>
      <c r="E54" s="267">
        <v>0.02</v>
      </c>
      <c r="F54" s="267">
        <v>0.02</v>
      </c>
      <c r="G54" s="267">
        <v>0.02</v>
      </c>
      <c r="H54" s="267">
        <v>0.02</v>
      </c>
      <c r="I54" s="267">
        <v>0.02</v>
      </c>
      <c r="J54" s="267">
        <v>0.02</v>
      </c>
      <c r="K54" s="267">
        <v>0.02</v>
      </c>
      <c r="L54" s="267">
        <v>0.02</v>
      </c>
      <c r="M54" s="267">
        <v>0.02</v>
      </c>
      <c r="N54" s="267">
        <v>0.02</v>
      </c>
      <c r="O54" s="267">
        <v>0.02</v>
      </c>
      <c r="P54" s="267">
        <v>0.02</v>
      </c>
      <c r="Q54" s="267">
        <v>0.02</v>
      </c>
      <c r="R54" s="267">
        <v>0.02</v>
      </c>
      <c r="S54" s="267">
        <v>0.02</v>
      </c>
      <c r="T54" s="267">
        <v>0.02</v>
      </c>
      <c r="U54" s="253" t="s">
        <v>688</v>
      </c>
      <c r="V54" s="278" t="s">
        <v>871</v>
      </c>
      <c r="W54" s="25">
        <v>3.8125362646436782E-2</v>
      </c>
    </row>
    <row r="55" spans="2:23">
      <c r="B55" s="218" t="str">
        <f>MLIST!D55</f>
        <v>VRF-Retro</v>
      </c>
      <c r="C55" s="267">
        <v>0</v>
      </c>
      <c r="D55" s="267">
        <v>0</v>
      </c>
      <c r="E55" s="267">
        <v>0</v>
      </c>
      <c r="F55" s="267">
        <v>0</v>
      </c>
      <c r="G55" s="267">
        <v>0</v>
      </c>
      <c r="H55" s="267">
        <v>0</v>
      </c>
      <c r="I55" s="267">
        <v>0</v>
      </c>
      <c r="J55" s="267">
        <v>0</v>
      </c>
      <c r="K55" s="267">
        <v>0</v>
      </c>
      <c r="L55" s="267">
        <v>0</v>
      </c>
      <c r="M55" s="267">
        <v>0</v>
      </c>
      <c r="N55" s="267">
        <v>0</v>
      </c>
      <c r="O55" s="267">
        <v>0</v>
      </c>
      <c r="P55" s="267">
        <v>0</v>
      </c>
      <c r="Q55" s="267">
        <v>0</v>
      </c>
      <c r="R55" s="267">
        <v>0</v>
      </c>
      <c r="S55" s="267">
        <v>0</v>
      </c>
      <c r="T55" s="267">
        <v>0</v>
      </c>
      <c r="U55" s="253" t="s">
        <v>688</v>
      </c>
      <c r="V55" s="7"/>
      <c r="W55" s="25">
        <v>0.13622896031789924</v>
      </c>
    </row>
    <row r="56" spans="2:23">
      <c r="B56" s="415" t="str">
        <f>MLIST!D56</f>
        <v>Evaporator Roof Top HVAC-Retro</v>
      </c>
      <c r="C56" s="253">
        <v>0</v>
      </c>
      <c r="D56" s="253">
        <v>0</v>
      </c>
      <c r="E56" s="253">
        <v>0</v>
      </c>
      <c r="F56" s="253">
        <v>0</v>
      </c>
      <c r="G56" s="253">
        <v>0</v>
      </c>
      <c r="H56" s="253">
        <v>0</v>
      </c>
      <c r="I56" s="253">
        <v>0</v>
      </c>
      <c r="J56" s="253">
        <v>0</v>
      </c>
      <c r="K56" s="253">
        <v>0</v>
      </c>
      <c r="L56" s="253">
        <v>0</v>
      </c>
      <c r="M56" s="253">
        <v>0</v>
      </c>
      <c r="N56" s="253">
        <v>0</v>
      </c>
      <c r="O56" s="253">
        <v>0</v>
      </c>
      <c r="P56" s="253">
        <v>0</v>
      </c>
      <c r="Q56" s="253">
        <v>0</v>
      </c>
      <c r="R56" s="253">
        <v>0</v>
      </c>
      <c r="S56" s="253">
        <v>0</v>
      </c>
      <c r="T56" s="253">
        <v>0</v>
      </c>
      <c r="U56" s="253" t="s">
        <v>688</v>
      </c>
      <c r="V56" s="7"/>
      <c r="W56" s="25">
        <v>9.2381299117502383E-2</v>
      </c>
    </row>
    <row r="57" spans="2:23">
      <c r="B57" t="str">
        <f>MLIST!D57</f>
        <v>Secondary Glazing Systems-Retro</v>
      </c>
      <c r="C57" s="518">
        <v>0</v>
      </c>
      <c r="D57" s="518">
        <v>0</v>
      </c>
      <c r="E57" s="518">
        <v>0</v>
      </c>
      <c r="F57" s="518">
        <v>0</v>
      </c>
      <c r="G57" s="518">
        <v>0</v>
      </c>
      <c r="H57" s="518">
        <v>0</v>
      </c>
      <c r="I57" s="518">
        <v>0</v>
      </c>
      <c r="J57" s="518">
        <v>0</v>
      </c>
      <c r="K57" s="518">
        <v>0</v>
      </c>
      <c r="L57" s="518">
        <v>0</v>
      </c>
      <c r="M57" s="518">
        <v>0</v>
      </c>
      <c r="N57" s="518">
        <v>0</v>
      </c>
      <c r="O57" s="518">
        <v>0</v>
      </c>
      <c r="P57" s="518">
        <v>0</v>
      </c>
      <c r="Q57" s="518">
        <v>0</v>
      </c>
      <c r="R57" s="518">
        <v>0</v>
      </c>
      <c r="S57" s="518">
        <v>0</v>
      </c>
      <c r="T57" s="518">
        <v>0</v>
      </c>
      <c r="U57" s="518">
        <v>0</v>
      </c>
      <c r="V57" s="278" t="s">
        <v>855</v>
      </c>
      <c r="W57" s="25">
        <v>0.22458868903269982</v>
      </c>
    </row>
    <row r="58" spans="2:23">
      <c r="B58" t="str">
        <f>MLIST!D58</f>
        <v>LPD Package-New</v>
      </c>
      <c r="C58" s="518">
        <v>0</v>
      </c>
      <c r="D58" s="518">
        <v>0</v>
      </c>
      <c r="E58" s="518">
        <v>0</v>
      </c>
      <c r="F58" s="518">
        <v>0</v>
      </c>
      <c r="G58" s="518">
        <v>0</v>
      </c>
      <c r="H58" s="518">
        <v>0</v>
      </c>
      <c r="I58" s="518">
        <v>0</v>
      </c>
      <c r="J58" s="518">
        <v>0</v>
      </c>
      <c r="K58" s="518">
        <v>0</v>
      </c>
      <c r="L58" s="518">
        <v>0</v>
      </c>
      <c r="M58" s="518">
        <v>0</v>
      </c>
      <c r="N58" s="518">
        <v>0</v>
      </c>
      <c r="O58" s="518">
        <v>0</v>
      </c>
      <c r="P58" s="518">
        <v>0</v>
      </c>
      <c r="Q58" s="518">
        <v>0</v>
      </c>
      <c r="R58" s="518">
        <v>0</v>
      </c>
      <c r="S58" s="518">
        <v>0</v>
      </c>
      <c r="T58" s="518">
        <v>0</v>
      </c>
      <c r="U58" s="518">
        <v>0</v>
      </c>
      <c r="V58" s="278" t="s">
        <v>855</v>
      </c>
      <c r="W58" s="25">
        <v>0.27868917229328594</v>
      </c>
    </row>
    <row r="59" spans="2:23">
      <c r="B59" s="415" t="str">
        <f>MLIST!D59</f>
        <v>LPD Package-NR</v>
      </c>
      <c r="C59" s="518">
        <v>0</v>
      </c>
      <c r="D59" s="518">
        <v>0</v>
      </c>
      <c r="E59" s="518">
        <v>0</v>
      </c>
      <c r="F59" s="518">
        <v>0</v>
      </c>
      <c r="G59" s="518">
        <v>0</v>
      </c>
      <c r="H59" s="518">
        <v>0</v>
      </c>
      <c r="I59" s="518">
        <v>0</v>
      </c>
      <c r="J59" s="518">
        <v>0</v>
      </c>
      <c r="K59" s="518">
        <v>0</v>
      </c>
      <c r="L59" s="518">
        <v>0</v>
      </c>
      <c r="M59" s="518">
        <v>0</v>
      </c>
      <c r="N59" s="518">
        <v>0</v>
      </c>
      <c r="O59" s="518">
        <v>0</v>
      </c>
      <c r="P59" s="518">
        <v>0</v>
      </c>
      <c r="Q59" s="518">
        <v>0</v>
      </c>
      <c r="R59" s="518">
        <v>0</v>
      </c>
      <c r="S59" s="518">
        <v>0</v>
      </c>
      <c r="T59" s="518">
        <v>0</v>
      </c>
      <c r="U59" s="518">
        <v>0</v>
      </c>
      <c r="V59" s="278" t="s">
        <v>855</v>
      </c>
      <c r="W59" s="7">
        <v>0.22300715162221316</v>
      </c>
    </row>
    <row r="60" spans="2:23">
      <c r="B60" s="415" t="str">
        <f>MLIST!D60</f>
        <v>LPD Package-Retro</v>
      </c>
      <c r="C60" s="518">
        <v>0</v>
      </c>
      <c r="D60" s="518">
        <v>0</v>
      </c>
      <c r="E60" s="518">
        <v>0</v>
      </c>
      <c r="F60" s="518">
        <v>0</v>
      </c>
      <c r="G60" s="518">
        <v>0</v>
      </c>
      <c r="H60" s="518">
        <v>0</v>
      </c>
      <c r="I60" s="518">
        <v>0</v>
      </c>
      <c r="J60" s="518">
        <v>0</v>
      </c>
      <c r="K60" s="518">
        <v>0</v>
      </c>
      <c r="L60" s="518">
        <v>0</v>
      </c>
      <c r="M60" s="518">
        <v>0</v>
      </c>
      <c r="N60" s="518">
        <v>0</v>
      </c>
      <c r="O60" s="518">
        <v>0</v>
      </c>
      <c r="P60" s="518">
        <v>0</v>
      </c>
      <c r="Q60" s="518">
        <v>0</v>
      </c>
      <c r="R60" s="518">
        <v>0</v>
      </c>
      <c r="S60" s="518">
        <v>0</v>
      </c>
      <c r="T60" s="518">
        <v>0</v>
      </c>
      <c r="U60" s="518">
        <v>0</v>
      </c>
      <c r="V60" s="278" t="s">
        <v>855</v>
      </c>
      <c r="W60" s="7">
        <v>0.3265989178858158</v>
      </c>
    </row>
    <row r="61" spans="2:23">
      <c r="B61" s="415" t="str">
        <f>MLIST!D61</f>
        <v>Top Daylighting-New</v>
      </c>
      <c r="C61" s="253">
        <v>0</v>
      </c>
      <c r="D61" s="253">
        <v>0.02</v>
      </c>
      <c r="E61" s="253">
        <v>0.03</v>
      </c>
      <c r="F61" s="253">
        <v>0.3</v>
      </c>
      <c r="G61" s="253">
        <v>0.1</v>
      </c>
      <c r="H61" s="253">
        <v>0</v>
      </c>
      <c r="I61" s="253">
        <v>0</v>
      </c>
      <c r="J61" s="253">
        <v>0.2</v>
      </c>
      <c r="K61" s="253">
        <v>0.1</v>
      </c>
      <c r="L61" s="253">
        <v>0.1</v>
      </c>
      <c r="M61" s="253">
        <v>0.1</v>
      </c>
      <c r="N61" s="253">
        <v>0</v>
      </c>
      <c r="O61" s="253">
        <v>0</v>
      </c>
      <c r="P61" s="253">
        <v>0</v>
      </c>
      <c r="Q61" s="253">
        <v>0</v>
      </c>
      <c r="R61" s="253">
        <v>0.02</v>
      </c>
      <c r="S61" s="253">
        <v>0</v>
      </c>
      <c r="T61" s="253">
        <v>0.02</v>
      </c>
      <c r="U61" s="253">
        <v>0</v>
      </c>
      <c r="V61" s="7"/>
      <c r="W61" s="7">
        <v>0.12181229468805803</v>
      </c>
    </row>
    <row r="62" spans="2:23">
      <c r="B62" t="str">
        <f>MLIST!D62</f>
        <v>Perimeter Daylighting Controls Advanced-New</v>
      </c>
      <c r="C62" s="253">
        <v>0.2</v>
      </c>
      <c r="D62" s="253">
        <v>0.2</v>
      </c>
      <c r="E62" s="253">
        <v>0.1</v>
      </c>
      <c r="F62" s="253">
        <v>0</v>
      </c>
      <c r="G62" s="253">
        <v>0</v>
      </c>
      <c r="H62" s="253">
        <v>0</v>
      </c>
      <c r="I62" s="253">
        <v>0</v>
      </c>
      <c r="J62" s="253">
        <v>0.7</v>
      </c>
      <c r="K62" s="253">
        <v>0.2</v>
      </c>
      <c r="L62" s="253">
        <v>0</v>
      </c>
      <c r="M62" s="253">
        <v>0</v>
      </c>
      <c r="N62" s="253">
        <v>0</v>
      </c>
      <c r="O62" s="253">
        <v>0</v>
      </c>
      <c r="P62" s="253">
        <v>0</v>
      </c>
      <c r="Q62" s="253">
        <v>0</v>
      </c>
      <c r="R62" s="253">
        <v>0.05</v>
      </c>
      <c r="S62" s="253">
        <v>0.05</v>
      </c>
      <c r="T62" s="253">
        <v>0.05</v>
      </c>
      <c r="U62" s="253">
        <v>0</v>
      </c>
      <c r="V62" s="7"/>
      <c r="W62" s="7">
        <v>0.17488641186800052</v>
      </c>
    </row>
    <row r="63" spans="2:23">
      <c r="B63" t="str">
        <f>MLIST!D63</f>
        <v>Perimeter Daylighting Controls Advanced-NR</v>
      </c>
      <c r="C63" s="253">
        <v>0.1</v>
      </c>
      <c r="D63" s="253">
        <v>0.1</v>
      </c>
      <c r="E63" s="253">
        <v>0.05</v>
      </c>
      <c r="F63" s="253">
        <v>0</v>
      </c>
      <c r="G63" s="253">
        <v>0</v>
      </c>
      <c r="H63" s="253">
        <v>0</v>
      </c>
      <c r="I63" s="253">
        <v>0</v>
      </c>
      <c r="J63" s="253">
        <v>0.3</v>
      </c>
      <c r="K63" s="253">
        <v>0.2</v>
      </c>
      <c r="L63" s="253">
        <v>0</v>
      </c>
      <c r="M63" s="253">
        <v>0</v>
      </c>
      <c r="N63" s="253">
        <v>0</v>
      </c>
      <c r="O63" s="253">
        <v>0</v>
      </c>
      <c r="P63" s="253">
        <v>0</v>
      </c>
      <c r="Q63" s="253">
        <v>0</v>
      </c>
      <c r="R63" s="253">
        <v>0.05</v>
      </c>
      <c r="S63" s="253">
        <v>0.05</v>
      </c>
      <c r="T63" s="253">
        <v>0.05</v>
      </c>
      <c r="U63" s="253">
        <v>0</v>
      </c>
      <c r="V63" s="7"/>
      <c r="W63" s="7"/>
    </row>
    <row r="64" spans="2:23">
      <c r="B64" s="218" t="str">
        <f>MLIST!D64</f>
        <v>Lighting Controls Interior-New</v>
      </c>
      <c r="C64" s="253">
        <v>0.1</v>
      </c>
      <c r="D64" s="253">
        <v>0.05</v>
      </c>
      <c r="E64" s="253">
        <v>0.03</v>
      </c>
      <c r="F64" s="253">
        <v>0.7</v>
      </c>
      <c r="G64" s="253">
        <v>0.5</v>
      </c>
      <c r="H64" s="253">
        <v>0.3</v>
      </c>
      <c r="I64" s="253">
        <v>0.5</v>
      </c>
      <c r="J64" s="253">
        <v>0.2</v>
      </c>
      <c r="K64" s="253">
        <v>0.2</v>
      </c>
      <c r="L64" s="253">
        <v>0.2</v>
      </c>
      <c r="M64" s="253">
        <v>0.7</v>
      </c>
      <c r="N64" s="253">
        <v>0.5</v>
      </c>
      <c r="O64" s="253">
        <v>0.05</v>
      </c>
      <c r="P64" s="253">
        <v>0.05</v>
      </c>
      <c r="Q64" s="253">
        <v>0.2</v>
      </c>
      <c r="R64" s="253">
        <v>0.2</v>
      </c>
      <c r="S64" s="253">
        <v>0.1</v>
      </c>
      <c r="T64" s="253">
        <v>0.1</v>
      </c>
      <c r="U64" s="253">
        <v>0</v>
      </c>
      <c r="V64" s="7"/>
      <c r="W64" s="7"/>
    </row>
    <row r="65" spans="2:23">
      <c r="B65" s="415" t="str">
        <f>MLIST!D65</f>
        <v>Lighting Controls Interior-NR</v>
      </c>
      <c r="C65" s="253">
        <v>0.1</v>
      </c>
      <c r="D65" s="253">
        <v>0.05</v>
      </c>
      <c r="E65" s="253">
        <v>0.03</v>
      </c>
      <c r="F65" s="253">
        <v>0.5</v>
      </c>
      <c r="G65" s="253">
        <v>0.3</v>
      </c>
      <c r="H65" s="253">
        <v>0.2</v>
      </c>
      <c r="I65" s="253">
        <v>0.3</v>
      </c>
      <c r="J65" s="253">
        <v>0.2</v>
      </c>
      <c r="K65" s="253">
        <v>0.2</v>
      </c>
      <c r="L65" s="253">
        <v>0.1</v>
      </c>
      <c r="M65" s="253">
        <v>0.5</v>
      </c>
      <c r="N65" s="253">
        <v>0.3</v>
      </c>
      <c r="O65" s="253">
        <v>0.05</v>
      </c>
      <c r="P65" s="253">
        <v>0.05</v>
      </c>
      <c r="Q65" s="253">
        <v>0.1</v>
      </c>
      <c r="R65" s="253">
        <v>0.1</v>
      </c>
      <c r="S65" s="253">
        <v>0.1</v>
      </c>
      <c r="T65" s="253">
        <v>0.1</v>
      </c>
      <c r="U65" s="253">
        <v>0</v>
      </c>
      <c r="V65" s="7"/>
      <c r="W65" s="7"/>
    </row>
    <row r="66" spans="2:23">
      <c r="B66" t="str">
        <f>MLIST!D66</f>
        <v>Exterior Building Lighting-New</v>
      </c>
      <c r="C66" s="253">
        <v>0</v>
      </c>
      <c r="D66" s="253">
        <v>0</v>
      </c>
      <c r="E66" s="253">
        <v>0</v>
      </c>
      <c r="F66" s="253">
        <v>0</v>
      </c>
      <c r="G66" s="253">
        <v>0</v>
      </c>
      <c r="H66" s="253">
        <v>0</v>
      </c>
      <c r="I66" s="253">
        <v>0</v>
      </c>
      <c r="J66" s="253">
        <v>0</v>
      </c>
      <c r="K66" s="253">
        <v>0</v>
      </c>
      <c r="L66" s="253">
        <v>0</v>
      </c>
      <c r="M66" s="253">
        <v>0</v>
      </c>
      <c r="N66" s="253">
        <v>0</v>
      </c>
      <c r="O66" s="253">
        <v>0</v>
      </c>
      <c r="P66" s="253">
        <v>0</v>
      </c>
      <c r="Q66" s="253">
        <v>0</v>
      </c>
      <c r="R66" s="253">
        <v>0</v>
      </c>
      <c r="S66" s="253">
        <v>0</v>
      </c>
      <c r="T66" s="253">
        <v>0</v>
      </c>
      <c r="U66" s="253">
        <v>0</v>
      </c>
      <c r="V66" s="278" t="s">
        <v>836</v>
      </c>
      <c r="W66" s="7"/>
    </row>
    <row r="67" spans="2:23">
      <c r="B67" t="str">
        <f>MLIST!D67</f>
        <v>Exterior Building Lighting-NR</v>
      </c>
      <c r="C67" s="253">
        <v>0</v>
      </c>
      <c r="D67" s="253">
        <v>0</v>
      </c>
      <c r="E67" s="253">
        <v>0</v>
      </c>
      <c r="F67" s="253">
        <v>0</v>
      </c>
      <c r="G67" s="253">
        <v>0</v>
      </c>
      <c r="H67" s="253">
        <v>0</v>
      </c>
      <c r="I67" s="253">
        <v>0</v>
      </c>
      <c r="J67" s="253">
        <v>0</v>
      </c>
      <c r="K67" s="253">
        <v>0</v>
      </c>
      <c r="L67" s="253">
        <v>0</v>
      </c>
      <c r="M67" s="253">
        <v>0</v>
      </c>
      <c r="N67" s="253">
        <v>0</v>
      </c>
      <c r="O67" s="253">
        <v>0</v>
      </c>
      <c r="P67" s="253">
        <v>0</v>
      </c>
      <c r="Q67" s="253">
        <v>0</v>
      </c>
      <c r="R67" s="253">
        <v>0</v>
      </c>
      <c r="S67" s="253">
        <v>0</v>
      </c>
      <c r="T67" s="253">
        <v>0</v>
      </c>
      <c r="U67" s="253">
        <v>0</v>
      </c>
      <c r="V67" s="278" t="s">
        <v>836</v>
      </c>
      <c r="W67" s="7"/>
    </row>
    <row r="68" spans="2:23">
      <c r="B68" t="str">
        <f>MLIST!D68</f>
        <v>Street and Roadway Lighting-New</v>
      </c>
      <c r="C68" s="253">
        <v>0</v>
      </c>
      <c r="D68" s="253">
        <v>0</v>
      </c>
      <c r="E68" s="253">
        <v>0</v>
      </c>
      <c r="F68" s="253">
        <v>0</v>
      </c>
      <c r="G68" s="253">
        <v>0</v>
      </c>
      <c r="H68" s="253">
        <v>0</v>
      </c>
      <c r="I68" s="253">
        <v>0</v>
      </c>
      <c r="J68" s="253">
        <v>0</v>
      </c>
      <c r="K68" s="253">
        <v>0</v>
      </c>
      <c r="L68" s="253">
        <v>0</v>
      </c>
      <c r="M68" s="253">
        <v>0</v>
      </c>
      <c r="N68" s="253">
        <v>0</v>
      </c>
      <c r="O68" s="253">
        <v>0</v>
      </c>
      <c r="P68" s="253">
        <v>0</v>
      </c>
      <c r="Q68" s="253">
        <v>0</v>
      </c>
      <c r="R68" s="253">
        <v>0</v>
      </c>
      <c r="S68" s="253">
        <v>0</v>
      </c>
      <c r="T68" s="253">
        <v>0</v>
      </c>
      <c r="U68" s="253">
        <f>'[33]DOE2014 Sales Pen'!$AG$19</f>
        <v>0.4</v>
      </c>
      <c r="V68" s="278" t="s">
        <v>836</v>
      </c>
      <c r="W68" s="7"/>
    </row>
    <row r="69" spans="2:23">
      <c r="B69" t="str">
        <f>MLIST!D69</f>
        <v>Street and Roadway Lighting-NR</v>
      </c>
      <c r="C69" s="253">
        <v>0</v>
      </c>
      <c r="D69" s="253">
        <v>0</v>
      </c>
      <c r="E69" s="253">
        <v>0</v>
      </c>
      <c r="F69" s="253">
        <v>0</v>
      </c>
      <c r="G69" s="253">
        <v>0</v>
      </c>
      <c r="H69" s="253">
        <v>0</v>
      </c>
      <c r="I69" s="253">
        <v>0</v>
      </c>
      <c r="J69" s="253">
        <v>0</v>
      </c>
      <c r="K69" s="253">
        <v>0</v>
      </c>
      <c r="L69" s="253">
        <v>0</v>
      </c>
      <c r="M69" s="253">
        <v>0</v>
      </c>
      <c r="N69" s="253">
        <v>0</v>
      </c>
      <c r="O69" s="253">
        <v>0</v>
      </c>
      <c r="P69" s="253">
        <v>0</v>
      </c>
      <c r="Q69" s="253">
        <v>0</v>
      </c>
      <c r="R69" s="253">
        <v>0</v>
      </c>
      <c r="S69" s="253">
        <v>0</v>
      </c>
      <c r="T69" s="253">
        <v>0</v>
      </c>
      <c r="U69" s="253">
        <v>0</v>
      </c>
      <c r="V69" s="278" t="s">
        <v>836</v>
      </c>
      <c r="W69" s="7"/>
    </row>
    <row r="70" spans="2:23">
      <c r="B70" s="415" t="str">
        <f>MLIST!D70</f>
        <v>Parking Lighting-New</v>
      </c>
      <c r="C70" s="253">
        <v>0.2</v>
      </c>
      <c r="D70" s="253">
        <v>0.2</v>
      </c>
      <c r="E70" s="253">
        <v>0.2</v>
      </c>
      <c r="F70" s="253">
        <v>0.2</v>
      </c>
      <c r="G70" s="253">
        <v>0.2</v>
      </c>
      <c r="H70" s="253">
        <v>0.2</v>
      </c>
      <c r="I70" s="253">
        <v>0.2</v>
      </c>
      <c r="J70" s="253">
        <v>0.2</v>
      </c>
      <c r="K70" s="253">
        <v>0.2</v>
      </c>
      <c r="L70" s="253">
        <v>0.2</v>
      </c>
      <c r="M70" s="253">
        <v>0.2</v>
      </c>
      <c r="N70" s="253">
        <v>0.2</v>
      </c>
      <c r="O70" s="253">
        <v>0.2</v>
      </c>
      <c r="P70" s="253">
        <v>0.2</v>
      </c>
      <c r="Q70" s="253">
        <v>0.2</v>
      </c>
      <c r="R70" s="253">
        <v>0.2</v>
      </c>
      <c r="S70" s="253">
        <v>0.2</v>
      </c>
      <c r="T70" s="253">
        <v>0.2</v>
      </c>
      <c r="U70" s="253"/>
      <c r="V70" s="7"/>
      <c r="W70" s="7"/>
    </row>
    <row r="71" spans="2:23">
      <c r="B71" s="415" t="str">
        <f>MLIST!D71</f>
        <v>Parking Lighting-NR</v>
      </c>
      <c r="C71" s="253">
        <v>0.01</v>
      </c>
      <c r="D71" s="253">
        <v>0.01</v>
      </c>
      <c r="E71" s="253">
        <v>0.01</v>
      </c>
      <c r="F71" s="253">
        <v>0.01</v>
      </c>
      <c r="G71" s="253">
        <v>0.01</v>
      </c>
      <c r="H71" s="253">
        <v>0.01</v>
      </c>
      <c r="I71" s="253">
        <v>0.01</v>
      </c>
      <c r="J71" s="253">
        <v>0.01</v>
      </c>
      <c r="K71" s="253">
        <v>0.01</v>
      </c>
      <c r="L71" s="253">
        <v>0.01</v>
      </c>
      <c r="M71" s="253">
        <v>0.01</v>
      </c>
      <c r="N71" s="253">
        <v>0.01</v>
      </c>
      <c r="O71" s="253">
        <v>0.01</v>
      </c>
      <c r="P71" s="253">
        <v>0.01</v>
      </c>
      <c r="Q71" s="253">
        <v>0.01</v>
      </c>
      <c r="R71" s="253">
        <v>0.01</v>
      </c>
      <c r="S71" s="253">
        <v>0.01</v>
      </c>
      <c r="T71" s="253">
        <v>0.01</v>
      </c>
      <c r="U71" s="253">
        <v>0.01</v>
      </c>
      <c r="V71" s="7"/>
      <c r="W71" s="7"/>
    </row>
    <row r="72" spans="2:23">
      <c r="B72" t="str">
        <f>MLIST!D72</f>
        <v>Bi-Level Stairwell Lighting-NR</v>
      </c>
      <c r="C72" s="253">
        <v>0</v>
      </c>
      <c r="D72" s="253">
        <v>0</v>
      </c>
      <c r="E72" s="253">
        <v>0</v>
      </c>
      <c r="F72" s="253">
        <v>0</v>
      </c>
      <c r="G72" s="253">
        <v>0</v>
      </c>
      <c r="H72" s="253">
        <v>0</v>
      </c>
      <c r="I72" s="253">
        <v>0</v>
      </c>
      <c r="J72" s="253">
        <v>0</v>
      </c>
      <c r="K72" s="253">
        <v>0</v>
      </c>
      <c r="L72" s="253">
        <v>0</v>
      </c>
      <c r="M72" s="253">
        <v>0</v>
      </c>
      <c r="N72" s="253">
        <v>0</v>
      </c>
      <c r="O72" s="253">
        <v>0</v>
      </c>
      <c r="P72" s="253">
        <v>0</v>
      </c>
      <c r="Q72" s="253">
        <v>0</v>
      </c>
      <c r="R72" s="253">
        <v>0</v>
      </c>
      <c r="S72" s="253">
        <v>0</v>
      </c>
      <c r="T72" s="253">
        <v>0</v>
      </c>
      <c r="U72" s="253" t="s">
        <v>688</v>
      </c>
      <c r="V72" s="7"/>
      <c r="W72" s="7"/>
    </row>
    <row r="73" spans="2:23">
      <c r="B73" t="str">
        <f>MLIST!D73</f>
        <v>Low Power LF Lamps-NR</v>
      </c>
      <c r="C73" s="267">
        <v>0</v>
      </c>
      <c r="D73" s="267">
        <v>0</v>
      </c>
      <c r="E73" s="267">
        <v>0</v>
      </c>
      <c r="F73" s="267">
        <v>0</v>
      </c>
      <c r="G73" s="267">
        <v>0</v>
      </c>
      <c r="H73" s="267">
        <v>0</v>
      </c>
      <c r="I73" s="267">
        <v>0</v>
      </c>
      <c r="J73" s="267">
        <v>0</v>
      </c>
      <c r="K73" s="267">
        <v>0</v>
      </c>
      <c r="L73" s="267">
        <v>0</v>
      </c>
      <c r="M73" s="267">
        <v>0</v>
      </c>
      <c r="N73" s="267">
        <v>0</v>
      </c>
      <c r="O73" s="267">
        <v>0</v>
      </c>
      <c r="P73" s="267">
        <v>0</v>
      </c>
      <c r="Q73" s="267">
        <v>0</v>
      </c>
      <c r="R73" s="267">
        <v>0</v>
      </c>
      <c r="S73" s="267">
        <v>0</v>
      </c>
      <c r="T73" s="267">
        <v>0</v>
      </c>
      <c r="U73" s="25"/>
      <c r="V73" s="7" t="s">
        <v>958</v>
      </c>
      <c r="W73" s="7"/>
    </row>
    <row r="74" spans="2:23">
      <c r="B74" t="str">
        <f>MLIST!D74</f>
        <v>LEC Exit Sign-New</v>
      </c>
      <c r="C74" s="253"/>
      <c r="D74" s="253"/>
      <c r="E74" s="253"/>
      <c r="F74" s="253"/>
      <c r="G74" s="253"/>
      <c r="H74" s="253"/>
      <c r="I74" s="253"/>
      <c r="J74" s="253"/>
      <c r="K74" s="253"/>
      <c r="L74" s="253"/>
      <c r="M74" s="253"/>
      <c r="N74" s="253"/>
      <c r="O74" s="253"/>
      <c r="P74" s="253"/>
      <c r="Q74" s="253"/>
      <c r="R74" s="253"/>
      <c r="S74" s="253"/>
      <c r="T74" s="253"/>
      <c r="U74" s="253"/>
      <c r="V74" s="7"/>
      <c r="W74" s="7"/>
    </row>
    <row r="75" spans="2:23">
      <c r="B75" t="str">
        <f>MLIST!D75</f>
        <v>LEC Exit Sign-NR</v>
      </c>
    </row>
    <row r="76" spans="2:23">
      <c r="B76" t="str">
        <f>MLIST!D76</f>
        <v>ECM-VAV-New</v>
      </c>
      <c r="C76" s="267">
        <v>0.4</v>
      </c>
      <c r="D76" s="267">
        <v>0.3</v>
      </c>
      <c r="E76" s="267">
        <v>0.1</v>
      </c>
      <c r="F76" s="267">
        <v>0.1</v>
      </c>
      <c r="G76" s="267">
        <v>0.1</v>
      </c>
      <c r="H76" s="267">
        <v>0.1</v>
      </c>
      <c r="I76" s="267">
        <v>0.4</v>
      </c>
      <c r="J76" s="267">
        <v>0.1</v>
      </c>
      <c r="K76" s="267">
        <v>0.4</v>
      </c>
      <c r="L76" s="267">
        <v>0.1</v>
      </c>
      <c r="M76" s="267">
        <v>0.1</v>
      </c>
      <c r="N76" s="267">
        <v>0.1</v>
      </c>
      <c r="O76" s="267">
        <v>0.1</v>
      </c>
      <c r="P76" s="267">
        <v>0.1</v>
      </c>
      <c r="Q76" s="267">
        <v>0.4</v>
      </c>
      <c r="R76" s="267">
        <v>0.1</v>
      </c>
      <c r="S76" s="267">
        <v>0.1</v>
      </c>
      <c r="T76" s="267">
        <v>0.4</v>
      </c>
      <c r="U76" s="267">
        <v>0</v>
      </c>
      <c r="V76" s="7"/>
      <c r="W76" s="7"/>
    </row>
    <row r="77" spans="2:23">
      <c r="B77" t="str">
        <f>MLIST!D77</f>
        <v>ECM-VAV-NR</v>
      </c>
      <c r="C77" s="267">
        <v>0.2</v>
      </c>
      <c r="D77" s="267">
        <v>0.2</v>
      </c>
      <c r="E77" s="267">
        <v>0.1</v>
      </c>
      <c r="F77" s="267">
        <v>0.1</v>
      </c>
      <c r="G77" s="267">
        <v>0.1</v>
      </c>
      <c r="H77" s="267">
        <v>0.1</v>
      </c>
      <c r="I77" s="267">
        <v>0.2</v>
      </c>
      <c r="J77" s="267">
        <v>0.1</v>
      </c>
      <c r="K77" s="267">
        <v>0.2</v>
      </c>
      <c r="L77" s="267">
        <v>0.1</v>
      </c>
      <c r="M77" s="267">
        <v>0.1</v>
      </c>
      <c r="N77" s="267">
        <v>0.1</v>
      </c>
      <c r="O77" s="267">
        <v>0.1</v>
      </c>
      <c r="P77" s="267">
        <v>0.1</v>
      </c>
      <c r="Q77" s="267">
        <v>0.2</v>
      </c>
      <c r="R77" s="267">
        <v>0.1</v>
      </c>
      <c r="S77" s="267">
        <v>0.1</v>
      </c>
      <c r="T77" s="267">
        <v>0.2</v>
      </c>
      <c r="U77" s="267">
        <v>0</v>
      </c>
      <c r="V77" s="7"/>
      <c r="W77" s="7"/>
    </row>
    <row r="78" spans="2:23">
      <c r="B78" t="str">
        <f>MLIST!D78</f>
        <v>Pool pumps-Retro</v>
      </c>
      <c r="C78" s="253">
        <v>0</v>
      </c>
      <c r="D78" s="253">
        <v>0</v>
      </c>
      <c r="E78" s="253">
        <v>0</v>
      </c>
      <c r="F78" s="253">
        <v>0</v>
      </c>
      <c r="G78" s="253">
        <v>0</v>
      </c>
      <c r="H78" s="253">
        <v>0</v>
      </c>
      <c r="I78" s="253">
        <v>0</v>
      </c>
      <c r="J78" s="253">
        <v>0</v>
      </c>
      <c r="K78" s="253">
        <v>0</v>
      </c>
      <c r="L78" s="253">
        <v>0</v>
      </c>
      <c r="M78" s="253">
        <v>0</v>
      </c>
      <c r="N78" s="253">
        <v>0</v>
      </c>
      <c r="O78" s="253">
        <v>0</v>
      </c>
      <c r="P78" s="253">
        <v>0</v>
      </c>
      <c r="Q78" s="253">
        <v>0</v>
      </c>
      <c r="R78" s="253">
        <v>0</v>
      </c>
      <c r="S78" s="253">
        <v>0</v>
      </c>
      <c r="T78" s="253">
        <v>0</v>
      </c>
      <c r="U78" s="253" t="s">
        <v>688</v>
      </c>
      <c r="V78" s="7"/>
      <c r="W78" s="7"/>
    </row>
    <row r="79" spans="2:23">
      <c r="B79" t="str">
        <f>MLIST!D79</f>
        <v>MotorsRewind-New</v>
      </c>
      <c r="C79" s="253">
        <v>0</v>
      </c>
      <c r="D79" s="253">
        <v>0</v>
      </c>
      <c r="E79" s="253">
        <v>0</v>
      </c>
      <c r="F79" s="253">
        <v>0</v>
      </c>
      <c r="G79" s="253">
        <v>0</v>
      </c>
      <c r="H79" s="253">
        <v>0</v>
      </c>
      <c r="I79" s="253">
        <v>0</v>
      </c>
      <c r="J79" s="253">
        <v>0</v>
      </c>
      <c r="K79" s="253">
        <v>0</v>
      </c>
      <c r="L79" s="253">
        <v>0</v>
      </c>
      <c r="M79" s="253">
        <v>0</v>
      </c>
      <c r="N79" s="253">
        <v>0</v>
      </c>
      <c r="O79" s="253">
        <v>0</v>
      </c>
      <c r="P79" s="253">
        <v>0</v>
      </c>
      <c r="Q79" s="253">
        <v>0</v>
      </c>
      <c r="R79" s="253">
        <v>0</v>
      </c>
      <c r="S79" s="253">
        <v>0</v>
      </c>
      <c r="T79" s="253">
        <v>0</v>
      </c>
      <c r="U79" s="253" t="s">
        <v>688</v>
      </c>
      <c r="V79" s="7"/>
      <c r="W79" s="7"/>
    </row>
    <row r="80" spans="2:23">
      <c r="B80" t="str">
        <f>MLIST!D80</f>
        <v>MotorsRewind-NR</v>
      </c>
      <c r="C80" s="253">
        <v>0</v>
      </c>
      <c r="D80" s="253">
        <v>0</v>
      </c>
      <c r="E80" s="253">
        <v>0</v>
      </c>
      <c r="F80" s="253">
        <v>0</v>
      </c>
      <c r="G80" s="253">
        <v>0</v>
      </c>
      <c r="H80" s="253">
        <v>0</v>
      </c>
      <c r="I80" s="253">
        <v>0</v>
      </c>
      <c r="J80" s="253">
        <v>0</v>
      </c>
      <c r="K80" s="253">
        <v>0</v>
      </c>
      <c r="L80" s="253">
        <v>0</v>
      </c>
      <c r="M80" s="253">
        <v>0</v>
      </c>
      <c r="N80" s="253">
        <v>0</v>
      </c>
      <c r="O80" s="253">
        <v>0</v>
      </c>
      <c r="P80" s="253">
        <v>0</v>
      </c>
      <c r="Q80" s="253">
        <v>0</v>
      </c>
      <c r="R80" s="253">
        <v>0</v>
      </c>
      <c r="S80" s="253">
        <v>0</v>
      </c>
      <c r="T80" s="253">
        <v>0</v>
      </c>
      <c r="U80" s="253" t="s">
        <v>688</v>
      </c>
      <c r="V80" s="7"/>
      <c r="W80" s="7"/>
    </row>
    <row r="81" spans="2:23">
      <c r="B81" t="str">
        <f>MLIST!D81</f>
        <v>Municipal Sewage Treatment-Retro</v>
      </c>
      <c r="C81" s="267">
        <v>0</v>
      </c>
      <c r="D81" s="267">
        <v>0</v>
      </c>
      <c r="E81" s="267">
        <v>0</v>
      </c>
      <c r="F81" s="267">
        <v>0</v>
      </c>
      <c r="G81" s="267">
        <v>0</v>
      </c>
      <c r="H81" s="267">
        <v>0</v>
      </c>
      <c r="I81" s="267">
        <v>0</v>
      </c>
      <c r="J81" s="267">
        <v>0</v>
      </c>
      <c r="K81" s="267">
        <v>0</v>
      </c>
      <c r="L81" s="267">
        <v>0</v>
      </c>
      <c r="M81" s="267">
        <v>0</v>
      </c>
      <c r="N81" s="267">
        <v>0</v>
      </c>
      <c r="O81" s="267">
        <v>0</v>
      </c>
      <c r="P81" s="267">
        <v>0</v>
      </c>
      <c r="Q81" s="267">
        <v>0</v>
      </c>
      <c r="R81" s="267">
        <v>0</v>
      </c>
      <c r="S81" s="267">
        <v>0</v>
      </c>
      <c r="T81" s="267">
        <v>0</v>
      </c>
      <c r="U81" s="267">
        <v>0</v>
      </c>
      <c r="V81" s="278" t="s">
        <v>704</v>
      </c>
      <c r="W81" s="7"/>
    </row>
    <row r="82" spans="2:23">
      <c r="B82" t="str">
        <f>MLIST!D82</f>
        <v>Municipal Water Supply-Retro</v>
      </c>
      <c r="C82" s="267">
        <v>0</v>
      </c>
      <c r="D82" s="267">
        <v>0</v>
      </c>
      <c r="E82" s="267">
        <v>0</v>
      </c>
      <c r="F82" s="267">
        <v>0</v>
      </c>
      <c r="G82" s="267">
        <v>0</v>
      </c>
      <c r="H82" s="267">
        <v>0</v>
      </c>
      <c r="I82" s="267">
        <v>0</v>
      </c>
      <c r="J82" s="267">
        <v>0</v>
      </c>
      <c r="K82" s="267">
        <v>0</v>
      </c>
      <c r="L82" s="267">
        <v>0</v>
      </c>
      <c r="M82" s="267">
        <v>0</v>
      </c>
      <c r="N82" s="267">
        <v>0</v>
      </c>
      <c r="O82" s="267">
        <v>0</v>
      </c>
      <c r="P82" s="267">
        <v>0</v>
      </c>
      <c r="Q82" s="267">
        <v>0</v>
      </c>
      <c r="R82" s="267">
        <v>0</v>
      </c>
      <c r="S82" s="267">
        <v>0</v>
      </c>
      <c r="T82" s="267">
        <v>0</v>
      </c>
      <c r="U82" s="267">
        <v>0</v>
      </c>
      <c r="V82" s="278" t="s">
        <v>704</v>
      </c>
      <c r="W82" s="7"/>
    </row>
    <row r="83" spans="2:23">
      <c r="B83" t="str">
        <f>MLIST!D83</f>
        <v>Engine Generator Block Heaters-Retro</v>
      </c>
      <c r="C83" s="253">
        <v>0</v>
      </c>
      <c r="D83" s="253">
        <v>0</v>
      </c>
      <c r="E83" s="253">
        <v>0</v>
      </c>
      <c r="F83" s="253">
        <v>0</v>
      </c>
      <c r="G83" s="253">
        <v>0</v>
      </c>
      <c r="H83" s="253">
        <v>0</v>
      </c>
      <c r="I83" s="253">
        <v>0</v>
      </c>
      <c r="J83" s="253">
        <v>0</v>
      </c>
      <c r="K83" s="253">
        <v>0</v>
      </c>
      <c r="L83" s="253">
        <v>0</v>
      </c>
      <c r="M83" s="253">
        <v>0</v>
      </c>
      <c r="N83" s="253">
        <v>0</v>
      </c>
      <c r="O83" s="253">
        <v>0</v>
      </c>
      <c r="P83" s="253">
        <v>0</v>
      </c>
      <c r="Q83" s="253">
        <v>0</v>
      </c>
      <c r="R83" s="253">
        <v>0</v>
      </c>
      <c r="S83" s="253">
        <v>0</v>
      </c>
      <c r="T83" s="253">
        <v>0</v>
      </c>
      <c r="U83" s="253" t="s">
        <v>688</v>
      </c>
      <c r="V83" s="7"/>
      <c r="W83" s="7"/>
    </row>
    <row r="84" spans="2:23">
      <c r="B84" t="str">
        <f>MLIST!D84</f>
        <v>Grocery Refrigeration Bundle-Retro</v>
      </c>
      <c r="C84" s="253">
        <v>0</v>
      </c>
      <c r="D84" s="253">
        <v>0</v>
      </c>
      <c r="E84" s="253">
        <v>0</v>
      </c>
      <c r="F84" s="253">
        <v>0</v>
      </c>
      <c r="G84" s="253">
        <v>0</v>
      </c>
      <c r="H84" s="253">
        <v>0</v>
      </c>
      <c r="I84" s="253">
        <v>0</v>
      </c>
      <c r="J84" s="253">
        <v>0</v>
      </c>
      <c r="K84" s="253">
        <v>0</v>
      </c>
      <c r="L84" s="253">
        <v>0</v>
      </c>
      <c r="M84" s="253">
        <v>0</v>
      </c>
      <c r="N84" s="253">
        <v>0</v>
      </c>
      <c r="O84" s="253">
        <v>0</v>
      </c>
      <c r="P84" s="253">
        <v>0</v>
      </c>
      <c r="Q84" s="253">
        <v>0</v>
      </c>
      <c r="R84" s="253">
        <v>0</v>
      </c>
      <c r="S84" s="253">
        <v>0</v>
      </c>
      <c r="T84" s="253">
        <v>0</v>
      </c>
      <c r="U84" s="253">
        <v>0</v>
      </c>
      <c r="V84" s="7"/>
      <c r="W84" s="7"/>
    </row>
    <row r="85" spans="2:23">
      <c r="B85" t="str">
        <f>MLIST!D85</f>
        <v>Packaged Refrigeration Equipment-New</v>
      </c>
      <c r="C85" s="253">
        <v>0</v>
      </c>
      <c r="D85" s="253">
        <v>0</v>
      </c>
      <c r="E85" s="253">
        <v>0</v>
      </c>
      <c r="F85" s="253">
        <v>0</v>
      </c>
      <c r="G85" s="253">
        <v>0</v>
      </c>
      <c r="H85" s="253">
        <v>0</v>
      </c>
      <c r="I85" s="253">
        <v>0</v>
      </c>
      <c r="J85" s="253">
        <v>0</v>
      </c>
      <c r="K85" s="253">
        <v>0</v>
      </c>
      <c r="L85" s="253">
        <v>0</v>
      </c>
      <c r="M85" s="253">
        <v>0</v>
      </c>
      <c r="N85" s="253">
        <v>0</v>
      </c>
      <c r="O85" s="253">
        <v>0</v>
      </c>
      <c r="P85" s="253">
        <v>0</v>
      </c>
      <c r="Q85" s="253">
        <v>0</v>
      </c>
      <c r="R85" s="253">
        <v>0</v>
      </c>
      <c r="S85" s="253">
        <v>0</v>
      </c>
      <c r="T85" s="253">
        <v>0</v>
      </c>
      <c r="U85" s="253">
        <v>0.05</v>
      </c>
      <c r="V85" s="7"/>
      <c r="W85" s="7"/>
    </row>
    <row r="86" spans="2:23">
      <c r="B86" t="str">
        <f>MLIST!D86</f>
        <v>Appliances - Freezers-NR</v>
      </c>
      <c r="C86" s="253">
        <v>0</v>
      </c>
      <c r="D86" s="253">
        <v>0</v>
      </c>
      <c r="E86" s="253">
        <v>0</v>
      </c>
      <c r="F86" s="253">
        <v>0</v>
      </c>
      <c r="G86" s="253">
        <v>0</v>
      </c>
      <c r="H86" s="253">
        <v>0</v>
      </c>
      <c r="I86" s="253">
        <v>0</v>
      </c>
      <c r="J86" s="253">
        <v>0</v>
      </c>
      <c r="K86" s="253">
        <v>0</v>
      </c>
      <c r="L86" s="253">
        <v>0</v>
      </c>
      <c r="M86" s="253">
        <v>0</v>
      </c>
      <c r="N86" s="253">
        <v>0</v>
      </c>
      <c r="O86" s="253">
        <v>0</v>
      </c>
      <c r="P86" s="253">
        <v>0</v>
      </c>
      <c r="Q86" s="253">
        <v>0</v>
      </c>
      <c r="R86" s="253">
        <v>0</v>
      </c>
      <c r="S86" s="253">
        <v>0</v>
      </c>
      <c r="T86" s="253">
        <v>0</v>
      </c>
      <c r="U86" s="253" t="s">
        <v>688</v>
      </c>
      <c r="V86" s="7"/>
      <c r="W86" s="7"/>
    </row>
    <row r="87" spans="2:23">
      <c r="B87" s="415" t="str">
        <f>MLIST!D87</f>
        <v>Appliances - Refrigerators-NR</v>
      </c>
      <c r="C87" s="253">
        <v>0</v>
      </c>
      <c r="D87" s="253">
        <v>0</v>
      </c>
      <c r="E87" s="253">
        <v>0</v>
      </c>
      <c r="F87" s="253">
        <v>0</v>
      </c>
      <c r="G87" s="253">
        <v>0</v>
      </c>
      <c r="H87" s="253">
        <v>0</v>
      </c>
      <c r="I87" s="253">
        <v>0</v>
      </c>
      <c r="J87" s="253">
        <v>0</v>
      </c>
      <c r="K87" s="253">
        <v>0</v>
      </c>
      <c r="L87" s="253">
        <v>0</v>
      </c>
      <c r="M87" s="253">
        <v>0</v>
      </c>
      <c r="N87" s="253">
        <v>0</v>
      </c>
      <c r="O87" s="253">
        <v>0</v>
      </c>
      <c r="P87" s="253">
        <v>0</v>
      </c>
      <c r="Q87" s="253">
        <v>0</v>
      </c>
      <c r="R87" s="253">
        <v>0</v>
      </c>
      <c r="S87" s="253">
        <v>0</v>
      </c>
      <c r="T87" s="253">
        <v>0</v>
      </c>
      <c r="U87" s="253" t="s">
        <v>688</v>
      </c>
      <c r="V87" s="7"/>
      <c r="W87" s="7"/>
    </row>
    <row r="88" spans="2:23">
      <c r="B88" t="str">
        <f>MLIST!D88</f>
        <v>Water Cooler Controls-NR</v>
      </c>
      <c r="C88" s="518">
        <v>0</v>
      </c>
      <c r="D88" s="518">
        <v>0</v>
      </c>
      <c r="E88" s="518">
        <v>0</v>
      </c>
      <c r="F88" s="518">
        <v>0</v>
      </c>
      <c r="G88" s="518">
        <v>0</v>
      </c>
      <c r="H88" s="518">
        <v>0</v>
      </c>
      <c r="I88" s="518">
        <v>0</v>
      </c>
      <c r="J88" s="518">
        <v>0</v>
      </c>
      <c r="K88" s="518">
        <v>0</v>
      </c>
      <c r="L88" s="518">
        <v>0</v>
      </c>
      <c r="M88" s="518">
        <v>0</v>
      </c>
      <c r="N88" s="518">
        <v>0</v>
      </c>
      <c r="O88" s="518">
        <v>0</v>
      </c>
      <c r="P88" s="518">
        <v>0</v>
      </c>
      <c r="Q88" s="518">
        <v>0</v>
      </c>
      <c r="R88" s="518">
        <v>0</v>
      </c>
      <c r="S88" s="518">
        <v>0</v>
      </c>
      <c r="T88" s="518">
        <v>0</v>
      </c>
      <c r="U88" s="518">
        <v>0</v>
      </c>
      <c r="V88" s="278" t="s">
        <v>855</v>
      </c>
      <c r="W88" s="7"/>
    </row>
    <row r="89" spans="2:23" s="218" customFormat="1">
      <c r="B89" s="218" t="str">
        <f>MLIST!D89</f>
        <v>WHTanks-New</v>
      </c>
      <c r="C89" s="267">
        <v>0</v>
      </c>
      <c r="D89" s="267">
        <v>0</v>
      </c>
      <c r="E89" s="267">
        <v>0</v>
      </c>
      <c r="F89" s="267">
        <v>0</v>
      </c>
      <c r="G89" s="267">
        <v>0</v>
      </c>
      <c r="H89" s="267">
        <v>0</v>
      </c>
      <c r="I89" s="267">
        <v>0</v>
      </c>
      <c r="J89" s="267">
        <v>0</v>
      </c>
      <c r="K89" s="267">
        <v>0</v>
      </c>
      <c r="L89" s="267">
        <v>0</v>
      </c>
      <c r="M89" s="267">
        <v>0</v>
      </c>
      <c r="N89" s="267">
        <v>0</v>
      </c>
      <c r="O89" s="267">
        <v>0</v>
      </c>
      <c r="P89" s="267">
        <v>0</v>
      </c>
      <c r="Q89" s="267">
        <v>0</v>
      </c>
      <c r="R89" s="267">
        <v>0</v>
      </c>
      <c r="S89" s="267">
        <v>0</v>
      </c>
      <c r="T89" s="267">
        <v>0</v>
      </c>
      <c r="U89" s="267">
        <v>0.1</v>
      </c>
      <c r="V89" s="278"/>
      <c r="W89" s="278"/>
    </row>
    <row r="90" spans="2:23" s="218" customFormat="1">
      <c r="B90" s="218" t="str">
        <f>MLIST!D90</f>
        <v>WHTanks-NR</v>
      </c>
      <c r="C90" s="267">
        <v>0</v>
      </c>
      <c r="D90" s="267">
        <v>0</v>
      </c>
      <c r="E90" s="267">
        <v>0</v>
      </c>
      <c r="F90" s="267">
        <v>0</v>
      </c>
      <c r="G90" s="267">
        <v>0</v>
      </c>
      <c r="H90" s="267">
        <v>0</v>
      </c>
      <c r="I90" s="267">
        <v>0</v>
      </c>
      <c r="J90" s="267">
        <v>0</v>
      </c>
      <c r="K90" s="267">
        <v>0</v>
      </c>
      <c r="L90" s="267">
        <v>0</v>
      </c>
      <c r="M90" s="267">
        <v>0</v>
      </c>
      <c r="N90" s="267">
        <v>0</v>
      </c>
      <c r="O90" s="267">
        <v>0</v>
      </c>
      <c r="P90" s="267">
        <v>0</v>
      </c>
      <c r="Q90" s="267">
        <v>0</v>
      </c>
      <c r="R90" s="267">
        <v>0</v>
      </c>
      <c r="S90" s="267">
        <v>0</v>
      </c>
      <c r="T90" s="267">
        <v>0</v>
      </c>
      <c r="U90" s="267" t="s">
        <v>688</v>
      </c>
      <c r="V90" s="278"/>
      <c r="W90" s="278"/>
    </row>
    <row r="91" spans="2:23">
      <c r="B91" t="str">
        <f>MLIST!D91</f>
        <v>Appliances - Clothes Washers-NR</v>
      </c>
      <c r="C91" s="253">
        <v>0</v>
      </c>
      <c r="D91" s="253">
        <v>0</v>
      </c>
      <c r="E91" s="253">
        <v>0</v>
      </c>
      <c r="F91" s="253">
        <v>0</v>
      </c>
      <c r="G91" s="253">
        <v>0</v>
      </c>
      <c r="H91" s="253">
        <v>0</v>
      </c>
      <c r="I91" s="253">
        <v>0</v>
      </c>
      <c r="J91" s="253">
        <v>0</v>
      </c>
      <c r="K91" s="253">
        <v>0</v>
      </c>
      <c r="L91" s="253">
        <v>0</v>
      </c>
      <c r="M91" s="253">
        <v>0</v>
      </c>
      <c r="N91" s="253">
        <v>0</v>
      </c>
      <c r="O91" s="253">
        <v>0</v>
      </c>
      <c r="P91" s="253">
        <v>0</v>
      </c>
      <c r="Q91" s="253">
        <v>0</v>
      </c>
      <c r="R91" s="253">
        <v>0</v>
      </c>
      <c r="S91" s="253">
        <v>0</v>
      </c>
      <c r="T91" s="253">
        <v>0</v>
      </c>
      <c r="U91" s="253" t="s">
        <v>688</v>
      </c>
      <c r="V91" s="7"/>
      <c r="W91" s="7"/>
    </row>
    <row r="92" spans="2:23">
      <c r="B92" s="218" t="str">
        <f>MLIST!D92</f>
        <v>Showerheads-Retro</v>
      </c>
      <c r="C92" s="267">
        <v>0.2</v>
      </c>
      <c r="D92" s="267">
        <v>0.2</v>
      </c>
      <c r="E92" s="267">
        <v>0.2</v>
      </c>
      <c r="F92" s="267">
        <v>0.2</v>
      </c>
      <c r="G92" s="267">
        <v>0.2</v>
      </c>
      <c r="H92" s="267">
        <v>0.2</v>
      </c>
      <c r="I92" s="267">
        <v>0.2</v>
      </c>
      <c r="J92" s="267">
        <v>0.2</v>
      </c>
      <c r="K92" s="267">
        <v>0.2</v>
      </c>
      <c r="L92" s="267">
        <v>0.2</v>
      </c>
      <c r="M92" s="267">
        <v>0.2</v>
      </c>
      <c r="N92" s="267">
        <v>0.2</v>
      </c>
      <c r="O92" s="267">
        <v>0.2</v>
      </c>
      <c r="P92" s="267">
        <v>0.2</v>
      </c>
      <c r="Q92" s="267">
        <v>0.2</v>
      </c>
      <c r="R92" s="267">
        <v>0.2</v>
      </c>
      <c r="S92" s="267">
        <v>0.2</v>
      </c>
      <c r="T92" s="267">
        <v>0.2</v>
      </c>
      <c r="U92" s="253" t="s">
        <v>688</v>
      </c>
      <c r="V92" s="7"/>
      <c r="W92" s="7"/>
    </row>
    <row r="93" spans="2:23">
      <c r="B93" t="str">
        <f>MLIST!D93</f>
        <v>Water Heating - GFHX-New</v>
      </c>
      <c r="C93" s="253">
        <v>0</v>
      </c>
      <c r="D93" s="253">
        <v>0</v>
      </c>
      <c r="E93" s="253">
        <v>0</v>
      </c>
      <c r="F93" s="253">
        <v>0</v>
      </c>
      <c r="G93" s="253">
        <v>0</v>
      </c>
      <c r="H93" s="253">
        <v>0</v>
      </c>
      <c r="I93" s="253">
        <v>0</v>
      </c>
      <c r="J93" s="253">
        <v>0</v>
      </c>
      <c r="K93" s="253">
        <v>0</v>
      </c>
      <c r="L93" s="253">
        <v>0</v>
      </c>
      <c r="M93" s="253">
        <v>0</v>
      </c>
      <c r="N93" s="253">
        <v>0</v>
      </c>
      <c r="O93" s="253">
        <v>0</v>
      </c>
      <c r="P93" s="253">
        <v>0</v>
      </c>
      <c r="Q93" s="253">
        <v>0</v>
      </c>
      <c r="R93" s="253">
        <v>0</v>
      </c>
      <c r="S93" s="253">
        <v>0</v>
      </c>
      <c r="T93" s="253">
        <v>0</v>
      </c>
      <c r="U93" s="253" t="s">
        <v>688</v>
      </c>
      <c r="V93" s="7"/>
      <c r="W93" s="7"/>
    </row>
    <row r="94" spans="2:23">
      <c r="B94" s="415" t="str">
        <f>MLIST!D94</f>
        <v>Demand Control Circulating system DHW-Retro</v>
      </c>
      <c r="C94" s="253">
        <v>0</v>
      </c>
      <c r="D94" s="253">
        <v>0</v>
      </c>
      <c r="E94" s="253">
        <v>0</v>
      </c>
      <c r="F94" s="253">
        <v>0</v>
      </c>
      <c r="G94" s="253">
        <v>0</v>
      </c>
      <c r="H94" s="253">
        <v>0</v>
      </c>
      <c r="I94" s="253">
        <v>0</v>
      </c>
      <c r="J94" s="253">
        <v>0</v>
      </c>
      <c r="K94" s="253">
        <v>0</v>
      </c>
      <c r="L94" s="253">
        <v>0</v>
      </c>
      <c r="M94" s="253">
        <v>0</v>
      </c>
      <c r="N94" s="253">
        <v>0</v>
      </c>
      <c r="O94" s="253">
        <v>0</v>
      </c>
      <c r="P94" s="253">
        <v>0</v>
      </c>
      <c r="Q94" s="253">
        <v>0</v>
      </c>
      <c r="R94" s="253">
        <v>0</v>
      </c>
      <c r="S94" s="253">
        <v>0</v>
      </c>
      <c r="T94" s="253">
        <v>0</v>
      </c>
      <c r="U94" s="253" t="s">
        <v>688</v>
      </c>
      <c r="V94" s="7"/>
      <c r="W94" s="7"/>
    </row>
    <row r="95" spans="2:23">
      <c r="B95" t="str">
        <f>MLIST!D95</f>
        <v>Central HPWH MF-Retro</v>
      </c>
      <c r="C95" s="253">
        <v>0</v>
      </c>
      <c r="D95" s="253">
        <v>0</v>
      </c>
      <c r="E95" s="253">
        <v>0</v>
      </c>
      <c r="F95" s="253">
        <v>0</v>
      </c>
      <c r="G95" s="253">
        <v>0</v>
      </c>
      <c r="H95" s="253">
        <v>0</v>
      </c>
      <c r="I95" s="253">
        <v>0</v>
      </c>
      <c r="J95" s="253">
        <v>0</v>
      </c>
      <c r="K95" s="253">
        <v>0</v>
      </c>
      <c r="L95" s="253">
        <v>0</v>
      </c>
      <c r="M95" s="253">
        <v>0</v>
      </c>
      <c r="N95" s="253">
        <v>0</v>
      </c>
      <c r="O95" s="253">
        <v>0</v>
      </c>
      <c r="P95" s="253">
        <v>0</v>
      </c>
      <c r="Q95" s="253">
        <v>0</v>
      </c>
      <c r="R95" s="253">
        <v>0</v>
      </c>
      <c r="S95" s="253">
        <v>0</v>
      </c>
      <c r="T95" s="253">
        <v>0</v>
      </c>
      <c r="U95" s="253" t="s">
        <v>688</v>
      </c>
      <c r="V95" s="7"/>
      <c r="W95" s="7"/>
    </row>
    <row r="96" spans="2:23">
      <c r="B96" t="str">
        <f>MLIST!D96</f>
        <v>Ultra Low Energy Building-New</v>
      </c>
      <c r="C96" s="253">
        <v>0.08</v>
      </c>
      <c r="D96" s="253">
        <v>0.04</v>
      </c>
      <c r="E96" s="253">
        <v>0</v>
      </c>
      <c r="F96" s="253">
        <v>0.08</v>
      </c>
      <c r="G96" s="253">
        <v>0</v>
      </c>
      <c r="H96" s="253">
        <v>0</v>
      </c>
      <c r="I96" s="253">
        <v>0.02</v>
      </c>
      <c r="J96" s="253">
        <v>0.3</v>
      </c>
      <c r="K96" s="253">
        <v>0.15</v>
      </c>
      <c r="L96" s="253">
        <v>0</v>
      </c>
      <c r="M96" s="253">
        <v>0</v>
      </c>
      <c r="N96" s="253">
        <v>0</v>
      </c>
      <c r="O96" s="253">
        <v>0</v>
      </c>
      <c r="P96" s="253">
        <v>0.02</v>
      </c>
      <c r="Q96" s="253">
        <v>0.1</v>
      </c>
      <c r="R96" s="253">
        <v>0.05</v>
      </c>
      <c r="S96" s="253">
        <v>0.02</v>
      </c>
      <c r="T96" s="253">
        <v>0.02</v>
      </c>
      <c r="U96" s="253">
        <v>0</v>
      </c>
      <c r="V96" s="7"/>
      <c r="W96" s="7"/>
    </row>
    <row r="98" spans="2:23">
      <c r="B98" s="415"/>
      <c r="C98" s="7"/>
      <c r="D98" s="7"/>
      <c r="E98" s="7"/>
      <c r="F98" s="7"/>
      <c r="G98" s="7"/>
      <c r="H98" s="7"/>
      <c r="I98" s="7"/>
      <c r="J98" s="7"/>
      <c r="K98" s="7"/>
      <c r="L98" s="7"/>
      <c r="M98" s="7"/>
      <c r="N98" s="7"/>
      <c r="O98" s="7"/>
      <c r="P98" s="7"/>
      <c r="Q98" s="7"/>
      <c r="R98" s="7"/>
      <c r="S98" s="7"/>
      <c r="T98" s="7"/>
      <c r="U98" s="221"/>
      <c r="V98" s="7"/>
      <c r="W98" s="7"/>
    </row>
    <row r="99" spans="2:23">
      <c r="C99" s="7"/>
      <c r="D99" s="7"/>
      <c r="E99" s="7"/>
      <c r="F99" s="7"/>
      <c r="G99" s="7"/>
      <c r="H99" s="7"/>
      <c r="I99" s="7"/>
      <c r="J99" s="7"/>
      <c r="K99" s="7"/>
      <c r="L99" s="7"/>
      <c r="M99" s="7"/>
      <c r="N99" s="7"/>
      <c r="O99" s="7"/>
      <c r="P99" s="7"/>
      <c r="Q99" s="7"/>
      <c r="R99" s="7"/>
      <c r="S99" s="7"/>
      <c r="T99" s="7"/>
      <c r="U99" s="221"/>
      <c r="V99" s="7"/>
      <c r="W99" s="7"/>
    </row>
    <row r="100" spans="2:23">
      <c r="C100" s="7"/>
      <c r="D100" s="7"/>
      <c r="E100" s="7"/>
      <c r="F100" s="7"/>
      <c r="G100" s="7"/>
      <c r="H100" s="7"/>
      <c r="I100" s="7"/>
      <c r="J100" s="7"/>
      <c r="K100" s="7"/>
      <c r="L100" s="7"/>
      <c r="M100" s="7"/>
      <c r="N100" s="7"/>
      <c r="O100" s="7"/>
      <c r="P100" s="7"/>
      <c r="Q100" s="7"/>
      <c r="R100" s="7"/>
      <c r="S100" s="7"/>
      <c r="T100" s="7"/>
      <c r="U100" s="221"/>
      <c r="V100" s="7"/>
      <c r="W100" s="7"/>
    </row>
    <row r="101" spans="2:23">
      <c r="C101" s="7"/>
      <c r="D101" s="7"/>
      <c r="E101" s="7"/>
      <c r="F101" s="7"/>
      <c r="G101" s="7"/>
      <c r="H101" s="7"/>
      <c r="I101" s="7"/>
      <c r="J101" s="7"/>
      <c r="K101" s="7"/>
      <c r="L101" s="7"/>
      <c r="M101" s="7"/>
      <c r="N101" s="7"/>
      <c r="O101" s="7"/>
      <c r="P101" s="7"/>
      <c r="Q101" s="7"/>
      <c r="R101" s="7"/>
      <c r="S101" s="7"/>
      <c r="T101" s="7"/>
      <c r="U101" s="221"/>
      <c r="V101" s="7"/>
      <c r="W101" s="7"/>
    </row>
    <row r="102" spans="2:23">
      <c r="B102" s="415"/>
      <c r="C102" s="7"/>
      <c r="D102" s="7"/>
      <c r="E102" s="7"/>
      <c r="F102" s="7"/>
      <c r="G102" s="7"/>
      <c r="H102" s="7"/>
      <c r="I102" s="7"/>
      <c r="J102" s="7"/>
      <c r="K102" s="7"/>
      <c r="L102" s="7"/>
      <c r="M102" s="7"/>
      <c r="N102" s="7"/>
      <c r="O102" s="7"/>
      <c r="P102" s="7"/>
      <c r="Q102" s="7"/>
      <c r="R102" s="7"/>
      <c r="S102" s="7"/>
      <c r="T102" s="7"/>
      <c r="U102" s="221"/>
      <c r="V102" s="7"/>
      <c r="W102" s="7"/>
    </row>
    <row r="103" spans="2:23">
      <c r="B103" s="415"/>
      <c r="C103" s="7"/>
      <c r="D103" s="7"/>
      <c r="E103" s="7"/>
      <c r="F103" s="7"/>
      <c r="G103" s="7"/>
      <c r="H103" s="7"/>
      <c r="I103" s="7"/>
      <c r="J103" s="7"/>
      <c r="K103" s="7"/>
      <c r="L103" s="7"/>
      <c r="M103" s="7"/>
      <c r="N103" s="7"/>
      <c r="O103" s="7"/>
      <c r="P103" s="7"/>
      <c r="Q103" s="7"/>
      <c r="R103" s="7"/>
      <c r="S103" s="7"/>
      <c r="T103" s="7"/>
      <c r="U103" s="221"/>
      <c r="V103" s="7"/>
      <c r="W103" s="7"/>
    </row>
    <row r="104" spans="2:23">
      <c r="B104" s="415"/>
      <c r="C104" s="7"/>
      <c r="D104" s="7"/>
      <c r="E104" s="7"/>
      <c r="F104" s="7"/>
      <c r="G104" s="7"/>
      <c r="H104" s="7"/>
      <c r="I104" s="7"/>
      <c r="J104" s="7"/>
      <c r="K104" s="7"/>
      <c r="L104" s="7"/>
      <c r="M104" s="7"/>
      <c r="N104" s="7"/>
      <c r="O104" s="7"/>
      <c r="P104" s="7"/>
      <c r="Q104" s="7"/>
      <c r="R104" s="7"/>
      <c r="S104" s="7"/>
      <c r="T104" s="7"/>
      <c r="U104" s="221"/>
      <c r="V104" s="7"/>
      <c r="W104" s="7"/>
    </row>
    <row r="105" spans="2:23">
      <c r="C105" s="7"/>
      <c r="D105" s="7"/>
      <c r="E105" s="7"/>
      <c r="F105" s="7"/>
      <c r="G105" s="7"/>
      <c r="H105" s="7"/>
      <c r="I105" s="7"/>
      <c r="J105" s="7"/>
      <c r="K105" s="7"/>
      <c r="L105" s="7"/>
      <c r="M105" s="7"/>
      <c r="N105" s="7"/>
      <c r="O105" s="7"/>
      <c r="P105" s="7"/>
      <c r="Q105" s="7"/>
      <c r="R105" s="7"/>
      <c r="S105" s="7"/>
      <c r="T105" s="7"/>
      <c r="U105" s="25"/>
      <c r="V105" s="7"/>
      <c r="W105" s="7"/>
    </row>
    <row r="106" spans="2:23">
      <c r="C106" s="7"/>
      <c r="D106" s="7"/>
      <c r="E106" s="7"/>
      <c r="F106" s="7"/>
      <c r="G106" s="7"/>
      <c r="H106" s="7"/>
      <c r="I106" s="7"/>
      <c r="J106" s="7"/>
      <c r="K106" s="7"/>
      <c r="L106" s="7"/>
      <c r="M106" s="7"/>
      <c r="N106" s="7"/>
      <c r="O106" s="7"/>
      <c r="P106" s="7"/>
      <c r="Q106" s="7"/>
      <c r="R106" s="7"/>
      <c r="S106" s="7"/>
      <c r="T106" s="7"/>
      <c r="U106" s="7"/>
    </row>
  </sheetData>
  <mergeCells count="5">
    <mergeCell ref="Q10:R10"/>
    <mergeCell ref="C10:E10"/>
    <mergeCell ref="F10:I10"/>
    <mergeCell ref="J10:K10"/>
    <mergeCell ref="M10:N10"/>
  </mergeCells>
  <phoneticPr fontId="0" type="noConversion"/>
  <pageMargins left="0.75" right="0.75" top="1" bottom="1" header="0.5" footer="0.5"/>
  <headerFooter alignWithMargins="0"/>
  <legacyDrawing r:id="rId1"/>
</worksheet>
</file>

<file path=xl/worksheets/sheet6.xml><?xml version="1.0" encoding="utf-8"?>
<worksheet xmlns="http://schemas.openxmlformats.org/spreadsheetml/2006/main" xmlns:r="http://schemas.openxmlformats.org/officeDocument/2006/relationships">
  <sheetPr codeName="Sheet2" enableFormatConditionsCalculation="0">
    <tabColor indexed="43"/>
  </sheetPr>
  <dimension ref="A1:Y113"/>
  <sheetViews>
    <sheetView topLeftCell="B1" workbookViewId="0">
      <pane xSplit="1" ySplit="11" topLeftCell="C42" activePane="bottomRight" state="frozen"/>
      <selection activeCell="B72" sqref="B72:B74"/>
      <selection pane="topRight" activeCell="B72" sqref="B72:B74"/>
      <selection pane="bottomLeft" activeCell="B72" sqref="B72:B74"/>
      <selection pane="bottomRight" activeCell="W73" sqref="W73:W74"/>
    </sheetView>
  </sheetViews>
  <sheetFormatPr defaultRowHeight="12.75"/>
  <cols>
    <col min="1" max="1" width="15" customWidth="1"/>
    <col min="2" max="2" width="43.5703125" customWidth="1"/>
    <col min="3" max="20" width="10.28515625" customWidth="1"/>
    <col min="21" max="21" width="19.42578125" customWidth="1"/>
    <col min="23" max="23" width="21.7109375" customWidth="1"/>
  </cols>
  <sheetData>
    <row r="1" spans="1:25">
      <c r="A1" t="s">
        <v>376</v>
      </c>
      <c r="B1" s="222" t="s">
        <v>128</v>
      </c>
      <c r="C1" s="222"/>
      <c r="D1" s="222"/>
      <c r="E1" s="222"/>
    </row>
    <row r="2" spans="1:25">
      <c r="B2" s="222"/>
      <c r="C2" s="222"/>
      <c r="D2" s="222"/>
      <c r="E2" s="222"/>
    </row>
    <row r="4" spans="1:25">
      <c r="B4" s="219" t="s">
        <v>686</v>
      </c>
    </row>
    <row r="10" spans="1:25">
      <c r="A10" s="3"/>
      <c r="B10" s="246"/>
      <c r="C10" s="551" t="s">
        <v>256</v>
      </c>
      <c r="D10" s="551"/>
      <c r="E10" s="551"/>
      <c r="F10" s="551" t="s">
        <v>261</v>
      </c>
      <c r="G10" s="551"/>
      <c r="H10" s="551"/>
      <c r="I10" s="551"/>
      <c r="J10" s="551" t="s">
        <v>262</v>
      </c>
      <c r="K10" s="551"/>
      <c r="L10" s="246" t="s">
        <v>264</v>
      </c>
      <c r="M10" s="551" t="s">
        <v>265</v>
      </c>
      <c r="N10" s="551"/>
      <c r="O10" s="246" t="s">
        <v>266</v>
      </c>
      <c r="P10" s="246" t="s">
        <v>267</v>
      </c>
      <c r="Q10" s="551" t="s">
        <v>270</v>
      </c>
      <c r="R10" s="551"/>
      <c r="S10" s="348" t="str">
        <f ca="1">S11</f>
        <v>Assembly</v>
      </c>
      <c r="T10" s="246" t="str">
        <f ca="1">T11</f>
        <v>Other</v>
      </c>
      <c r="U10" s="246"/>
    </row>
    <row r="11" spans="1:25">
      <c r="A11" s="3" t="s">
        <v>111</v>
      </c>
      <c r="B11" s="246" t="s">
        <v>284</v>
      </c>
      <c r="C11" s="246" t="str">
        <f ca="1">BASE!C11</f>
        <v>Large Off</v>
      </c>
      <c r="D11" s="246" t="str">
        <f ca="1">BASE!D11</f>
        <v>Medium Off</v>
      </c>
      <c r="E11" s="246" t="str">
        <f ca="1">BASE!E11</f>
        <v>Small Off</v>
      </c>
      <c r="F11" s="246" t="str">
        <f ca="1">BASE!F11</f>
        <v>Xlarge Ret</v>
      </c>
      <c r="G11" s="246" t="str">
        <f ca="1">BASE!G11</f>
        <v>Large Ret</v>
      </c>
      <c r="H11" s="246" t="str">
        <f ca="1">BASE!H11</f>
        <v>Medium Ret</v>
      </c>
      <c r="I11" s="246" t="str">
        <f ca="1">BASE!I11</f>
        <v>Small Ret</v>
      </c>
      <c r="J11" s="246" t="str">
        <f ca="1">BASE!J11</f>
        <v>School K-12</v>
      </c>
      <c r="K11" s="246" t="str">
        <f ca="1">BASE!K11</f>
        <v>University</v>
      </c>
      <c r="L11" s="246" t="str">
        <f ca="1">BASE!L11</f>
        <v>Warehouse</v>
      </c>
      <c r="M11" s="246" t="str">
        <f ca="1">BASE!M11</f>
        <v>Supermarket</v>
      </c>
      <c r="N11" s="246" t="str">
        <f ca="1">BASE!N11</f>
        <v>MiniMart</v>
      </c>
      <c r="O11" s="246" t="str">
        <f ca="1">BASE!O11</f>
        <v>Restaurant</v>
      </c>
      <c r="P11" s="246" t="str">
        <f ca="1">BASE!P11</f>
        <v>Lodging</v>
      </c>
      <c r="Q11" s="246" t="str">
        <f ca="1">BASE!Q11</f>
        <v>Hospital</v>
      </c>
      <c r="R11" s="246" t="str">
        <f ca="1">BASE!R11</f>
        <v>Residential Care</v>
      </c>
      <c r="S11" s="246" t="str">
        <f ca="1">APPLIC!S11</f>
        <v>Assembly</v>
      </c>
      <c r="T11" s="246" t="str">
        <f ca="1">APPLIC!T11</f>
        <v>Other</v>
      </c>
      <c r="U11" s="246" t="s">
        <v>104</v>
      </c>
    </row>
    <row r="12" spans="1:25">
      <c r="B12" s="16" t="str">
        <f>MLIST!D12</f>
        <v>Compressed Air-Retro</v>
      </c>
      <c r="C12" t="str">
        <f t="shared" ref="C12:L17" si="0">$W12</f>
        <v>_PRE2013</v>
      </c>
      <c r="D12" t="str">
        <f t="shared" si="0"/>
        <v>_PRE2013</v>
      </c>
      <c r="E12" s="223" t="str">
        <f t="shared" si="0"/>
        <v>_PRE2013</v>
      </c>
      <c r="F12" s="223" t="str">
        <f t="shared" si="0"/>
        <v>_PRE2013</v>
      </c>
      <c r="G12" s="223" t="str">
        <f t="shared" si="0"/>
        <v>_PRE2013</v>
      </c>
      <c r="H12" s="223" t="str">
        <f t="shared" si="0"/>
        <v>_PRE2013</v>
      </c>
      <c r="I12" s="223" t="str">
        <f t="shared" si="0"/>
        <v>_PRE2013</v>
      </c>
      <c r="J12" s="223" t="str">
        <f t="shared" si="0"/>
        <v>_PRE2013</v>
      </c>
      <c r="K12" s="223" t="str">
        <f t="shared" si="0"/>
        <v>_PRE2013</v>
      </c>
      <c r="L12" s="223" t="str">
        <f t="shared" si="0"/>
        <v>_PRE2013</v>
      </c>
      <c r="M12" s="223" t="str">
        <f t="shared" ref="M12:T17" si="1">$W12</f>
        <v>_PRE2013</v>
      </c>
      <c r="N12" s="223" t="str">
        <f t="shared" si="1"/>
        <v>_PRE2013</v>
      </c>
      <c r="O12" s="223" t="str">
        <f t="shared" si="1"/>
        <v>_PRE2013</v>
      </c>
      <c r="P12" s="223" t="str">
        <f t="shared" si="1"/>
        <v>_PRE2013</v>
      </c>
      <c r="Q12" s="223" t="str">
        <f t="shared" si="1"/>
        <v>_PRE2013</v>
      </c>
      <c r="R12" s="223" t="str">
        <f t="shared" si="1"/>
        <v>_PRE2013</v>
      </c>
      <c r="S12" s="223" t="str">
        <f t="shared" si="1"/>
        <v>_PRE2013</v>
      </c>
      <c r="T12" s="223" t="str">
        <f t="shared" si="1"/>
        <v>_PRE2013</v>
      </c>
      <c r="U12" s="223"/>
      <c r="V12" s="223"/>
      <c r="W12" s="223" t="s">
        <v>769</v>
      </c>
      <c r="X12" t="str">
        <f>MLIST!C12</f>
        <v>Retro</v>
      </c>
      <c r="Y12" t="str">
        <f>IF(X12="Retro","_PRE2013","POST2013")</f>
        <v>_PRE2013</v>
      </c>
    </row>
    <row r="13" spans="1:25">
      <c r="B13" s="16" t="str">
        <f>MLIST!D13</f>
        <v>Compressed Air-NR</v>
      </c>
      <c r="C13" t="str">
        <f t="shared" si="0"/>
        <v>_PRE2013</v>
      </c>
      <c r="D13" t="str">
        <f t="shared" si="0"/>
        <v>_PRE2013</v>
      </c>
      <c r="E13" s="223" t="str">
        <f t="shared" si="0"/>
        <v>_PRE2013</v>
      </c>
      <c r="F13" s="223" t="str">
        <f t="shared" si="0"/>
        <v>_PRE2013</v>
      </c>
      <c r="G13" s="223" t="str">
        <f t="shared" si="0"/>
        <v>_PRE2013</v>
      </c>
      <c r="H13" s="223" t="str">
        <f t="shared" si="0"/>
        <v>_PRE2013</v>
      </c>
      <c r="I13" s="223" t="str">
        <f t="shared" si="0"/>
        <v>_PRE2013</v>
      </c>
      <c r="J13" s="223" t="str">
        <f t="shared" si="0"/>
        <v>_PRE2013</v>
      </c>
      <c r="K13" s="223" t="str">
        <f t="shared" si="0"/>
        <v>_PRE2013</v>
      </c>
      <c r="L13" s="223" t="str">
        <f t="shared" si="0"/>
        <v>_PRE2013</v>
      </c>
      <c r="M13" s="223" t="str">
        <f t="shared" si="1"/>
        <v>_PRE2013</v>
      </c>
      <c r="N13" s="223" t="str">
        <f t="shared" si="1"/>
        <v>_PRE2013</v>
      </c>
      <c r="O13" s="223" t="str">
        <f t="shared" si="1"/>
        <v>_PRE2013</v>
      </c>
      <c r="P13" s="223" t="str">
        <f t="shared" si="1"/>
        <v>_PRE2013</v>
      </c>
      <c r="Q13" s="223" t="str">
        <f t="shared" si="1"/>
        <v>_PRE2013</v>
      </c>
      <c r="R13" s="223" t="str">
        <f t="shared" si="1"/>
        <v>_PRE2013</v>
      </c>
      <c r="S13" s="223" t="str">
        <f t="shared" si="1"/>
        <v>_PRE2013</v>
      </c>
      <c r="T13" s="223" t="str">
        <f t="shared" si="1"/>
        <v>_PRE2013</v>
      </c>
      <c r="U13" s="223"/>
      <c r="V13" s="223"/>
      <c r="W13" s="223" t="s">
        <v>769</v>
      </c>
      <c r="X13" t="str">
        <f>MLIST!C13</f>
        <v>NR</v>
      </c>
      <c r="Y13" t="str">
        <f t="shared" ref="Y13:Y79" si="2">IF(X13="Retro","_PRE2013","POST2013")</f>
        <v>POST2013</v>
      </c>
    </row>
    <row r="14" spans="1:25">
      <c r="B14" s="16" t="str">
        <f>MLIST!D14</f>
        <v>Network PC Power Management-Retro</v>
      </c>
      <c r="C14" t="str">
        <f t="shared" si="0"/>
        <v>_PRE2013</v>
      </c>
      <c r="D14" t="str">
        <f t="shared" si="0"/>
        <v>_PRE2013</v>
      </c>
      <c r="E14" s="223" t="str">
        <f t="shared" si="0"/>
        <v>_PRE2013</v>
      </c>
      <c r="F14" s="223" t="str">
        <f t="shared" si="0"/>
        <v>_PRE2013</v>
      </c>
      <c r="G14" s="223" t="str">
        <f t="shared" si="0"/>
        <v>_PRE2013</v>
      </c>
      <c r="H14" s="223" t="str">
        <f t="shared" si="0"/>
        <v>_PRE2013</v>
      </c>
      <c r="I14" s="223" t="str">
        <f t="shared" si="0"/>
        <v>_PRE2013</v>
      </c>
      <c r="J14" s="223" t="str">
        <f t="shared" si="0"/>
        <v>_PRE2013</v>
      </c>
      <c r="K14" s="223" t="str">
        <f t="shared" si="0"/>
        <v>_PRE2013</v>
      </c>
      <c r="L14" s="223" t="str">
        <f t="shared" si="0"/>
        <v>_PRE2013</v>
      </c>
      <c r="M14" s="223" t="str">
        <f t="shared" si="1"/>
        <v>_PRE2013</v>
      </c>
      <c r="N14" s="223" t="str">
        <f t="shared" si="1"/>
        <v>_PRE2013</v>
      </c>
      <c r="O14" s="223" t="str">
        <f t="shared" si="1"/>
        <v>_PRE2013</v>
      </c>
      <c r="P14" s="223" t="str">
        <f t="shared" si="1"/>
        <v>_PRE2013</v>
      </c>
      <c r="Q14" s="223" t="str">
        <f t="shared" si="1"/>
        <v>_PRE2013</v>
      </c>
      <c r="R14" s="223" t="str">
        <f t="shared" si="1"/>
        <v>_PRE2013</v>
      </c>
      <c r="S14" s="223" t="str">
        <f t="shared" si="1"/>
        <v>_PRE2013</v>
      </c>
      <c r="T14" s="223" t="str">
        <f t="shared" si="1"/>
        <v>_PRE2013</v>
      </c>
      <c r="U14" s="223"/>
      <c r="V14" s="223"/>
      <c r="W14" s="223" t="s">
        <v>769</v>
      </c>
      <c r="X14" t="str">
        <f>MLIST!C14</f>
        <v>Retro</v>
      </c>
      <c r="Y14" t="str">
        <f t="shared" si="2"/>
        <v>_PRE2013</v>
      </c>
    </row>
    <row r="15" spans="1:25">
      <c r="B15" s="16" t="str">
        <f>MLIST!D15</f>
        <v>Laptop-NR</v>
      </c>
      <c r="C15" t="str">
        <f t="shared" si="0"/>
        <v>_PRE2013</v>
      </c>
      <c r="D15" t="str">
        <f t="shared" si="0"/>
        <v>_PRE2013</v>
      </c>
      <c r="E15" s="223" t="str">
        <f t="shared" si="0"/>
        <v>_PRE2013</v>
      </c>
      <c r="F15" s="223" t="str">
        <f t="shared" si="0"/>
        <v>_PRE2013</v>
      </c>
      <c r="G15" s="223" t="str">
        <f t="shared" si="0"/>
        <v>_PRE2013</v>
      </c>
      <c r="H15" s="223" t="str">
        <f t="shared" si="0"/>
        <v>_PRE2013</v>
      </c>
      <c r="I15" s="223" t="str">
        <f t="shared" si="0"/>
        <v>_PRE2013</v>
      </c>
      <c r="J15" s="223" t="str">
        <f t="shared" si="0"/>
        <v>_PRE2013</v>
      </c>
      <c r="K15" s="223" t="str">
        <f t="shared" si="0"/>
        <v>_PRE2013</v>
      </c>
      <c r="L15" s="223" t="str">
        <f t="shared" si="0"/>
        <v>_PRE2013</v>
      </c>
      <c r="M15" s="223" t="str">
        <f t="shared" si="1"/>
        <v>_PRE2013</v>
      </c>
      <c r="N15" s="223" t="str">
        <f t="shared" si="1"/>
        <v>_PRE2013</v>
      </c>
      <c r="O15" s="223" t="str">
        <f t="shared" si="1"/>
        <v>_PRE2013</v>
      </c>
      <c r="P15" s="223" t="str">
        <f t="shared" si="1"/>
        <v>_PRE2013</v>
      </c>
      <c r="Q15" s="223" t="str">
        <f t="shared" si="1"/>
        <v>_PRE2013</v>
      </c>
      <c r="R15" s="223" t="str">
        <f t="shared" si="1"/>
        <v>_PRE2013</v>
      </c>
      <c r="S15" s="223" t="str">
        <f t="shared" si="1"/>
        <v>_PRE2013</v>
      </c>
      <c r="T15" s="223" t="str">
        <f t="shared" si="1"/>
        <v>_PRE2013</v>
      </c>
      <c r="U15" s="223"/>
      <c r="V15" s="223"/>
      <c r="W15" s="223" t="s">
        <v>769</v>
      </c>
      <c r="X15" t="str">
        <f>MLIST!C15</f>
        <v>NR</v>
      </c>
      <c r="Y15" t="str">
        <f t="shared" si="2"/>
        <v>POST2013</v>
      </c>
    </row>
    <row r="16" spans="1:25">
      <c r="B16" s="16" t="str">
        <f>MLIST!D16</f>
        <v>Smart Plug Power Strips-Retro</v>
      </c>
      <c r="C16" t="str">
        <f t="shared" si="0"/>
        <v>_PRE2013</v>
      </c>
      <c r="D16" t="str">
        <f t="shared" si="0"/>
        <v>_PRE2013</v>
      </c>
      <c r="E16" s="223" t="str">
        <f t="shared" si="0"/>
        <v>_PRE2013</v>
      </c>
      <c r="F16" s="223" t="str">
        <f t="shared" si="0"/>
        <v>_PRE2013</v>
      </c>
      <c r="G16" s="223" t="str">
        <f t="shared" si="0"/>
        <v>_PRE2013</v>
      </c>
      <c r="H16" s="223" t="str">
        <f t="shared" si="0"/>
        <v>_PRE2013</v>
      </c>
      <c r="I16" s="223" t="str">
        <f t="shared" si="0"/>
        <v>_PRE2013</v>
      </c>
      <c r="J16" s="223" t="str">
        <f t="shared" si="0"/>
        <v>_PRE2013</v>
      </c>
      <c r="K16" s="223" t="str">
        <f t="shared" si="0"/>
        <v>_PRE2013</v>
      </c>
      <c r="L16" s="223" t="str">
        <f t="shared" si="0"/>
        <v>_PRE2013</v>
      </c>
      <c r="M16" s="223" t="str">
        <f t="shared" si="1"/>
        <v>_PRE2013</v>
      </c>
      <c r="N16" s="223" t="str">
        <f t="shared" si="1"/>
        <v>_PRE2013</v>
      </c>
      <c r="O16" s="223" t="str">
        <f t="shared" si="1"/>
        <v>_PRE2013</v>
      </c>
      <c r="P16" s="223" t="str">
        <f t="shared" si="1"/>
        <v>_PRE2013</v>
      </c>
      <c r="Q16" s="223" t="str">
        <f t="shared" si="1"/>
        <v>_PRE2013</v>
      </c>
      <c r="R16" s="223" t="str">
        <f t="shared" si="1"/>
        <v>_PRE2013</v>
      </c>
      <c r="S16" s="223" t="str">
        <f t="shared" si="1"/>
        <v>_PRE2013</v>
      </c>
      <c r="T16" s="223" t="str">
        <f t="shared" si="1"/>
        <v>_PRE2013</v>
      </c>
      <c r="U16" s="223"/>
      <c r="V16" s="223"/>
      <c r="W16" s="223" t="s">
        <v>769</v>
      </c>
      <c r="X16" t="str">
        <f>MLIST!C16</f>
        <v>Retro</v>
      </c>
      <c r="Y16" t="str">
        <f t="shared" si="2"/>
        <v>_PRE2013</v>
      </c>
    </row>
    <row r="17" spans="2:25">
      <c r="B17" s="16" t="str">
        <f>MLIST!D17</f>
        <v>Data Centers-NR</v>
      </c>
      <c r="C17" t="str">
        <f t="shared" si="0"/>
        <v>_PRE2013</v>
      </c>
      <c r="D17" t="str">
        <f t="shared" si="0"/>
        <v>_PRE2013</v>
      </c>
      <c r="E17" s="223" t="str">
        <f t="shared" si="0"/>
        <v>_PRE2013</v>
      </c>
      <c r="F17" s="223" t="str">
        <f t="shared" si="0"/>
        <v>_PRE2013</v>
      </c>
      <c r="G17" s="223" t="str">
        <f t="shared" si="0"/>
        <v>_PRE2013</v>
      </c>
      <c r="H17" s="223" t="str">
        <f t="shared" si="0"/>
        <v>_PRE2013</v>
      </c>
      <c r="I17" s="223" t="str">
        <f t="shared" si="0"/>
        <v>_PRE2013</v>
      </c>
      <c r="J17" s="223" t="str">
        <f t="shared" si="0"/>
        <v>_PRE2013</v>
      </c>
      <c r="K17" s="223" t="str">
        <f t="shared" si="0"/>
        <v>_PRE2013</v>
      </c>
      <c r="L17" s="223" t="str">
        <f t="shared" si="0"/>
        <v>_PRE2013</v>
      </c>
      <c r="M17" s="223" t="str">
        <f t="shared" si="1"/>
        <v>_PRE2013</v>
      </c>
      <c r="N17" s="223" t="str">
        <f t="shared" si="1"/>
        <v>_PRE2013</v>
      </c>
      <c r="O17" s="223" t="str">
        <f t="shared" si="1"/>
        <v>_PRE2013</v>
      </c>
      <c r="P17" s="223" t="str">
        <f t="shared" si="1"/>
        <v>_PRE2013</v>
      </c>
      <c r="Q17" s="223" t="str">
        <f t="shared" si="1"/>
        <v>_PRE2013</v>
      </c>
      <c r="R17" s="223" t="str">
        <f t="shared" si="1"/>
        <v>_PRE2013</v>
      </c>
      <c r="S17" s="223" t="str">
        <f t="shared" si="1"/>
        <v>_PRE2013</v>
      </c>
      <c r="T17" s="223" t="str">
        <f t="shared" si="1"/>
        <v>_PRE2013</v>
      </c>
      <c r="U17" s="223"/>
      <c r="V17" s="223"/>
      <c r="W17" s="223" t="s">
        <v>769</v>
      </c>
      <c r="X17" t="str">
        <f>MLIST!C17</f>
        <v>NR</v>
      </c>
      <c r="Y17" t="str">
        <f t="shared" si="2"/>
        <v>POST2013</v>
      </c>
    </row>
    <row r="18" spans="2:25">
      <c r="B18" s="16" t="str">
        <f>MLIST!D18</f>
        <v>Monitor-NR</v>
      </c>
      <c r="C18" t="str">
        <f t="shared" ref="C18:H18" si="3">$W18</f>
        <v>_PRE2013</v>
      </c>
      <c r="D18" t="str">
        <f t="shared" si="3"/>
        <v>_PRE2013</v>
      </c>
      <c r="E18" s="223" t="str">
        <f t="shared" si="3"/>
        <v>_PRE2013</v>
      </c>
      <c r="F18" s="223" t="str">
        <f t="shared" si="3"/>
        <v>_PRE2013</v>
      </c>
      <c r="G18" s="223" t="str">
        <f t="shared" si="3"/>
        <v>_PRE2013</v>
      </c>
      <c r="H18" s="223" t="str">
        <f t="shared" si="3"/>
        <v>_PRE2013</v>
      </c>
      <c r="I18" s="223" t="str">
        <f t="shared" ref="D18:T33" si="4">$W18</f>
        <v>_PRE2013</v>
      </c>
      <c r="J18" s="223" t="str">
        <f t="shared" si="4"/>
        <v>_PRE2013</v>
      </c>
      <c r="K18" s="223" t="str">
        <f t="shared" si="4"/>
        <v>_PRE2013</v>
      </c>
      <c r="L18" s="223" t="str">
        <f t="shared" si="4"/>
        <v>_PRE2013</v>
      </c>
      <c r="M18" s="223" t="str">
        <f t="shared" si="4"/>
        <v>_PRE2013</v>
      </c>
      <c r="N18" s="223" t="str">
        <f t="shared" si="4"/>
        <v>_PRE2013</v>
      </c>
      <c r="O18" s="223" t="str">
        <f t="shared" si="4"/>
        <v>_PRE2013</v>
      </c>
      <c r="P18" s="223" t="str">
        <f t="shared" si="4"/>
        <v>_PRE2013</v>
      </c>
      <c r="Q18" s="223" t="str">
        <f t="shared" si="4"/>
        <v>_PRE2013</v>
      </c>
      <c r="R18" s="223" t="str">
        <f t="shared" si="4"/>
        <v>_PRE2013</v>
      </c>
      <c r="S18" s="223" t="str">
        <f t="shared" si="4"/>
        <v>_PRE2013</v>
      </c>
      <c r="T18" s="223" t="str">
        <f t="shared" si="4"/>
        <v>_PRE2013</v>
      </c>
      <c r="U18" s="223"/>
      <c r="V18" s="223"/>
      <c r="W18" s="223" t="s">
        <v>769</v>
      </c>
      <c r="X18" t="str">
        <f>MLIST!C18</f>
        <v>NR</v>
      </c>
      <c r="Y18" t="str">
        <f t="shared" si="2"/>
        <v>POST2013</v>
      </c>
    </row>
    <row r="19" spans="2:25">
      <c r="B19" s="16" t="str">
        <f>MLIST!D19</f>
        <v>Desktop-NR</v>
      </c>
      <c r="C19" t="str">
        <f t="shared" ref="C19:C48" si="5">$W19</f>
        <v>_PRE2013</v>
      </c>
      <c r="D19" t="str">
        <f t="shared" si="4"/>
        <v>_PRE2013</v>
      </c>
      <c r="E19" s="223" t="str">
        <f t="shared" si="4"/>
        <v>_PRE2013</v>
      </c>
      <c r="F19" s="223" t="str">
        <f t="shared" si="4"/>
        <v>_PRE2013</v>
      </c>
      <c r="G19" s="223" t="str">
        <f t="shared" si="4"/>
        <v>_PRE2013</v>
      </c>
      <c r="H19" s="223" t="str">
        <f t="shared" si="4"/>
        <v>_PRE2013</v>
      </c>
      <c r="I19" s="223" t="str">
        <f t="shared" si="4"/>
        <v>_PRE2013</v>
      </c>
      <c r="J19" s="223" t="str">
        <f t="shared" si="4"/>
        <v>_PRE2013</v>
      </c>
      <c r="K19" s="223" t="str">
        <f t="shared" si="4"/>
        <v>_PRE2013</v>
      </c>
      <c r="L19" s="223" t="str">
        <f t="shared" si="4"/>
        <v>_PRE2013</v>
      </c>
      <c r="M19" s="223" t="str">
        <f t="shared" si="4"/>
        <v>_PRE2013</v>
      </c>
      <c r="N19" s="223" t="str">
        <f t="shared" si="4"/>
        <v>_PRE2013</v>
      </c>
      <c r="O19" s="223" t="str">
        <f t="shared" si="4"/>
        <v>_PRE2013</v>
      </c>
      <c r="P19" s="223" t="str">
        <f t="shared" si="4"/>
        <v>_PRE2013</v>
      </c>
      <c r="Q19" s="223" t="str">
        <f t="shared" si="4"/>
        <v>_PRE2013</v>
      </c>
      <c r="R19" s="223" t="str">
        <f t="shared" si="4"/>
        <v>_PRE2013</v>
      </c>
      <c r="S19" s="223" t="str">
        <f t="shared" si="4"/>
        <v>_PRE2013</v>
      </c>
      <c r="T19" s="223" t="str">
        <f t="shared" si="4"/>
        <v>_PRE2013</v>
      </c>
      <c r="U19" s="223"/>
      <c r="V19" s="223"/>
      <c r="W19" s="223" t="s">
        <v>769</v>
      </c>
      <c r="X19" t="str">
        <f>MLIST!C19</f>
        <v>NR</v>
      </c>
      <c r="Y19" t="str">
        <f t="shared" si="2"/>
        <v>POST2013</v>
      </c>
    </row>
    <row r="20" spans="2:25">
      <c r="B20" s="16" t="str">
        <f>MLIST!D20</f>
        <v>Pre-Rinse Spray Valve-Retro</v>
      </c>
      <c r="C20" t="str">
        <f t="shared" si="5"/>
        <v>_PRE2013</v>
      </c>
      <c r="D20" t="str">
        <f t="shared" si="4"/>
        <v>_PRE2013</v>
      </c>
      <c r="E20" s="223" t="str">
        <f t="shared" si="4"/>
        <v>_PRE2013</v>
      </c>
      <c r="F20" s="223" t="str">
        <f t="shared" si="4"/>
        <v>_PRE2013</v>
      </c>
      <c r="G20" s="223" t="str">
        <f t="shared" si="4"/>
        <v>_PRE2013</v>
      </c>
      <c r="H20" s="223" t="str">
        <f t="shared" si="4"/>
        <v>_PRE2013</v>
      </c>
      <c r="I20" s="223" t="str">
        <f t="shared" si="4"/>
        <v>_PRE2013</v>
      </c>
      <c r="J20" s="223" t="str">
        <f t="shared" si="4"/>
        <v>_PRE2013</v>
      </c>
      <c r="K20" s="223" t="str">
        <f t="shared" si="4"/>
        <v>_PRE2013</v>
      </c>
      <c r="L20" s="223" t="str">
        <f t="shared" si="4"/>
        <v>_PRE2013</v>
      </c>
      <c r="M20" s="223" t="str">
        <f t="shared" si="4"/>
        <v>_PRE2013</v>
      </c>
      <c r="N20" s="223" t="str">
        <f t="shared" si="4"/>
        <v>_PRE2013</v>
      </c>
      <c r="O20" s="223" t="str">
        <f t="shared" si="4"/>
        <v>_PRE2013</v>
      </c>
      <c r="P20" s="223" t="str">
        <f t="shared" si="4"/>
        <v>_PRE2013</v>
      </c>
      <c r="Q20" s="223" t="str">
        <f t="shared" si="4"/>
        <v>_PRE2013</v>
      </c>
      <c r="R20" s="223" t="str">
        <f t="shared" si="4"/>
        <v>_PRE2013</v>
      </c>
      <c r="S20" s="223" t="str">
        <f t="shared" si="4"/>
        <v>_PRE2013</v>
      </c>
      <c r="T20" s="223" t="str">
        <f t="shared" si="4"/>
        <v>_PRE2013</v>
      </c>
      <c r="U20" s="223"/>
      <c r="V20" s="223"/>
      <c r="W20" s="223" t="s">
        <v>769</v>
      </c>
      <c r="X20" t="str">
        <f>MLIST!C20</f>
        <v>Retro</v>
      </c>
      <c r="Y20" t="str">
        <f t="shared" si="2"/>
        <v>_PRE2013</v>
      </c>
    </row>
    <row r="21" spans="2:25">
      <c r="B21" s="16" t="str">
        <f>MLIST!D21</f>
        <v>Cooking Equipment-NR</v>
      </c>
      <c r="C21" t="str">
        <f t="shared" si="5"/>
        <v>POST2013</v>
      </c>
      <c r="D21" t="str">
        <f t="shared" si="4"/>
        <v>POST2013</v>
      </c>
      <c r="E21" s="223" t="str">
        <f t="shared" si="4"/>
        <v>POST2013</v>
      </c>
      <c r="F21" s="223" t="str">
        <f t="shared" si="4"/>
        <v>POST2013</v>
      </c>
      <c r="G21" s="223" t="str">
        <f t="shared" si="4"/>
        <v>POST2013</v>
      </c>
      <c r="H21" s="223" t="str">
        <f t="shared" si="4"/>
        <v>POST2013</v>
      </c>
      <c r="I21" s="223" t="str">
        <f t="shared" si="4"/>
        <v>POST2013</v>
      </c>
      <c r="J21" s="223" t="str">
        <f t="shared" si="4"/>
        <v>POST2013</v>
      </c>
      <c r="K21" s="223" t="str">
        <f t="shared" si="4"/>
        <v>POST2013</v>
      </c>
      <c r="L21" s="223" t="str">
        <f t="shared" si="4"/>
        <v>POST2013</v>
      </c>
      <c r="M21" s="223" t="str">
        <f t="shared" si="4"/>
        <v>POST2013</v>
      </c>
      <c r="N21" s="223" t="str">
        <f t="shared" si="4"/>
        <v>POST2013</v>
      </c>
      <c r="O21" s="223" t="str">
        <f t="shared" si="4"/>
        <v>POST2013</v>
      </c>
      <c r="P21" s="223" t="str">
        <f t="shared" si="4"/>
        <v>POST2013</v>
      </c>
      <c r="Q21" s="223" t="str">
        <f t="shared" si="4"/>
        <v>POST2013</v>
      </c>
      <c r="R21" s="223" t="str">
        <f t="shared" si="4"/>
        <v>POST2013</v>
      </c>
      <c r="S21" s="223" t="str">
        <f t="shared" si="4"/>
        <v>POST2013</v>
      </c>
      <c r="T21" s="223" t="str">
        <f t="shared" si="4"/>
        <v>POST2013</v>
      </c>
      <c r="U21" s="223"/>
      <c r="V21" s="223"/>
      <c r="W21" s="223" t="s">
        <v>767</v>
      </c>
      <c r="X21" t="str">
        <f>MLIST!C21</f>
        <v>NR</v>
      </c>
      <c r="Y21" t="str">
        <f t="shared" si="2"/>
        <v>POST2013</v>
      </c>
    </row>
    <row r="22" spans="2:25">
      <c r="B22" s="16" t="str">
        <f>MLIST!D22</f>
        <v>DHP-New</v>
      </c>
      <c r="C22" t="str">
        <f t="shared" si="5"/>
        <v>POST2013</v>
      </c>
      <c r="D22" t="str">
        <f t="shared" si="4"/>
        <v>POST2013</v>
      </c>
      <c r="E22" s="223" t="str">
        <f t="shared" si="4"/>
        <v>POST2013</v>
      </c>
      <c r="F22" s="223" t="str">
        <f t="shared" si="4"/>
        <v>POST2013</v>
      </c>
      <c r="G22" s="223" t="str">
        <f t="shared" si="4"/>
        <v>POST2013</v>
      </c>
      <c r="H22" s="223" t="str">
        <f t="shared" si="4"/>
        <v>POST2013</v>
      </c>
      <c r="I22" s="223" t="str">
        <f t="shared" si="4"/>
        <v>POST2013</v>
      </c>
      <c r="J22" s="223" t="str">
        <f t="shared" si="4"/>
        <v>POST2013</v>
      </c>
      <c r="K22" s="223" t="str">
        <f t="shared" si="4"/>
        <v>POST2013</v>
      </c>
      <c r="L22" s="223" t="str">
        <f t="shared" si="4"/>
        <v>POST2013</v>
      </c>
      <c r="M22" s="223" t="str">
        <f t="shared" si="4"/>
        <v>POST2013</v>
      </c>
      <c r="N22" s="223" t="str">
        <f t="shared" si="4"/>
        <v>POST2013</v>
      </c>
      <c r="O22" s="223" t="str">
        <f t="shared" si="4"/>
        <v>POST2013</v>
      </c>
      <c r="P22" s="223" t="str">
        <f t="shared" si="4"/>
        <v>POST2013</v>
      </c>
      <c r="Q22" s="223" t="str">
        <f t="shared" si="4"/>
        <v>POST2013</v>
      </c>
      <c r="R22" s="223" t="str">
        <f t="shared" si="4"/>
        <v>POST2013</v>
      </c>
      <c r="S22" s="223" t="str">
        <f t="shared" si="4"/>
        <v>POST2013</v>
      </c>
      <c r="T22" s="223" t="str">
        <f t="shared" si="4"/>
        <v>POST2013</v>
      </c>
      <c r="U22" s="223"/>
      <c r="V22" s="223"/>
      <c r="W22" s="223" t="s">
        <v>767</v>
      </c>
      <c r="X22" t="str">
        <f>MLIST!C22</f>
        <v>New</v>
      </c>
      <c r="Y22" t="str">
        <f t="shared" si="2"/>
        <v>POST2013</v>
      </c>
    </row>
    <row r="23" spans="2:25">
      <c r="B23" s="16" t="str">
        <f>MLIST!D23</f>
        <v>DHP-Retro</v>
      </c>
      <c r="C23" t="str">
        <f t="shared" si="5"/>
        <v>POST2013</v>
      </c>
      <c r="D23" t="str">
        <f t="shared" si="4"/>
        <v>POST2013</v>
      </c>
      <c r="E23" s="223" t="str">
        <f t="shared" si="4"/>
        <v>POST2013</v>
      </c>
      <c r="F23" s="223" t="str">
        <f t="shared" si="4"/>
        <v>POST2013</v>
      </c>
      <c r="G23" s="223" t="str">
        <f t="shared" si="4"/>
        <v>POST2013</v>
      </c>
      <c r="H23" s="223" t="str">
        <f t="shared" si="4"/>
        <v>POST2013</v>
      </c>
      <c r="I23" s="223" t="str">
        <f t="shared" si="4"/>
        <v>POST2013</v>
      </c>
      <c r="J23" s="223" t="str">
        <f t="shared" si="4"/>
        <v>POST2013</v>
      </c>
      <c r="K23" s="223" t="str">
        <f t="shared" si="4"/>
        <v>POST2013</v>
      </c>
      <c r="L23" s="223" t="str">
        <f t="shared" si="4"/>
        <v>POST2013</v>
      </c>
      <c r="M23" s="223" t="str">
        <f t="shared" si="4"/>
        <v>POST2013</v>
      </c>
      <c r="N23" s="223" t="str">
        <f t="shared" si="4"/>
        <v>POST2013</v>
      </c>
      <c r="O23" s="223" t="str">
        <f t="shared" si="4"/>
        <v>POST2013</v>
      </c>
      <c r="P23" s="223" t="str">
        <f t="shared" si="4"/>
        <v>POST2013</v>
      </c>
      <c r="Q23" s="223" t="str">
        <f t="shared" si="4"/>
        <v>POST2013</v>
      </c>
      <c r="R23" s="223" t="str">
        <f t="shared" si="4"/>
        <v>POST2013</v>
      </c>
      <c r="S23" s="223" t="str">
        <f t="shared" si="4"/>
        <v>POST2013</v>
      </c>
      <c r="T23" s="223" t="str">
        <f t="shared" si="4"/>
        <v>POST2013</v>
      </c>
      <c r="U23" s="223"/>
      <c r="V23" s="223"/>
      <c r="W23" s="223" t="s">
        <v>767</v>
      </c>
      <c r="X23" t="str">
        <f>MLIST!C23</f>
        <v>Retro</v>
      </c>
      <c r="Y23" t="str">
        <f t="shared" si="2"/>
        <v>_PRE2013</v>
      </c>
    </row>
    <row r="24" spans="2:25">
      <c r="B24" s="16" t="str">
        <f>MLIST!D24</f>
        <v>Glass-New</v>
      </c>
      <c r="C24" t="str">
        <f t="shared" si="5"/>
        <v>POST2013</v>
      </c>
      <c r="D24" t="str">
        <f t="shared" si="4"/>
        <v>POST2013</v>
      </c>
      <c r="E24" s="223" t="str">
        <f t="shared" si="4"/>
        <v>POST2013</v>
      </c>
      <c r="F24" s="223" t="str">
        <f t="shared" si="4"/>
        <v>POST2013</v>
      </c>
      <c r="G24" s="223" t="str">
        <f t="shared" si="4"/>
        <v>POST2013</v>
      </c>
      <c r="H24" s="223" t="str">
        <f t="shared" si="4"/>
        <v>POST2013</v>
      </c>
      <c r="I24" s="223" t="str">
        <f t="shared" si="4"/>
        <v>POST2013</v>
      </c>
      <c r="J24" s="223" t="str">
        <f t="shared" si="4"/>
        <v>POST2013</v>
      </c>
      <c r="K24" s="223" t="str">
        <f t="shared" si="4"/>
        <v>POST2013</v>
      </c>
      <c r="L24" s="223" t="str">
        <f t="shared" si="4"/>
        <v>POST2013</v>
      </c>
      <c r="M24" s="223" t="str">
        <f t="shared" si="4"/>
        <v>POST2013</v>
      </c>
      <c r="N24" s="223" t="str">
        <f t="shared" si="4"/>
        <v>POST2013</v>
      </c>
      <c r="O24" s="223" t="str">
        <f t="shared" si="4"/>
        <v>POST2013</v>
      </c>
      <c r="P24" s="223" t="str">
        <f t="shared" si="4"/>
        <v>POST2013</v>
      </c>
      <c r="Q24" s="223" t="str">
        <f t="shared" si="4"/>
        <v>POST2013</v>
      </c>
      <c r="R24" s="223" t="str">
        <f t="shared" si="4"/>
        <v>POST2013</v>
      </c>
      <c r="S24" s="223" t="str">
        <f t="shared" si="4"/>
        <v>POST2013</v>
      </c>
      <c r="T24" s="223" t="str">
        <f t="shared" si="4"/>
        <v>POST2013</v>
      </c>
      <c r="U24" s="223"/>
      <c r="V24" s="223"/>
      <c r="W24" s="223" t="s">
        <v>767</v>
      </c>
      <c r="X24" t="str">
        <f>MLIST!C24</f>
        <v>New</v>
      </c>
      <c r="Y24" t="str">
        <f t="shared" si="2"/>
        <v>POST2013</v>
      </c>
    </row>
    <row r="25" spans="2:25">
      <c r="B25" s="16" t="str">
        <f>MLIST!D25</f>
        <v>Glass-NR</v>
      </c>
      <c r="C25" t="str">
        <f t="shared" si="5"/>
        <v>POST2013</v>
      </c>
      <c r="D25" t="str">
        <f t="shared" si="4"/>
        <v>POST2013</v>
      </c>
      <c r="E25" s="223" t="str">
        <f t="shared" si="4"/>
        <v>POST2013</v>
      </c>
      <c r="F25" s="223" t="str">
        <f t="shared" si="4"/>
        <v>POST2013</v>
      </c>
      <c r="G25" s="223" t="str">
        <f t="shared" si="4"/>
        <v>POST2013</v>
      </c>
      <c r="H25" s="223" t="str">
        <f t="shared" si="4"/>
        <v>POST2013</v>
      </c>
      <c r="I25" s="223" t="str">
        <f t="shared" si="4"/>
        <v>POST2013</v>
      </c>
      <c r="J25" s="223" t="str">
        <f t="shared" si="4"/>
        <v>POST2013</v>
      </c>
      <c r="K25" s="223" t="str">
        <f t="shared" si="4"/>
        <v>POST2013</v>
      </c>
      <c r="L25" s="223" t="str">
        <f t="shared" si="4"/>
        <v>POST2013</v>
      </c>
      <c r="M25" s="223" t="str">
        <f t="shared" si="4"/>
        <v>POST2013</v>
      </c>
      <c r="N25" s="223" t="str">
        <f t="shared" si="4"/>
        <v>POST2013</v>
      </c>
      <c r="O25" s="223" t="str">
        <f t="shared" si="4"/>
        <v>POST2013</v>
      </c>
      <c r="P25" s="223" t="str">
        <f t="shared" si="4"/>
        <v>POST2013</v>
      </c>
      <c r="Q25" s="223" t="str">
        <f t="shared" si="4"/>
        <v>POST2013</v>
      </c>
      <c r="R25" s="223" t="str">
        <f t="shared" si="4"/>
        <v>POST2013</v>
      </c>
      <c r="S25" s="223" t="str">
        <f t="shared" si="4"/>
        <v>POST2013</v>
      </c>
      <c r="T25" s="223" t="str">
        <f t="shared" si="4"/>
        <v>POST2013</v>
      </c>
      <c r="U25" s="223"/>
      <c r="V25" s="223"/>
      <c r="W25" s="223" t="s">
        <v>767</v>
      </c>
      <c r="X25" t="str">
        <f>MLIST!C25</f>
        <v>NR</v>
      </c>
      <c r="Y25" t="str">
        <f t="shared" si="2"/>
        <v>POST2013</v>
      </c>
    </row>
    <row r="26" spans="2:25">
      <c r="B26" s="16" t="str">
        <f>MLIST!D26</f>
        <v>ControllerLite-Retro</v>
      </c>
      <c r="C26" t="str">
        <f t="shared" si="5"/>
        <v>_PRE2013</v>
      </c>
      <c r="D26" t="str">
        <f t="shared" si="4"/>
        <v>_PRE2013</v>
      </c>
      <c r="E26" s="223" t="str">
        <f t="shared" si="4"/>
        <v>_PRE2013</v>
      </c>
      <c r="F26" s="223" t="str">
        <f t="shared" si="4"/>
        <v>_PRE2013</v>
      </c>
      <c r="G26" s="223" t="str">
        <f t="shared" si="4"/>
        <v>_PRE2013</v>
      </c>
      <c r="H26" s="223" t="str">
        <f t="shared" si="4"/>
        <v>_PRE2013</v>
      </c>
      <c r="I26" s="223" t="str">
        <f t="shared" si="4"/>
        <v>_PRE2013</v>
      </c>
      <c r="J26" s="223" t="str">
        <f t="shared" si="4"/>
        <v>_PRE2013</v>
      </c>
      <c r="K26" s="223" t="str">
        <f t="shared" si="4"/>
        <v>_PRE2013</v>
      </c>
      <c r="L26" s="223" t="str">
        <f t="shared" si="4"/>
        <v>_PRE2013</v>
      </c>
      <c r="M26" s="223" t="str">
        <f t="shared" si="4"/>
        <v>_PRE2013</v>
      </c>
      <c r="N26" s="223" t="str">
        <f t="shared" si="4"/>
        <v>_PRE2013</v>
      </c>
      <c r="O26" s="223" t="str">
        <f t="shared" si="4"/>
        <v>_PRE2013</v>
      </c>
      <c r="P26" s="223" t="str">
        <f t="shared" si="4"/>
        <v>_PRE2013</v>
      </c>
      <c r="Q26" s="223" t="str">
        <f t="shared" si="4"/>
        <v>_PRE2013</v>
      </c>
      <c r="R26" s="223" t="str">
        <f t="shared" si="4"/>
        <v>_PRE2013</v>
      </c>
      <c r="S26" s="223" t="str">
        <f t="shared" si="4"/>
        <v>_PRE2013</v>
      </c>
      <c r="T26" s="223" t="str">
        <f t="shared" si="4"/>
        <v>_PRE2013</v>
      </c>
      <c r="U26" s="223"/>
      <c r="V26" s="223"/>
      <c r="W26" s="223" t="s">
        <v>769</v>
      </c>
      <c r="X26" t="str">
        <f>MLIST!C26</f>
        <v>Retro</v>
      </c>
      <c r="Y26" t="str">
        <f t="shared" si="2"/>
        <v>_PRE2013</v>
      </c>
    </row>
    <row r="27" spans="2:25">
      <c r="B27" s="16" t="str">
        <f>MLIST!D27</f>
        <v>Advanced Rooftop Controller-New</v>
      </c>
      <c r="C27" t="str">
        <f t="shared" si="5"/>
        <v>POST2013</v>
      </c>
      <c r="D27" t="str">
        <f t="shared" si="4"/>
        <v>POST2013</v>
      </c>
      <c r="E27" s="223" t="str">
        <f t="shared" si="4"/>
        <v>POST2013</v>
      </c>
      <c r="F27" s="223" t="str">
        <f t="shared" si="4"/>
        <v>POST2013</v>
      </c>
      <c r="G27" s="223" t="str">
        <f t="shared" si="4"/>
        <v>POST2013</v>
      </c>
      <c r="H27" s="223" t="str">
        <f t="shared" si="4"/>
        <v>POST2013</v>
      </c>
      <c r="I27" s="223" t="str">
        <f t="shared" si="4"/>
        <v>POST2013</v>
      </c>
      <c r="J27" s="223" t="str">
        <f t="shared" si="4"/>
        <v>POST2013</v>
      </c>
      <c r="K27" s="223" t="str">
        <f t="shared" si="4"/>
        <v>POST2013</v>
      </c>
      <c r="L27" s="223" t="str">
        <f t="shared" si="4"/>
        <v>POST2013</v>
      </c>
      <c r="M27" s="223" t="str">
        <f t="shared" si="4"/>
        <v>POST2013</v>
      </c>
      <c r="N27" s="223" t="str">
        <f t="shared" si="4"/>
        <v>POST2013</v>
      </c>
      <c r="O27" s="223" t="str">
        <f t="shared" si="4"/>
        <v>POST2013</v>
      </c>
      <c r="P27" s="223" t="str">
        <f t="shared" si="4"/>
        <v>POST2013</v>
      </c>
      <c r="Q27" s="223" t="str">
        <f t="shared" si="4"/>
        <v>POST2013</v>
      </c>
      <c r="R27" s="223" t="str">
        <f t="shared" si="4"/>
        <v>POST2013</v>
      </c>
      <c r="S27" s="223" t="str">
        <f t="shared" si="4"/>
        <v>POST2013</v>
      </c>
      <c r="T27" s="223" t="str">
        <f t="shared" si="4"/>
        <v>POST2013</v>
      </c>
      <c r="U27" s="223"/>
      <c r="V27" s="223"/>
      <c r="W27" s="223" t="s">
        <v>767</v>
      </c>
      <c r="X27" t="str">
        <f>MLIST!C27</f>
        <v>New</v>
      </c>
      <c r="Y27" t="str">
        <f t="shared" si="2"/>
        <v>POST2013</v>
      </c>
    </row>
    <row r="28" spans="2:25">
      <c r="B28" s="16" t="str">
        <f>MLIST!D28</f>
        <v>Advanced Rooftop Controller-NR</v>
      </c>
      <c r="C28" t="str">
        <f t="shared" si="5"/>
        <v>POST2013</v>
      </c>
      <c r="D28" t="str">
        <f t="shared" si="4"/>
        <v>POST2013</v>
      </c>
      <c r="E28" s="223" t="str">
        <f t="shared" si="4"/>
        <v>POST2013</v>
      </c>
      <c r="F28" s="223" t="str">
        <f t="shared" si="4"/>
        <v>POST2013</v>
      </c>
      <c r="G28" s="223" t="str">
        <f t="shared" si="4"/>
        <v>POST2013</v>
      </c>
      <c r="H28" s="223" t="str">
        <f t="shared" si="4"/>
        <v>POST2013</v>
      </c>
      <c r="I28" s="223" t="str">
        <f t="shared" si="4"/>
        <v>POST2013</v>
      </c>
      <c r="J28" s="223" t="str">
        <f t="shared" si="4"/>
        <v>POST2013</v>
      </c>
      <c r="K28" s="223" t="str">
        <f t="shared" si="4"/>
        <v>POST2013</v>
      </c>
      <c r="L28" s="223" t="str">
        <f t="shared" si="4"/>
        <v>POST2013</v>
      </c>
      <c r="M28" s="223" t="str">
        <f t="shared" si="4"/>
        <v>POST2013</v>
      </c>
      <c r="N28" s="223" t="str">
        <f t="shared" si="4"/>
        <v>POST2013</v>
      </c>
      <c r="O28" s="223" t="str">
        <f t="shared" si="4"/>
        <v>POST2013</v>
      </c>
      <c r="P28" s="223" t="str">
        <f t="shared" si="4"/>
        <v>POST2013</v>
      </c>
      <c r="Q28" s="223" t="str">
        <f t="shared" si="4"/>
        <v>POST2013</v>
      </c>
      <c r="R28" s="223" t="str">
        <f t="shared" si="4"/>
        <v>POST2013</v>
      </c>
      <c r="S28" s="223" t="str">
        <f t="shared" si="4"/>
        <v>POST2013</v>
      </c>
      <c r="T28" s="223" t="str">
        <f t="shared" si="4"/>
        <v>POST2013</v>
      </c>
      <c r="U28" s="223"/>
      <c r="V28" s="223"/>
      <c r="W28" s="223" t="s">
        <v>767</v>
      </c>
      <c r="X28" t="str">
        <f>MLIST!C28</f>
        <v>NR</v>
      </c>
      <c r="Y28" t="str">
        <f t="shared" si="2"/>
        <v>POST2013</v>
      </c>
    </row>
    <row r="29" spans="2:25">
      <c r="B29" s="16" t="str">
        <f>MLIST!D29</f>
        <v>Advanced Rooftop Controller-Retro</v>
      </c>
      <c r="C29" t="str">
        <f t="shared" si="5"/>
        <v>_PRE2013</v>
      </c>
      <c r="D29" t="str">
        <f t="shared" si="4"/>
        <v>_PRE2013</v>
      </c>
      <c r="E29" s="223" t="str">
        <f t="shared" si="4"/>
        <v>_PRE2013</v>
      </c>
      <c r="F29" s="223" t="str">
        <f t="shared" si="4"/>
        <v>_PRE2013</v>
      </c>
      <c r="G29" s="223" t="str">
        <f t="shared" si="4"/>
        <v>_PRE2013</v>
      </c>
      <c r="H29" s="223" t="str">
        <f t="shared" si="4"/>
        <v>_PRE2013</v>
      </c>
      <c r="I29" s="223" t="str">
        <f t="shared" si="4"/>
        <v>_PRE2013</v>
      </c>
      <c r="J29" s="223" t="str">
        <f t="shared" si="4"/>
        <v>_PRE2013</v>
      </c>
      <c r="K29" s="223" t="str">
        <f t="shared" si="4"/>
        <v>_PRE2013</v>
      </c>
      <c r="L29" s="223" t="str">
        <f t="shared" si="4"/>
        <v>_PRE2013</v>
      </c>
      <c r="M29" s="223" t="str">
        <f t="shared" si="4"/>
        <v>_PRE2013</v>
      </c>
      <c r="N29" s="223" t="str">
        <f t="shared" si="4"/>
        <v>_PRE2013</v>
      </c>
      <c r="O29" s="223" t="str">
        <f t="shared" si="4"/>
        <v>_PRE2013</v>
      </c>
      <c r="P29" s="223" t="str">
        <f t="shared" si="4"/>
        <v>_PRE2013</v>
      </c>
      <c r="Q29" s="223" t="str">
        <f t="shared" si="4"/>
        <v>_PRE2013</v>
      </c>
      <c r="R29" s="223" t="str">
        <f t="shared" si="4"/>
        <v>_PRE2013</v>
      </c>
      <c r="S29" s="223" t="str">
        <f t="shared" si="4"/>
        <v>_PRE2013</v>
      </c>
      <c r="T29" s="223" t="str">
        <f t="shared" si="4"/>
        <v>_PRE2013</v>
      </c>
      <c r="U29" s="223"/>
      <c r="V29" s="223"/>
      <c r="W29" s="223" t="s">
        <v>769</v>
      </c>
      <c r="X29" t="str">
        <f>MLIST!C29</f>
        <v>Retro</v>
      </c>
      <c r="Y29" t="str">
        <f t="shared" si="2"/>
        <v>_PRE2013</v>
      </c>
    </row>
    <row r="30" spans="2:25">
      <c r="B30" s="16" t="str">
        <f>MLIST!D30</f>
        <v>Variable Speed Chiller-New</v>
      </c>
      <c r="C30" t="str">
        <f t="shared" si="5"/>
        <v>POST2013</v>
      </c>
      <c r="D30" t="str">
        <f t="shared" si="4"/>
        <v>POST2013</v>
      </c>
      <c r="E30" s="223" t="str">
        <f t="shared" si="4"/>
        <v>POST2013</v>
      </c>
      <c r="F30" s="223" t="str">
        <f t="shared" si="4"/>
        <v>POST2013</v>
      </c>
      <c r="G30" s="223" t="str">
        <f t="shared" si="4"/>
        <v>POST2013</v>
      </c>
      <c r="H30" s="223" t="str">
        <f t="shared" si="4"/>
        <v>POST2013</v>
      </c>
      <c r="I30" s="223" t="str">
        <f t="shared" si="4"/>
        <v>POST2013</v>
      </c>
      <c r="J30" s="223" t="str">
        <f t="shared" si="4"/>
        <v>POST2013</v>
      </c>
      <c r="K30" s="223" t="str">
        <f t="shared" si="4"/>
        <v>POST2013</v>
      </c>
      <c r="L30" s="223" t="str">
        <f t="shared" si="4"/>
        <v>POST2013</v>
      </c>
      <c r="M30" s="223" t="str">
        <f t="shared" si="4"/>
        <v>POST2013</v>
      </c>
      <c r="N30" s="223" t="str">
        <f t="shared" si="4"/>
        <v>POST2013</v>
      </c>
      <c r="O30" s="223" t="str">
        <f t="shared" si="4"/>
        <v>POST2013</v>
      </c>
      <c r="P30" s="223" t="str">
        <f t="shared" si="4"/>
        <v>POST2013</v>
      </c>
      <c r="Q30" s="223" t="str">
        <f t="shared" si="4"/>
        <v>POST2013</v>
      </c>
      <c r="R30" s="223" t="str">
        <f t="shared" si="4"/>
        <v>POST2013</v>
      </c>
      <c r="S30" s="223" t="str">
        <f t="shared" si="4"/>
        <v>POST2013</v>
      </c>
      <c r="T30" s="223" t="str">
        <f t="shared" si="4"/>
        <v>POST2013</v>
      </c>
      <c r="U30" s="223"/>
      <c r="V30" s="223"/>
      <c r="W30" s="223" t="s">
        <v>767</v>
      </c>
      <c r="X30" t="str">
        <f>MLIST!C30</f>
        <v>New</v>
      </c>
      <c r="Y30" t="str">
        <f t="shared" si="2"/>
        <v>POST2013</v>
      </c>
    </row>
    <row r="31" spans="2:25">
      <c r="B31" s="16" t="str">
        <f>MLIST!D31</f>
        <v>Variable Speed Chiller-NR</v>
      </c>
      <c r="C31" t="str">
        <f t="shared" si="5"/>
        <v>POST2013</v>
      </c>
      <c r="D31" t="str">
        <f t="shared" si="4"/>
        <v>POST2013</v>
      </c>
      <c r="E31" s="223" t="str">
        <f t="shared" si="4"/>
        <v>POST2013</v>
      </c>
      <c r="F31" s="223" t="str">
        <f t="shared" si="4"/>
        <v>POST2013</v>
      </c>
      <c r="G31" s="223" t="str">
        <f t="shared" si="4"/>
        <v>POST2013</v>
      </c>
      <c r="H31" s="223" t="str">
        <f t="shared" si="4"/>
        <v>POST2013</v>
      </c>
      <c r="I31" s="223" t="str">
        <f t="shared" si="4"/>
        <v>POST2013</v>
      </c>
      <c r="J31" s="223" t="str">
        <f t="shared" si="4"/>
        <v>POST2013</v>
      </c>
      <c r="K31" s="223" t="str">
        <f t="shared" si="4"/>
        <v>POST2013</v>
      </c>
      <c r="L31" s="223" t="str">
        <f t="shared" si="4"/>
        <v>POST2013</v>
      </c>
      <c r="M31" s="223" t="str">
        <f t="shared" si="4"/>
        <v>POST2013</v>
      </c>
      <c r="N31" s="223" t="str">
        <f t="shared" si="4"/>
        <v>POST2013</v>
      </c>
      <c r="O31" s="223" t="str">
        <f t="shared" si="4"/>
        <v>POST2013</v>
      </c>
      <c r="P31" s="223" t="str">
        <f t="shared" si="4"/>
        <v>POST2013</v>
      </c>
      <c r="Q31" s="223" t="str">
        <f t="shared" si="4"/>
        <v>POST2013</v>
      </c>
      <c r="R31" s="223" t="str">
        <f t="shared" si="4"/>
        <v>POST2013</v>
      </c>
      <c r="S31" s="223" t="str">
        <f t="shared" si="4"/>
        <v>POST2013</v>
      </c>
      <c r="T31" s="223" t="str">
        <f t="shared" si="4"/>
        <v>POST2013</v>
      </c>
      <c r="U31" s="223"/>
      <c r="V31" s="223"/>
      <c r="W31" s="223" t="s">
        <v>767</v>
      </c>
      <c r="X31" t="str">
        <f>MLIST!C31</f>
        <v>NR</v>
      </c>
      <c r="Y31" t="str">
        <f t="shared" si="2"/>
        <v>POST2013</v>
      </c>
    </row>
    <row r="32" spans="2:25">
      <c r="B32" s="16" t="str">
        <f>MLIST!D32</f>
        <v>Commercial EM-New</v>
      </c>
      <c r="C32" t="str">
        <f t="shared" si="5"/>
        <v>POST2013</v>
      </c>
      <c r="D32" t="str">
        <f t="shared" si="4"/>
        <v>POST2013</v>
      </c>
      <c r="E32" s="223" t="str">
        <f t="shared" si="4"/>
        <v>POST2013</v>
      </c>
      <c r="F32" s="223" t="str">
        <f t="shared" si="4"/>
        <v>POST2013</v>
      </c>
      <c r="G32" s="223" t="str">
        <f t="shared" si="4"/>
        <v>POST2013</v>
      </c>
      <c r="H32" s="223" t="str">
        <f t="shared" si="4"/>
        <v>POST2013</v>
      </c>
      <c r="I32" s="223" t="str">
        <f t="shared" si="4"/>
        <v>POST2013</v>
      </c>
      <c r="J32" s="223" t="str">
        <f t="shared" si="4"/>
        <v>POST2013</v>
      </c>
      <c r="K32" s="223" t="str">
        <f t="shared" si="4"/>
        <v>POST2013</v>
      </c>
      <c r="L32" s="223" t="str">
        <f t="shared" si="4"/>
        <v>POST2013</v>
      </c>
      <c r="M32" s="223" t="str">
        <f t="shared" si="4"/>
        <v>POST2013</v>
      </c>
      <c r="N32" s="223" t="str">
        <f t="shared" si="4"/>
        <v>POST2013</v>
      </c>
      <c r="O32" s="223" t="str">
        <f t="shared" si="4"/>
        <v>POST2013</v>
      </c>
      <c r="P32" s="223" t="str">
        <f t="shared" si="4"/>
        <v>POST2013</v>
      </c>
      <c r="Q32" s="223" t="str">
        <f t="shared" si="4"/>
        <v>POST2013</v>
      </c>
      <c r="R32" s="223" t="str">
        <f t="shared" si="4"/>
        <v>POST2013</v>
      </c>
      <c r="S32" s="223" t="str">
        <f t="shared" si="4"/>
        <v>POST2013</v>
      </c>
      <c r="T32" s="223" t="str">
        <f t="shared" si="4"/>
        <v>POST2013</v>
      </c>
      <c r="U32" s="223"/>
      <c r="V32" s="223"/>
      <c r="W32" s="223" t="s">
        <v>767</v>
      </c>
      <c r="X32" t="str">
        <f>MLIST!C32</f>
        <v>New</v>
      </c>
      <c r="Y32" t="str">
        <f t="shared" si="2"/>
        <v>POST2013</v>
      </c>
    </row>
    <row r="33" spans="2:25">
      <c r="B33" s="16" t="str">
        <f>MLIST!D33</f>
        <v>Commercial EM-NR</v>
      </c>
      <c r="C33" t="str">
        <f t="shared" si="5"/>
        <v>POST2013</v>
      </c>
      <c r="D33" t="str">
        <f t="shared" si="4"/>
        <v>POST2013</v>
      </c>
      <c r="E33" s="223" t="str">
        <f t="shared" si="4"/>
        <v>POST2013</v>
      </c>
      <c r="F33" s="223" t="str">
        <f t="shared" si="4"/>
        <v>POST2013</v>
      </c>
      <c r="G33" s="223" t="str">
        <f t="shared" si="4"/>
        <v>POST2013</v>
      </c>
      <c r="H33" s="223" t="str">
        <f t="shared" si="4"/>
        <v>POST2013</v>
      </c>
      <c r="I33" s="223" t="str">
        <f t="shared" ref="D33:T48" si="6">$W33</f>
        <v>POST2013</v>
      </c>
      <c r="J33" s="223" t="str">
        <f t="shared" si="6"/>
        <v>POST2013</v>
      </c>
      <c r="K33" s="223" t="str">
        <f t="shared" si="6"/>
        <v>POST2013</v>
      </c>
      <c r="L33" s="223" t="str">
        <f t="shared" si="6"/>
        <v>POST2013</v>
      </c>
      <c r="M33" s="223" t="str">
        <f t="shared" si="6"/>
        <v>POST2013</v>
      </c>
      <c r="N33" s="223" t="str">
        <f t="shared" si="6"/>
        <v>POST2013</v>
      </c>
      <c r="O33" s="223" t="str">
        <f t="shared" si="6"/>
        <v>POST2013</v>
      </c>
      <c r="P33" s="223" t="str">
        <f t="shared" si="6"/>
        <v>POST2013</v>
      </c>
      <c r="Q33" s="223" t="str">
        <f t="shared" si="6"/>
        <v>POST2013</v>
      </c>
      <c r="R33" s="223" t="str">
        <f t="shared" si="6"/>
        <v>POST2013</v>
      </c>
      <c r="S33" s="223" t="str">
        <f t="shared" si="6"/>
        <v>POST2013</v>
      </c>
      <c r="T33" s="223" t="str">
        <f t="shared" si="6"/>
        <v>POST2013</v>
      </c>
      <c r="U33" s="223"/>
      <c r="V33" s="223"/>
      <c r="W33" s="223" t="s">
        <v>767</v>
      </c>
      <c r="X33" t="str">
        <f>MLIST!C33</f>
        <v>NR</v>
      </c>
      <c r="Y33" t="str">
        <f t="shared" si="2"/>
        <v>POST2013</v>
      </c>
    </row>
    <row r="34" spans="2:25">
      <c r="B34" s="16" t="str">
        <f>MLIST!D34</f>
        <v>Commercial EM-Retro</v>
      </c>
      <c r="C34" t="str">
        <f t="shared" si="5"/>
        <v>_PRE2013</v>
      </c>
      <c r="D34" t="str">
        <f t="shared" si="6"/>
        <v>_PRE2013</v>
      </c>
      <c r="E34" s="223" t="str">
        <f t="shared" si="6"/>
        <v>_PRE2013</v>
      </c>
      <c r="F34" s="223" t="str">
        <f t="shared" si="6"/>
        <v>_PRE2013</v>
      </c>
      <c r="G34" s="223" t="str">
        <f t="shared" si="6"/>
        <v>_PRE2013</v>
      </c>
      <c r="H34" s="223" t="str">
        <f t="shared" si="6"/>
        <v>_PRE2013</v>
      </c>
      <c r="I34" s="223" t="str">
        <f t="shared" si="6"/>
        <v>_PRE2013</v>
      </c>
      <c r="J34" s="223" t="str">
        <f t="shared" si="6"/>
        <v>_PRE2013</v>
      </c>
      <c r="K34" s="223" t="str">
        <f t="shared" si="6"/>
        <v>_PRE2013</v>
      </c>
      <c r="L34" s="223" t="str">
        <f t="shared" si="6"/>
        <v>_PRE2013</v>
      </c>
      <c r="M34" s="223" t="str">
        <f t="shared" si="6"/>
        <v>_PRE2013</v>
      </c>
      <c r="N34" s="223" t="str">
        <f t="shared" si="6"/>
        <v>_PRE2013</v>
      </c>
      <c r="O34" s="223" t="str">
        <f t="shared" si="6"/>
        <v>_PRE2013</v>
      </c>
      <c r="P34" s="223" t="str">
        <f t="shared" si="6"/>
        <v>_PRE2013</v>
      </c>
      <c r="Q34" s="223" t="str">
        <f t="shared" si="6"/>
        <v>_PRE2013</v>
      </c>
      <c r="R34" s="223" t="str">
        <f t="shared" si="6"/>
        <v>_PRE2013</v>
      </c>
      <c r="S34" s="223" t="str">
        <f t="shared" si="6"/>
        <v>_PRE2013</v>
      </c>
      <c r="T34" s="223" t="str">
        <f t="shared" si="6"/>
        <v>_PRE2013</v>
      </c>
      <c r="U34" s="223"/>
      <c r="V34" s="223"/>
      <c r="W34" s="223" t="s">
        <v>769</v>
      </c>
      <c r="X34" t="str">
        <f>MLIST!C34</f>
        <v>Retro</v>
      </c>
      <c r="Y34" t="str">
        <f t="shared" si="2"/>
        <v>_PRE2013</v>
      </c>
    </row>
    <row r="35" spans="2:25">
      <c r="B35" s="16" t="str">
        <f>MLIST!D35</f>
        <v>Evaporative Assist Cooling-New</v>
      </c>
      <c r="C35" t="str">
        <f t="shared" si="5"/>
        <v>POST2013</v>
      </c>
      <c r="D35" t="str">
        <f t="shared" si="6"/>
        <v>POST2013</v>
      </c>
      <c r="E35" s="223" t="str">
        <f t="shared" si="6"/>
        <v>POST2013</v>
      </c>
      <c r="F35" s="223" t="str">
        <f t="shared" si="6"/>
        <v>POST2013</v>
      </c>
      <c r="G35" s="223" t="str">
        <f t="shared" si="6"/>
        <v>POST2013</v>
      </c>
      <c r="H35" s="223" t="str">
        <f t="shared" si="6"/>
        <v>POST2013</v>
      </c>
      <c r="I35" s="223" t="str">
        <f t="shared" si="6"/>
        <v>POST2013</v>
      </c>
      <c r="J35" s="223" t="str">
        <f t="shared" si="6"/>
        <v>POST2013</v>
      </c>
      <c r="K35" s="223" t="str">
        <f t="shared" si="6"/>
        <v>POST2013</v>
      </c>
      <c r="L35" s="223" t="str">
        <f t="shared" si="6"/>
        <v>POST2013</v>
      </c>
      <c r="M35" s="223" t="str">
        <f t="shared" si="6"/>
        <v>POST2013</v>
      </c>
      <c r="N35" s="223" t="str">
        <f t="shared" si="6"/>
        <v>POST2013</v>
      </c>
      <c r="O35" s="223" t="str">
        <f t="shared" si="6"/>
        <v>POST2013</v>
      </c>
      <c r="P35" s="223" t="str">
        <f t="shared" si="6"/>
        <v>POST2013</v>
      </c>
      <c r="Q35" s="223" t="str">
        <f t="shared" si="6"/>
        <v>POST2013</v>
      </c>
      <c r="R35" s="223" t="str">
        <f t="shared" si="6"/>
        <v>POST2013</v>
      </c>
      <c r="S35" s="223" t="str">
        <f t="shared" si="6"/>
        <v>POST2013</v>
      </c>
      <c r="T35" s="223" t="str">
        <f t="shared" si="6"/>
        <v>POST2013</v>
      </c>
      <c r="U35" s="223"/>
      <c r="V35" s="223"/>
      <c r="W35" s="223" t="s">
        <v>767</v>
      </c>
      <c r="X35" t="str">
        <f>MLIST!C35</f>
        <v>New</v>
      </c>
      <c r="Y35" t="str">
        <f t="shared" si="2"/>
        <v>POST2013</v>
      </c>
    </row>
    <row r="36" spans="2:25">
      <c r="B36" s="16" t="str">
        <f>MLIST!D36</f>
        <v>Evaporative Assist Cooling-NR</v>
      </c>
      <c r="C36" t="str">
        <f t="shared" si="5"/>
        <v>POST2013</v>
      </c>
      <c r="D36" t="str">
        <f t="shared" si="6"/>
        <v>POST2013</v>
      </c>
      <c r="E36" s="223" t="str">
        <f t="shared" si="6"/>
        <v>POST2013</v>
      </c>
      <c r="F36" s="223" t="str">
        <f t="shared" si="6"/>
        <v>POST2013</v>
      </c>
      <c r="G36" s="223" t="str">
        <f t="shared" si="6"/>
        <v>POST2013</v>
      </c>
      <c r="H36" s="223" t="str">
        <f t="shared" si="6"/>
        <v>POST2013</v>
      </c>
      <c r="I36" s="223" t="str">
        <f t="shared" si="6"/>
        <v>POST2013</v>
      </c>
      <c r="J36" s="223" t="str">
        <f t="shared" si="6"/>
        <v>POST2013</v>
      </c>
      <c r="K36" s="223" t="str">
        <f t="shared" si="6"/>
        <v>POST2013</v>
      </c>
      <c r="L36" s="223" t="str">
        <f t="shared" si="6"/>
        <v>POST2013</v>
      </c>
      <c r="M36" s="223" t="str">
        <f t="shared" si="6"/>
        <v>POST2013</v>
      </c>
      <c r="N36" s="223" t="str">
        <f t="shared" si="6"/>
        <v>POST2013</v>
      </c>
      <c r="O36" s="223" t="str">
        <f t="shared" si="6"/>
        <v>POST2013</v>
      </c>
      <c r="P36" s="223" t="str">
        <f t="shared" si="6"/>
        <v>POST2013</v>
      </c>
      <c r="Q36" s="223" t="str">
        <f t="shared" si="6"/>
        <v>POST2013</v>
      </c>
      <c r="R36" s="223" t="str">
        <f t="shared" si="6"/>
        <v>POST2013</v>
      </c>
      <c r="S36" s="223" t="str">
        <f t="shared" si="6"/>
        <v>POST2013</v>
      </c>
      <c r="T36" s="223" t="str">
        <f t="shared" si="6"/>
        <v>POST2013</v>
      </c>
      <c r="U36" s="223"/>
      <c r="V36" s="223"/>
      <c r="W36" s="223" t="s">
        <v>767</v>
      </c>
      <c r="X36" t="str">
        <f>MLIST!C36</f>
        <v>NR</v>
      </c>
      <c r="Y36" t="str">
        <f t="shared" si="2"/>
        <v>POST2013</v>
      </c>
    </row>
    <row r="37" spans="2:25">
      <c r="B37" s="16" t="str">
        <f>MLIST!D37</f>
        <v>Economizer-Retro</v>
      </c>
      <c r="C37" t="str">
        <f t="shared" si="5"/>
        <v>POST2013</v>
      </c>
      <c r="D37" t="str">
        <f t="shared" si="6"/>
        <v>POST2013</v>
      </c>
      <c r="E37" s="223" t="str">
        <f t="shared" si="6"/>
        <v>POST2013</v>
      </c>
      <c r="F37" s="223" t="str">
        <f t="shared" si="6"/>
        <v>POST2013</v>
      </c>
      <c r="G37" s="223" t="str">
        <f t="shared" si="6"/>
        <v>POST2013</v>
      </c>
      <c r="H37" s="223" t="str">
        <f t="shared" si="6"/>
        <v>POST2013</v>
      </c>
      <c r="I37" s="223" t="str">
        <f t="shared" si="6"/>
        <v>POST2013</v>
      </c>
      <c r="J37" s="223" t="str">
        <f t="shared" si="6"/>
        <v>POST2013</v>
      </c>
      <c r="K37" s="223" t="str">
        <f t="shared" si="6"/>
        <v>POST2013</v>
      </c>
      <c r="L37" s="223" t="str">
        <f t="shared" si="6"/>
        <v>POST2013</v>
      </c>
      <c r="M37" s="223" t="str">
        <f t="shared" si="6"/>
        <v>POST2013</v>
      </c>
      <c r="N37" s="223" t="str">
        <f t="shared" si="6"/>
        <v>POST2013</v>
      </c>
      <c r="O37" s="223" t="str">
        <f t="shared" si="6"/>
        <v>POST2013</v>
      </c>
      <c r="P37" s="223" t="str">
        <f t="shared" si="6"/>
        <v>POST2013</v>
      </c>
      <c r="Q37" s="223" t="str">
        <f t="shared" si="6"/>
        <v>POST2013</v>
      </c>
      <c r="R37" s="223" t="str">
        <f t="shared" si="6"/>
        <v>POST2013</v>
      </c>
      <c r="S37" s="223" t="str">
        <f t="shared" si="6"/>
        <v>POST2013</v>
      </c>
      <c r="T37" s="223" t="str">
        <f t="shared" si="6"/>
        <v>POST2013</v>
      </c>
      <c r="U37" s="223"/>
      <c r="V37" s="223"/>
      <c r="W37" s="223" t="s">
        <v>767</v>
      </c>
      <c r="X37" t="str">
        <f>MLIST!C37</f>
        <v>Retro</v>
      </c>
      <c r="Y37" t="str">
        <f t="shared" si="2"/>
        <v>_PRE2013</v>
      </c>
    </row>
    <row r="38" spans="2:25">
      <c r="B38" s="16" t="str">
        <f>MLIST!D38</f>
        <v>Demand Control Ventilation-New</v>
      </c>
      <c r="C38" t="str">
        <f t="shared" si="5"/>
        <v>POST2013</v>
      </c>
      <c r="D38" t="str">
        <f t="shared" si="6"/>
        <v>POST2013</v>
      </c>
      <c r="E38" s="223" t="str">
        <f t="shared" si="6"/>
        <v>POST2013</v>
      </c>
      <c r="F38" s="223" t="str">
        <f t="shared" si="6"/>
        <v>POST2013</v>
      </c>
      <c r="G38" s="223" t="str">
        <f t="shared" si="6"/>
        <v>POST2013</v>
      </c>
      <c r="H38" s="223" t="str">
        <f t="shared" si="6"/>
        <v>POST2013</v>
      </c>
      <c r="I38" s="223" t="str">
        <f t="shared" si="6"/>
        <v>POST2013</v>
      </c>
      <c r="J38" s="223" t="str">
        <f t="shared" si="6"/>
        <v>POST2013</v>
      </c>
      <c r="K38" s="223" t="str">
        <f t="shared" si="6"/>
        <v>POST2013</v>
      </c>
      <c r="L38" s="223" t="str">
        <f t="shared" si="6"/>
        <v>POST2013</v>
      </c>
      <c r="M38" s="223" t="str">
        <f t="shared" si="6"/>
        <v>POST2013</v>
      </c>
      <c r="N38" s="223" t="str">
        <f t="shared" si="6"/>
        <v>POST2013</v>
      </c>
      <c r="O38" s="223" t="str">
        <f t="shared" si="6"/>
        <v>POST2013</v>
      </c>
      <c r="P38" s="223" t="str">
        <f t="shared" si="6"/>
        <v>POST2013</v>
      </c>
      <c r="Q38" s="223" t="str">
        <f t="shared" si="6"/>
        <v>POST2013</v>
      </c>
      <c r="R38" s="223" t="str">
        <f t="shared" si="6"/>
        <v>POST2013</v>
      </c>
      <c r="S38" s="223" t="str">
        <f t="shared" si="6"/>
        <v>POST2013</v>
      </c>
      <c r="T38" s="223" t="str">
        <f t="shared" si="6"/>
        <v>POST2013</v>
      </c>
      <c r="U38" s="223"/>
      <c r="V38" s="223"/>
      <c r="W38" s="223" t="s">
        <v>767</v>
      </c>
      <c r="X38" t="str">
        <f>MLIST!C38</f>
        <v>New</v>
      </c>
      <c r="Y38" t="str">
        <f t="shared" si="2"/>
        <v>POST2013</v>
      </c>
    </row>
    <row r="39" spans="2:25">
      <c r="B39" s="16" t="str">
        <f>MLIST!D39</f>
        <v>Demand Control Ventilation-NR</v>
      </c>
      <c r="C39" t="str">
        <f t="shared" si="5"/>
        <v>POST2013</v>
      </c>
      <c r="D39" t="str">
        <f t="shared" si="6"/>
        <v>POST2013</v>
      </c>
      <c r="E39" s="223" t="str">
        <f t="shared" si="6"/>
        <v>POST2013</v>
      </c>
      <c r="F39" s="223" t="str">
        <f t="shared" si="6"/>
        <v>POST2013</v>
      </c>
      <c r="G39" s="223" t="str">
        <f t="shared" si="6"/>
        <v>POST2013</v>
      </c>
      <c r="H39" s="223" t="str">
        <f t="shared" si="6"/>
        <v>POST2013</v>
      </c>
      <c r="I39" s="223" t="str">
        <f t="shared" si="6"/>
        <v>POST2013</v>
      </c>
      <c r="J39" s="223" t="str">
        <f t="shared" si="6"/>
        <v>POST2013</v>
      </c>
      <c r="K39" s="223" t="str">
        <f t="shared" si="6"/>
        <v>POST2013</v>
      </c>
      <c r="L39" s="223" t="str">
        <f t="shared" si="6"/>
        <v>POST2013</v>
      </c>
      <c r="M39" s="223" t="str">
        <f t="shared" si="6"/>
        <v>POST2013</v>
      </c>
      <c r="N39" s="223" t="str">
        <f t="shared" si="6"/>
        <v>POST2013</v>
      </c>
      <c r="O39" s="223" t="str">
        <f t="shared" si="6"/>
        <v>POST2013</v>
      </c>
      <c r="P39" s="223" t="str">
        <f t="shared" si="6"/>
        <v>POST2013</v>
      </c>
      <c r="Q39" s="223" t="str">
        <f t="shared" si="6"/>
        <v>POST2013</v>
      </c>
      <c r="R39" s="223" t="str">
        <f t="shared" si="6"/>
        <v>POST2013</v>
      </c>
      <c r="S39" s="223" t="str">
        <f t="shared" si="6"/>
        <v>POST2013</v>
      </c>
      <c r="T39" s="223" t="str">
        <f t="shared" si="6"/>
        <v>POST2013</v>
      </c>
      <c r="U39" s="223"/>
      <c r="V39" s="223"/>
      <c r="W39" s="223" t="s">
        <v>767</v>
      </c>
      <c r="X39" t="str">
        <f>MLIST!C39</f>
        <v>NR</v>
      </c>
      <c r="Y39" t="str">
        <f t="shared" si="2"/>
        <v>POST2013</v>
      </c>
    </row>
    <row r="40" spans="2:25">
      <c r="B40" s="16" t="str">
        <f>MLIST!D40</f>
        <v>Demand Control Ventilation-Retro</v>
      </c>
      <c r="C40" t="str">
        <f t="shared" si="5"/>
        <v>_PRE2013</v>
      </c>
      <c r="D40" t="str">
        <f t="shared" si="6"/>
        <v>_PRE2013</v>
      </c>
      <c r="E40" s="223" t="str">
        <f t="shared" si="6"/>
        <v>_PRE2013</v>
      </c>
      <c r="F40" s="223" t="str">
        <f t="shared" si="6"/>
        <v>_PRE2013</v>
      </c>
      <c r="G40" s="223" t="str">
        <f t="shared" si="6"/>
        <v>_PRE2013</v>
      </c>
      <c r="H40" s="223" t="str">
        <f t="shared" si="6"/>
        <v>_PRE2013</v>
      </c>
      <c r="I40" s="223" t="str">
        <f t="shared" si="6"/>
        <v>_PRE2013</v>
      </c>
      <c r="J40" s="223" t="str">
        <f t="shared" si="6"/>
        <v>_PRE2013</v>
      </c>
      <c r="K40" s="223" t="str">
        <f t="shared" si="6"/>
        <v>_PRE2013</v>
      </c>
      <c r="L40" s="223" t="str">
        <f t="shared" si="6"/>
        <v>_PRE2013</v>
      </c>
      <c r="M40" s="223" t="str">
        <f t="shared" si="6"/>
        <v>_PRE2013</v>
      </c>
      <c r="N40" s="223" t="str">
        <f t="shared" si="6"/>
        <v>_PRE2013</v>
      </c>
      <c r="O40" s="223" t="str">
        <f t="shared" si="6"/>
        <v>_PRE2013</v>
      </c>
      <c r="P40" s="223" t="str">
        <f t="shared" si="6"/>
        <v>_PRE2013</v>
      </c>
      <c r="Q40" s="223" t="str">
        <f t="shared" si="6"/>
        <v>_PRE2013</v>
      </c>
      <c r="R40" s="223" t="str">
        <f t="shared" si="6"/>
        <v>_PRE2013</v>
      </c>
      <c r="S40" s="223" t="str">
        <f t="shared" si="6"/>
        <v>_PRE2013</v>
      </c>
      <c r="T40" s="223" t="str">
        <f t="shared" si="6"/>
        <v>_PRE2013</v>
      </c>
      <c r="U40" s="223"/>
      <c r="V40" s="223"/>
      <c r="W40" s="223" t="s">
        <v>769</v>
      </c>
      <c r="X40" t="str">
        <f>MLIST!C40</f>
        <v>Retro</v>
      </c>
      <c r="Y40" t="str">
        <f t="shared" si="2"/>
        <v>_PRE2013</v>
      </c>
    </row>
    <row r="41" spans="2:25">
      <c r="B41" s="16" t="str">
        <f>MLIST!D41</f>
        <v>Premium Fume Hood-NR</v>
      </c>
      <c r="C41" t="str">
        <f t="shared" si="5"/>
        <v>POST2013</v>
      </c>
      <c r="D41" t="str">
        <f t="shared" si="6"/>
        <v>POST2013</v>
      </c>
      <c r="E41" s="223" t="str">
        <f t="shared" si="6"/>
        <v>POST2013</v>
      </c>
      <c r="F41" s="223" t="str">
        <f t="shared" si="6"/>
        <v>POST2013</v>
      </c>
      <c r="G41" s="223" t="str">
        <f t="shared" si="6"/>
        <v>POST2013</v>
      </c>
      <c r="H41" s="223" t="str">
        <f t="shared" si="6"/>
        <v>POST2013</v>
      </c>
      <c r="I41" s="223" t="str">
        <f t="shared" si="6"/>
        <v>POST2013</v>
      </c>
      <c r="J41" s="223" t="str">
        <f t="shared" si="6"/>
        <v>POST2013</v>
      </c>
      <c r="K41" s="223" t="str">
        <f t="shared" si="6"/>
        <v>POST2013</v>
      </c>
      <c r="L41" s="223" t="str">
        <f t="shared" si="6"/>
        <v>POST2013</v>
      </c>
      <c r="M41" s="223" t="str">
        <f t="shared" si="6"/>
        <v>POST2013</v>
      </c>
      <c r="N41" s="223" t="str">
        <f t="shared" si="6"/>
        <v>POST2013</v>
      </c>
      <c r="O41" s="223" t="str">
        <f t="shared" si="6"/>
        <v>POST2013</v>
      </c>
      <c r="P41" s="223" t="str">
        <f t="shared" si="6"/>
        <v>POST2013</v>
      </c>
      <c r="Q41" s="223" t="str">
        <f t="shared" si="6"/>
        <v>POST2013</v>
      </c>
      <c r="R41" s="223" t="str">
        <f t="shared" si="6"/>
        <v>POST2013</v>
      </c>
      <c r="S41" s="223" t="str">
        <f t="shared" si="6"/>
        <v>POST2013</v>
      </c>
      <c r="T41" s="223" t="str">
        <f t="shared" si="6"/>
        <v>POST2013</v>
      </c>
      <c r="U41" s="223"/>
      <c r="V41" s="223"/>
      <c r="W41" s="223" t="s">
        <v>767</v>
      </c>
      <c r="X41" t="str">
        <f>MLIST!C41</f>
        <v>NR</v>
      </c>
      <c r="Y41" t="str">
        <f t="shared" si="2"/>
        <v>POST2013</v>
      </c>
    </row>
    <row r="42" spans="2:25">
      <c r="B42" s="16" t="str">
        <f>MLIST!D42</f>
        <v>DCV Restaurant Hood-Retro</v>
      </c>
      <c r="C42" t="str">
        <f t="shared" si="5"/>
        <v>_PRE2013</v>
      </c>
      <c r="D42" t="str">
        <f t="shared" si="6"/>
        <v>_PRE2013</v>
      </c>
      <c r="E42" s="223" t="str">
        <f t="shared" si="6"/>
        <v>_PRE2013</v>
      </c>
      <c r="F42" s="223" t="str">
        <f t="shared" si="6"/>
        <v>_PRE2013</v>
      </c>
      <c r="G42" s="223" t="str">
        <f t="shared" si="6"/>
        <v>_PRE2013</v>
      </c>
      <c r="H42" s="223" t="str">
        <f t="shared" si="6"/>
        <v>_PRE2013</v>
      </c>
      <c r="I42" s="223" t="str">
        <f t="shared" si="6"/>
        <v>_PRE2013</v>
      </c>
      <c r="J42" s="223" t="str">
        <f t="shared" si="6"/>
        <v>_PRE2013</v>
      </c>
      <c r="K42" s="223" t="str">
        <f t="shared" si="6"/>
        <v>_PRE2013</v>
      </c>
      <c r="L42" s="223" t="str">
        <f t="shared" si="6"/>
        <v>_PRE2013</v>
      </c>
      <c r="M42" s="223" t="str">
        <f t="shared" si="6"/>
        <v>_PRE2013</v>
      </c>
      <c r="N42" s="223" t="str">
        <f t="shared" si="6"/>
        <v>_PRE2013</v>
      </c>
      <c r="O42" s="223" t="str">
        <f t="shared" si="6"/>
        <v>_PRE2013</v>
      </c>
      <c r="P42" s="223" t="str">
        <f t="shared" si="6"/>
        <v>_PRE2013</v>
      </c>
      <c r="Q42" s="223" t="str">
        <f t="shared" si="6"/>
        <v>_PRE2013</v>
      </c>
      <c r="R42" s="223" t="str">
        <f t="shared" si="6"/>
        <v>_PRE2013</v>
      </c>
      <c r="S42" s="223" t="str">
        <f t="shared" si="6"/>
        <v>_PRE2013</v>
      </c>
      <c r="T42" s="223" t="str">
        <f t="shared" si="6"/>
        <v>_PRE2013</v>
      </c>
      <c r="U42" s="223"/>
      <c r="V42" s="223"/>
      <c r="W42" s="223" t="s">
        <v>769</v>
      </c>
      <c r="X42" t="str">
        <f>MLIST!C42</f>
        <v>Retro</v>
      </c>
      <c r="Y42" t="str">
        <f t="shared" si="2"/>
        <v>_PRE2013</v>
      </c>
    </row>
    <row r="43" spans="2:25">
      <c r="B43" s="16" t="str">
        <f>MLIST!D43</f>
        <v>DCV Parking Garage-Retro</v>
      </c>
      <c r="C43" t="str">
        <f t="shared" si="5"/>
        <v>_PRE2013</v>
      </c>
      <c r="D43" t="str">
        <f t="shared" si="6"/>
        <v>_PRE2013</v>
      </c>
      <c r="E43" s="223" t="str">
        <f t="shared" si="6"/>
        <v>_PRE2013</v>
      </c>
      <c r="F43" s="223" t="str">
        <f t="shared" si="6"/>
        <v>_PRE2013</v>
      </c>
      <c r="G43" s="223" t="str">
        <f t="shared" si="6"/>
        <v>_PRE2013</v>
      </c>
      <c r="H43" s="223" t="str">
        <f t="shared" si="6"/>
        <v>_PRE2013</v>
      </c>
      <c r="I43" s="223" t="str">
        <f t="shared" si="6"/>
        <v>_PRE2013</v>
      </c>
      <c r="J43" s="223" t="str">
        <f t="shared" si="6"/>
        <v>_PRE2013</v>
      </c>
      <c r="K43" s="223" t="str">
        <f t="shared" si="6"/>
        <v>_PRE2013</v>
      </c>
      <c r="L43" s="223" t="str">
        <f t="shared" si="6"/>
        <v>_PRE2013</v>
      </c>
      <c r="M43" s="223" t="str">
        <f t="shared" si="6"/>
        <v>_PRE2013</v>
      </c>
      <c r="N43" s="223" t="str">
        <f t="shared" si="6"/>
        <v>_PRE2013</v>
      </c>
      <c r="O43" s="223" t="str">
        <f t="shared" si="6"/>
        <v>_PRE2013</v>
      </c>
      <c r="P43" s="223" t="str">
        <f t="shared" si="6"/>
        <v>_PRE2013</v>
      </c>
      <c r="Q43" s="223" t="str">
        <f t="shared" si="6"/>
        <v>_PRE2013</v>
      </c>
      <c r="R43" s="223" t="str">
        <f t="shared" si="6"/>
        <v>_PRE2013</v>
      </c>
      <c r="S43" s="223" t="str">
        <f t="shared" si="6"/>
        <v>_PRE2013</v>
      </c>
      <c r="T43" s="223" t="str">
        <f t="shared" si="6"/>
        <v>_PRE2013</v>
      </c>
      <c r="U43" s="223"/>
      <c r="V43" s="223"/>
      <c r="W43" s="223" t="s">
        <v>769</v>
      </c>
      <c r="X43" t="str">
        <f>MLIST!C43</f>
        <v>Retro</v>
      </c>
      <c r="Y43" t="str">
        <f t="shared" si="2"/>
        <v>_PRE2013</v>
      </c>
    </row>
    <row r="44" spans="2:25">
      <c r="B44" s="16" t="str">
        <f>MLIST!D44</f>
        <v>Weatherization - School-Retro</v>
      </c>
      <c r="C44" t="str">
        <f t="shared" si="5"/>
        <v>_PRE2013</v>
      </c>
      <c r="D44" t="str">
        <f t="shared" si="6"/>
        <v>_PRE2013</v>
      </c>
      <c r="E44" s="223" t="str">
        <f t="shared" si="6"/>
        <v>_PRE2013</v>
      </c>
      <c r="F44" s="223" t="str">
        <f t="shared" si="6"/>
        <v>_PRE2013</v>
      </c>
      <c r="G44" s="223" t="str">
        <f t="shared" si="6"/>
        <v>_PRE2013</v>
      </c>
      <c r="H44" s="223" t="str">
        <f t="shared" si="6"/>
        <v>_PRE2013</v>
      </c>
      <c r="I44" s="223" t="str">
        <f t="shared" si="6"/>
        <v>_PRE2013</v>
      </c>
      <c r="J44" s="223" t="str">
        <f t="shared" si="6"/>
        <v>_PRE2013</v>
      </c>
      <c r="K44" s="223" t="str">
        <f t="shared" si="6"/>
        <v>_PRE2013</v>
      </c>
      <c r="L44" s="223" t="str">
        <f t="shared" si="6"/>
        <v>_PRE2013</v>
      </c>
      <c r="M44" s="223" t="str">
        <f t="shared" si="6"/>
        <v>_PRE2013</v>
      </c>
      <c r="N44" s="223" t="str">
        <f t="shared" si="6"/>
        <v>_PRE2013</v>
      </c>
      <c r="O44" s="223" t="str">
        <f t="shared" si="6"/>
        <v>_PRE2013</v>
      </c>
      <c r="P44" s="223" t="str">
        <f t="shared" si="6"/>
        <v>_PRE2013</v>
      </c>
      <c r="Q44" s="223" t="str">
        <f t="shared" si="6"/>
        <v>_PRE2013</v>
      </c>
      <c r="R44" s="223" t="str">
        <f t="shared" si="6"/>
        <v>_PRE2013</v>
      </c>
      <c r="S44" s="223" t="str">
        <f t="shared" si="6"/>
        <v>_PRE2013</v>
      </c>
      <c r="T44" s="223" t="str">
        <f t="shared" si="6"/>
        <v>_PRE2013</v>
      </c>
      <c r="U44" s="223"/>
      <c r="V44" s="223"/>
      <c r="W44" s="223" t="s">
        <v>769</v>
      </c>
      <c r="X44" t="str">
        <f>MLIST!C44</f>
        <v>Retro</v>
      </c>
      <c r="Y44" t="str">
        <f t="shared" si="2"/>
        <v>_PRE2013</v>
      </c>
    </row>
    <row r="45" spans="2:25">
      <c r="B45" s="16" t="str">
        <f>MLIST!D45</f>
        <v>Energy Recovery Ventilator-NR</v>
      </c>
      <c r="C45" t="str">
        <f t="shared" si="5"/>
        <v>POST2013</v>
      </c>
      <c r="D45" t="str">
        <f t="shared" si="6"/>
        <v>POST2013</v>
      </c>
      <c r="E45" s="223" t="str">
        <f t="shared" si="6"/>
        <v>POST2013</v>
      </c>
      <c r="F45" s="223" t="str">
        <f t="shared" si="6"/>
        <v>POST2013</v>
      </c>
      <c r="G45" s="223" t="str">
        <f t="shared" si="6"/>
        <v>POST2013</v>
      </c>
      <c r="H45" s="223" t="str">
        <f t="shared" si="6"/>
        <v>POST2013</v>
      </c>
      <c r="I45" s="223" t="str">
        <f t="shared" si="6"/>
        <v>POST2013</v>
      </c>
      <c r="J45" s="223" t="str">
        <f t="shared" si="6"/>
        <v>POST2013</v>
      </c>
      <c r="K45" s="223" t="str">
        <f t="shared" si="6"/>
        <v>POST2013</v>
      </c>
      <c r="L45" s="223" t="str">
        <f t="shared" si="6"/>
        <v>POST2013</v>
      </c>
      <c r="M45" s="223" t="str">
        <f t="shared" si="6"/>
        <v>POST2013</v>
      </c>
      <c r="N45" s="223" t="str">
        <f t="shared" si="6"/>
        <v>POST2013</v>
      </c>
      <c r="O45" s="223" t="str">
        <f t="shared" si="6"/>
        <v>POST2013</v>
      </c>
      <c r="P45" s="223" t="str">
        <f t="shared" si="6"/>
        <v>POST2013</v>
      </c>
      <c r="Q45" s="223" t="str">
        <f t="shared" si="6"/>
        <v>POST2013</v>
      </c>
      <c r="R45" s="223" t="str">
        <f t="shared" si="6"/>
        <v>POST2013</v>
      </c>
      <c r="S45" s="223" t="str">
        <f t="shared" si="6"/>
        <v>POST2013</v>
      </c>
      <c r="T45" s="223" t="str">
        <f t="shared" si="6"/>
        <v>POST2013</v>
      </c>
      <c r="U45" s="223"/>
      <c r="V45" s="223"/>
      <c r="W45" s="223" t="s">
        <v>767</v>
      </c>
      <c r="X45" t="str">
        <f>MLIST!C45</f>
        <v>NR</v>
      </c>
      <c r="Y45" t="str">
        <f t="shared" si="2"/>
        <v>POST2013</v>
      </c>
    </row>
    <row r="46" spans="2:25">
      <c r="B46" s="16" t="str">
        <f>MLIST!D46</f>
        <v>AC Heat Recovery for Water Heating-NR</v>
      </c>
      <c r="C46" t="str">
        <f t="shared" si="5"/>
        <v>POST2013</v>
      </c>
      <c r="D46" t="str">
        <f t="shared" si="6"/>
        <v>POST2013</v>
      </c>
      <c r="E46" s="223" t="str">
        <f t="shared" si="6"/>
        <v>POST2013</v>
      </c>
      <c r="F46" s="223" t="str">
        <f t="shared" si="6"/>
        <v>POST2013</v>
      </c>
      <c r="G46" s="223" t="str">
        <f t="shared" si="6"/>
        <v>POST2013</v>
      </c>
      <c r="H46" s="223" t="str">
        <f t="shared" si="6"/>
        <v>POST2013</v>
      </c>
      <c r="I46" s="223" t="str">
        <f t="shared" si="6"/>
        <v>POST2013</v>
      </c>
      <c r="J46" s="223" t="str">
        <f t="shared" si="6"/>
        <v>POST2013</v>
      </c>
      <c r="K46" s="223" t="str">
        <f t="shared" si="6"/>
        <v>POST2013</v>
      </c>
      <c r="L46" s="223" t="str">
        <f t="shared" si="6"/>
        <v>POST2013</v>
      </c>
      <c r="M46" s="223" t="str">
        <f t="shared" si="6"/>
        <v>POST2013</v>
      </c>
      <c r="N46" s="223" t="str">
        <f t="shared" si="6"/>
        <v>POST2013</v>
      </c>
      <c r="O46" s="223" t="str">
        <f t="shared" si="6"/>
        <v>POST2013</v>
      </c>
      <c r="P46" s="223" t="str">
        <f t="shared" si="6"/>
        <v>POST2013</v>
      </c>
      <c r="Q46" s="223" t="str">
        <f t="shared" si="6"/>
        <v>POST2013</v>
      </c>
      <c r="R46" s="223" t="str">
        <f t="shared" si="6"/>
        <v>POST2013</v>
      </c>
      <c r="S46" s="223" t="str">
        <f t="shared" si="6"/>
        <v>POST2013</v>
      </c>
      <c r="T46" s="223" t="str">
        <f t="shared" si="6"/>
        <v>POST2013</v>
      </c>
      <c r="U46" s="223"/>
      <c r="V46" s="223"/>
      <c r="W46" s="223" t="s">
        <v>767</v>
      </c>
      <c r="X46" t="str">
        <f>MLIST!C46</f>
        <v>NR</v>
      </c>
      <c r="Y46" t="str">
        <f t="shared" si="2"/>
        <v>POST2013</v>
      </c>
    </row>
    <row r="47" spans="2:25">
      <c r="B47" s="16" t="str">
        <f>MLIST!D47</f>
        <v>Room Occupancy Sensors in Lodging-Retro</v>
      </c>
      <c r="C47" t="str">
        <f t="shared" si="5"/>
        <v>_PRE2013</v>
      </c>
      <c r="D47" t="str">
        <f t="shared" si="6"/>
        <v>_PRE2013</v>
      </c>
      <c r="E47" s="223" t="str">
        <f t="shared" si="6"/>
        <v>_PRE2013</v>
      </c>
      <c r="F47" s="223" t="str">
        <f t="shared" si="6"/>
        <v>_PRE2013</v>
      </c>
      <c r="G47" s="223" t="str">
        <f t="shared" si="6"/>
        <v>_PRE2013</v>
      </c>
      <c r="H47" s="223" t="str">
        <f t="shared" si="6"/>
        <v>_PRE2013</v>
      </c>
      <c r="I47" s="223" t="str">
        <f t="shared" si="6"/>
        <v>_PRE2013</v>
      </c>
      <c r="J47" s="223" t="str">
        <f t="shared" si="6"/>
        <v>_PRE2013</v>
      </c>
      <c r="K47" s="223" t="str">
        <f t="shared" si="6"/>
        <v>_PRE2013</v>
      </c>
      <c r="L47" s="223" t="str">
        <f t="shared" si="6"/>
        <v>_PRE2013</v>
      </c>
      <c r="M47" s="223" t="str">
        <f t="shared" si="6"/>
        <v>_PRE2013</v>
      </c>
      <c r="N47" s="223" t="str">
        <f t="shared" si="6"/>
        <v>_PRE2013</v>
      </c>
      <c r="O47" s="223" t="str">
        <f t="shared" si="6"/>
        <v>_PRE2013</v>
      </c>
      <c r="P47" s="223" t="str">
        <f t="shared" si="6"/>
        <v>_PRE2013</v>
      </c>
      <c r="Q47" s="223" t="str">
        <f t="shared" si="6"/>
        <v>_PRE2013</v>
      </c>
      <c r="R47" s="223" t="str">
        <f t="shared" si="6"/>
        <v>_PRE2013</v>
      </c>
      <c r="S47" s="223" t="str">
        <f t="shared" si="6"/>
        <v>_PRE2013</v>
      </c>
      <c r="T47" s="223" t="str">
        <f t="shared" si="6"/>
        <v>_PRE2013</v>
      </c>
      <c r="U47" s="223"/>
      <c r="V47" s="223"/>
      <c r="W47" s="223" t="s">
        <v>769</v>
      </c>
      <c r="X47" t="str">
        <f>MLIST!C47</f>
        <v>Retro</v>
      </c>
      <c r="Y47" t="str">
        <f t="shared" si="2"/>
        <v>_PRE2013</v>
      </c>
    </row>
    <row r="48" spans="2:25">
      <c r="B48" s="16" t="str">
        <f>MLIST!D48</f>
        <v>Chiller - chilled water retrofit-Retro</v>
      </c>
      <c r="C48" t="str">
        <f t="shared" si="5"/>
        <v>_PRE2013</v>
      </c>
      <c r="D48" t="str">
        <f t="shared" si="6"/>
        <v>_PRE2013</v>
      </c>
      <c r="E48" s="223" t="str">
        <f t="shared" si="6"/>
        <v>_PRE2013</v>
      </c>
      <c r="F48" s="223" t="str">
        <f t="shared" si="6"/>
        <v>_PRE2013</v>
      </c>
      <c r="G48" s="223" t="str">
        <f t="shared" si="6"/>
        <v>_PRE2013</v>
      </c>
      <c r="H48" s="223" t="str">
        <f t="shared" si="6"/>
        <v>_PRE2013</v>
      </c>
      <c r="I48" s="223" t="str">
        <f t="shared" ref="D48:T60" si="7">$W48</f>
        <v>_PRE2013</v>
      </c>
      <c r="J48" s="223" t="str">
        <f t="shared" si="7"/>
        <v>_PRE2013</v>
      </c>
      <c r="K48" s="223" t="str">
        <f t="shared" si="7"/>
        <v>_PRE2013</v>
      </c>
      <c r="L48" s="223" t="str">
        <f t="shared" si="7"/>
        <v>_PRE2013</v>
      </c>
      <c r="M48" s="223" t="str">
        <f t="shared" si="7"/>
        <v>_PRE2013</v>
      </c>
      <c r="N48" s="223" t="str">
        <f t="shared" si="7"/>
        <v>_PRE2013</v>
      </c>
      <c r="O48" s="223" t="str">
        <f t="shared" si="7"/>
        <v>_PRE2013</v>
      </c>
      <c r="P48" s="223" t="str">
        <f t="shared" si="7"/>
        <v>_PRE2013</v>
      </c>
      <c r="Q48" s="223" t="str">
        <f t="shared" si="7"/>
        <v>_PRE2013</v>
      </c>
      <c r="R48" s="223" t="str">
        <f t="shared" si="7"/>
        <v>_PRE2013</v>
      </c>
      <c r="S48" s="223" t="str">
        <f t="shared" si="7"/>
        <v>_PRE2013</v>
      </c>
      <c r="T48" s="223" t="str">
        <f t="shared" si="7"/>
        <v>_PRE2013</v>
      </c>
      <c r="U48" s="223"/>
      <c r="V48" s="223"/>
      <c r="W48" s="223" t="s">
        <v>769</v>
      </c>
      <c r="X48" t="str">
        <f>MLIST!C48</f>
        <v>Retro</v>
      </c>
      <c r="Y48" t="str">
        <f t="shared" si="2"/>
        <v>_PRE2013</v>
      </c>
    </row>
    <row r="49" spans="2:25">
      <c r="B49" s="16" t="str">
        <f>MLIST!D49</f>
        <v>Chiller - equip retrofits-Retro</v>
      </c>
      <c r="C49" t="str">
        <f t="shared" ref="C49:C85" si="8">$W49</f>
        <v>_PRE2013</v>
      </c>
      <c r="D49" t="str">
        <f t="shared" si="7"/>
        <v>_PRE2013</v>
      </c>
      <c r="E49" s="223" t="str">
        <f t="shared" si="7"/>
        <v>_PRE2013</v>
      </c>
      <c r="F49" s="223" t="str">
        <f t="shared" si="7"/>
        <v>_PRE2013</v>
      </c>
      <c r="G49" s="223" t="str">
        <f t="shared" si="7"/>
        <v>_PRE2013</v>
      </c>
      <c r="H49" s="223" t="str">
        <f t="shared" si="7"/>
        <v>_PRE2013</v>
      </c>
      <c r="I49" s="223" t="str">
        <f t="shared" si="7"/>
        <v>_PRE2013</v>
      </c>
      <c r="J49" s="223" t="str">
        <f t="shared" si="7"/>
        <v>_PRE2013</v>
      </c>
      <c r="K49" s="223" t="str">
        <f t="shared" si="7"/>
        <v>_PRE2013</v>
      </c>
      <c r="L49" s="223" t="str">
        <f t="shared" si="7"/>
        <v>_PRE2013</v>
      </c>
      <c r="M49" s="223" t="str">
        <f t="shared" si="7"/>
        <v>_PRE2013</v>
      </c>
      <c r="N49" s="223" t="str">
        <f t="shared" si="7"/>
        <v>_PRE2013</v>
      </c>
      <c r="O49" s="223" t="str">
        <f t="shared" si="7"/>
        <v>_PRE2013</v>
      </c>
      <c r="P49" s="223" t="str">
        <f t="shared" si="7"/>
        <v>_PRE2013</v>
      </c>
      <c r="Q49" s="223" t="str">
        <f t="shared" si="7"/>
        <v>_PRE2013</v>
      </c>
      <c r="R49" s="223" t="str">
        <f t="shared" si="7"/>
        <v>_PRE2013</v>
      </c>
      <c r="S49" s="223" t="str">
        <f t="shared" si="7"/>
        <v>_PRE2013</v>
      </c>
      <c r="T49" s="223" t="str">
        <f t="shared" si="7"/>
        <v>_PRE2013</v>
      </c>
      <c r="U49" s="223"/>
      <c r="V49" s="223"/>
      <c r="W49" s="223" t="s">
        <v>769</v>
      </c>
      <c r="X49" t="str">
        <f>MLIST!C49</f>
        <v>Retro</v>
      </c>
      <c r="Y49" t="str">
        <f t="shared" si="2"/>
        <v>_PRE2013</v>
      </c>
    </row>
    <row r="50" spans="2:25">
      <c r="B50" s="16" t="str">
        <f>MLIST!D50</f>
        <v>Pool Blankets-Retro</v>
      </c>
      <c r="C50" t="str">
        <f t="shared" si="8"/>
        <v>_PRE2013</v>
      </c>
      <c r="D50" t="str">
        <f t="shared" si="7"/>
        <v>_PRE2013</v>
      </c>
      <c r="E50" s="223" t="str">
        <f t="shared" si="7"/>
        <v>_PRE2013</v>
      </c>
      <c r="F50" s="223" t="str">
        <f t="shared" si="7"/>
        <v>_PRE2013</v>
      </c>
      <c r="G50" s="223" t="str">
        <f t="shared" si="7"/>
        <v>_PRE2013</v>
      </c>
      <c r="H50" s="223" t="str">
        <f t="shared" si="7"/>
        <v>_PRE2013</v>
      </c>
      <c r="I50" s="223" t="str">
        <f t="shared" si="7"/>
        <v>_PRE2013</v>
      </c>
      <c r="J50" s="223" t="str">
        <f t="shared" si="7"/>
        <v>_PRE2013</v>
      </c>
      <c r="K50" s="223" t="str">
        <f t="shared" si="7"/>
        <v>_PRE2013</v>
      </c>
      <c r="L50" s="223" t="str">
        <f t="shared" si="7"/>
        <v>_PRE2013</v>
      </c>
      <c r="M50" s="223" t="str">
        <f t="shared" si="7"/>
        <v>_PRE2013</v>
      </c>
      <c r="N50" s="223" t="str">
        <f t="shared" si="7"/>
        <v>_PRE2013</v>
      </c>
      <c r="O50" s="223" t="str">
        <f t="shared" si="7"/>
        <v>_PRE2013</v>
      </c>
      <c r="P50" s="223" t="str">
        <f t="shared" si="7"/>
        <v>_PRE2013</v>
      </c>
      <c r="Q50" s="223" t="str">
        <f t="shared" si="7"/>
        <v>_PRE2013</v>
      </c>
      <c r="R50" s="223" t="str">
        <f t="shared" si="7"/>
        <v>_PRE2013</v>
      </c>
      <c r="S50" s="223" t="str">
        <f t="shared" si="7"/>
        <v>_PRE2013</v>
      </c>
      <c r="T50" s="223" t="str">
        <f t="shared" si="7"/>
        <v>_PRE2013</v>
      </c>
      <c r="U50" s="223"/>
      <c r="V50" s="223"/>
      <c r="W50" s="223" t="s">
        <v>769</v>
      </c>
      <c r="X50" t="str">
        <f>MLIST!C50</f>
        <v>Retro</v>
      </c>
      <c r="Y50" t="str">
        <f t="shared" si="2"/>
        <v>_PRE2013</v>
      </c>
    </row>
    <row r="51" spans="2:25">
      <c r="B51" s="16" t="str">
        <f>MLIST!D51</f>
        <v>Web-Enabled Thermostats-Retro</v>
      </c>
      <c r="C51" t="str">
        <f t="shared" si="8"/>
        <v>_PRE2013</v>
      </c>
      <c r="D51" t="str">
        <f t="shared" si="7"/>
        <v>_PRE2013</v>
      </c>
      <c r="E51" s="223" t="str">
        <f t="shared" si="7"/>
        <v>_PRE2013</v>
      </c>
      <c r="F51" s="223" t="str">
        <f t="shared" si="7"/>
        <v>_PRE2013</v>
      </c>
      <c r="G51" s="223" t="str">
        <f t="shared" si="7"/>
        <v>_PRE2013</v>
      </c>
      <c r="H51" s="223" t="str">
        <f t="shared" si="7"/>
        <v>_PRE2013</v>
      </c>
      <c r="I51" s="223" t="str">
        <f t="shared" si="7"/>
        <v>_PRE2013</v>
      </c>
      <c r="J51" s="223" t="str">
        <f t="shared" si="7"/>
        <v>_PRE2013</v>
      </c>
      <c r="K51" s="223" t="str">
        <f t="shared" si="7"/>
        <v>_PRE2013</v>
      </c>
      <c r="L51" s="223" t="str">
        <f t="shared" si="7"/>
        <v>_PRE2013</v>
      </c>
      <c r="M51" s="223" t="str">
        <f t="shared" si="7"/>
        <v>_PRE2013</v>
      </c>
      <c r="N51" s="223" t="str">
        <f t="shared" si="7"/>
        <v>_PRE2013</v>
      </c>
      <c r="O51" s="223" t="str">
        <f t="shared" si="7"/>
        <v>_PRE2013</v>
      </c>
      <c r="P51" s="223" t="str">
        <f t="shared" si="7"/>
        <v>_PRE2013</v>
      </c>
      <c r="Q51" s="223" t="str">
        <f t="shared" si="7"/>
        <v>_PRE2013</v>
      </c>
      <c r="R51" s="223" t="str">
        <f t="shared" si="7"/>
        <v>_PRE2013</v>
      </c>
      <c r="S51" s="223" t="str">
        <f t="shared" si="7"/>
        <v>_PRE2013</v>
      </c>
      <c r="T51" s="223" t="str">
        <f t="shared" si="7"/>
        <v>_PRE2013</v>
      </c>
      <c r="U51" s="223"/>
      <c r="V51" s="223"/>
      <c r="W51" s="223" t="s">
        <v>769</v>
      </c>
      <c r="X51" t="str">
        <f>MLIST!C51</f>
        <v>Retro</v>
      </c>
      <c r="Y51" t="str">
        <f t="shared" si="2"/>
        <v>_PRE2013</v>
      </c>
    </row>
    <row r="52" spans="2:25">
      <c r="B52" s="16" t="str">
        <f>MLIST!D52</f>
        <v>Garage CO2 ventilation-Retro</v>
      </c>
      <c r="C52" t="str">
        <f t="shared" si="8"/>
        <v>_PRE2013</v>
      </c>
      <c r="D52" t="str">
        <f t="shared" si="7"/>
        <v>_PRE2013</v>
      </c>
      <c r="E52" s="223" t="str">
        <f t="shared" si="7"/>
        <v>_PRE2013</v>
      </c>
      <c r="F52" s="223" t="str">
        <f t="shared" si="7"/>
        <v>_PRE2013</v>
      </c>
      <c r="G52" s="223" t="str">
        <f t="shared" si="7"/>
        <v>_PRE2013</v>
      </c>
      <c r="H52" s="223" t="str">
        <f t="shared" si="7"/>
        <v>_PRE2013</v>
      </c>
      <c r="I52" s="223" t="str">
        <f t="shared" si="7"/>
        <v>_PRE2013</v>
      </c>
      <c r="J52" s="223" t="str">
        <f t="shared" si="7"/>
        <v>_PRE2013</v>
      </c>
      <c r="K52" s="223" t="str">
        <f t="shared" si="7"/>
        <v>_PRE2013</v>
      </c>
      <c r="L52" s="223" t="str">
        <f t="shared" si="7"/>
        <v>_PRE2013</v>
      </c>
      <c r="M52" s="223" t="str">
        <f t="shared" si="7"/>
        <v>_PRE2013</v>
      </c>
      <c r="N52" s="223" t="str">
        <f t="shared" si="7"/>
        <v>_PRE2013</v>
      </c>
      <c r="O52" s="223" t="str">
        <f t="shared" si="7"/>
        <v>_PRE2013</v>
      </c>
      <c r="P52" s="223" t="str">
        <f t="shared" si="7"/>
        <v>_PRE2013</v>
      </c>
      <c r="Q52" s="223" t="str">
        <f t="shared" si="7"/>
        <v>_PRE2013</v>
      </c>
      <c r="R52" s="223" t="str">
        <f t="shared" si="7"/>
        <v>_PRE2013</v>
      </c>
      <c r="S52" s="223" t="str">
        <f t="shared" si="7"/>
        <v>_PRE2013</v>
      </c>
      <c r="T52" s="223" t="str">
        <f t="shared" si="7"/>
        <v>_PRE2013</v>
      </c>
      <c r="U52" s="223"/>
      <c r="V52" s="223"/>
      <c r="W52" s="223" t="s">
        <v>769</v>
      </c>
      <c r="X52" t="str">
        <f>MLIST!C52</f>
        <v>Retro</v>
      </c>
      <c r="Y52" t="str">
        <f t="shared" si="2"/>
        <v>_PRE2013</v>
      </c>
    </row>
    <row r="53" spans="2:25">
      <c r="B53" s="16" t="str">
        <f>MLIST!D53</f>
        <v>Circ Pump ECM and drive-Retro</v>
      </c>
      <c r="C53" t="str">
        <f t="shared" si="8"/>
        <v>_PRE2013</v>
      </c>
      <c r="D53" t="str">
        <f t="shared" si="7"/>
        <v>_PRE2013</v>
      </c>
      <c r="E53" s="223" t="str">
        <f t="shared" si="7"/>
        <v>_PRE2013</v>
      </c>
      <c r="F53" s="223" t="str">
        <f t="shared" si="7"/>
        <v>_PRE2013</v>
      </c>
      <c r="G53" s="223" t="str">
        <f t="shared" si="7"/>
        <v>_PRE2013</v>
      </c>
      <c r="H53" s="223" t="str">
        <f t="shared" si="7"/>
        <v>_PRE2013</v>
      </c>
      <c r="I53" s="223" t="str">
        <f t="shared" si="7"/>
        <v>_PRE2013</v>
      </c>
      <c r="J53" s="223" t="str">
        <f t="shared" si="7"/>
        <v>_PRE2013</v>
      </c>
      <c r="K53" s="223" t="str">
        <f t="shared" si="7"/>
        <v>_PRE2013</v>
      </c>
      <c r="L53" s="223" t="str">
        <f t="shared" si="7"/>
        <v>_PRE2013</v>
      </c>
      <c r="M53" s="223" t="str">
        <f t="shared" si="7"/>
        <v>_PRE2013</v>
      </c>
      <c r="N53" s="223" t="str">
        <f t="shared" si="7"/>
        <v>_PRE2013</v>
      </c>
      <c r="O53" s="223" t="str">
        <f t="shared" si="7"/>
        <v>_PRE2013</v>
      </c>
      <c r="P53" s="223" t="str">
        <f t="shared" si="7"/>
        <v>_PRE2013</v>
      </c>
      <c r="Q53" s="223" t="str">
        <f t="shared" si="7"/>
        <v>_PRE2013</v>
      </c>
      <c r="R53" s="223" t="str">
        <f t="shared" si="7"/>
        <v>_PRE2013</v>
      </c>
      <c r="S53" s="223" t="str">
        <f t="shared" si="7"/>
        <v>_PRE2013</v>
      </c>
      <c r="T53" s="223" t="str">
        <f t="shared" si="7"/>
        <v>_PRE2013</v>
      </c>
      <c r="U53" s="223"/>
      <c r="V53" s="223"/>
      <c r="W53" s="223" t="s">
        <v>769</v>
      </c>
      <c r="X53" t="str">
        <f>MLIST!C53</f>
        <v>Retro</v>
      </c>
      <c r="Y53" t="str">
        <f t="shared" si="2"/>
        <v>_PRE2013</v>
      </c>
    </row>
    <row r="54" spans="2:25">
      <c r="B54" s="16" t="str">
        <f>MLIST!D54</f>
        <v>VRF-New</v>
      </c>
      <c r="C54" t="str">
        <f t="shared" si="8"/>
        <v>_PRE2013</v>
      </c>
      <c r="D54" t="str">
        <f t="shared" si="7"/>
        <v>_PRE2013</v>
      </c>
      <c r="E54" s="223" t="str">
        <f t="shared" si="7"/>
        <v>_PRE2013</v>
      </c>
      <c r="F54" s="223" t="str">
        <f t="shared" si="7"/>
        <v>_PRE2013</v>
      </c>
      <c r="G54" s="223" t="str">
        <f t="shared" si="7"/>
        <v>_PRE2013</v>
      </c>
      <c r="H54" s="223" t="str">
        <f t="shared" si="7"/>
        <v>_PRE2013</v>
      </c>
      <c r="I54" s="223" t="str">
        <f t="shared" si="7"/>
        <v>_PRE2013</v>
      </c>
      <c r="J54" s="223" t="str">
        <f t="shared" si="7"/>
        <v>_PRE2013</v>
      </c>
      <c r="K54" s="223" t="str">
        <f t="shared" si="7"/>
        <v>_PRE2013</v>
      </c>
      <c r="L54" s="223" t="str">
        <f t="shared" si="7"/>
        <v>_PRE2013</v>
      </c>
      <c r="M54" s="223" t="str">
        <f t="shared" si="7"/>
        <v>_PRE2013</v>
      </c>
      <c r="N54" s="223" t="str">
        <f t="shared" si="7"/>
        <v>_PRE2013</v>
      </c>
      <c r="O54" s="223" t="str">
        <f t="shared" si="7"/>
        <v>_PRE2013</v>
      </c>
      <c r="P54" s="223" t="str">
        <f t="shared" si="7"/>
        <v>_PRE2013</v>
      </c>
      <c r="Q54" s="223" t="str">
        <f t="shared" si="7"/>
        <v>_PRE2013</v>
      </c>
      <c r="R54" s="223" t="str">
        <f t="shared" si="7"/>
        <v>_PRE2013</v>
      </c>
      <c r="S54" s="223" t="str">
        <f t="shared" si="7"/>
        <v>_PRE2013</v>
      </c>
      <c r="T54" s="223" t="str">
        <f t="shared" si="7"/>
        <v>_PRE2013</v>
      </c>
      <c r="U54" s="223"/>
      <c r="V54" s="223"/>
      <c r="W54" s="223" t="s">
        <v>769</v>
      </c>
      <c r="X54" t="str">
        <f>MLIST!C54</f>
        <v>New</v>
      </c>
      <c r="Y54" t="str">
        <f t="shared" si="2"/>
        <v>POST2013</v>
      </c>
    </row>
    <row r="55" spans="2:25">
      <c r="B55" s="16" t="str">
        <f>MLIST!D55</f>
        <v>VRF-Retro</v>
      </c>
      <c r="C55" t="str">
        <f t="shared" si="8"/>
        <v>_PRE2013</v>
      </c>
      <c r="D55" t="str">
        <f t="shared" si="7"/>
        <v>_PRE2013</v>
      </c>
      <c r="E55" s="223" t="str">
        <f t="shared" si="7"/>
        <v>_PRE2013</v>
      </c>
      <c r="F55" s="223" t="str">
        <f t="shared" si="7"/>
        <v>_PRE2013</v>
      </c>
      <c r="G55" s="223" t="str">
        <f t="shared" si="7"/>
        <v>_PRE2013</v>
      </c>
      <c r="H55" s="223" t="str">
        <f t="shared" si="7"/>
        <v>_PRE2013</v>
      </c>
      <c r="I55" s="223" t="str">
        <f t="shared" si="7"/>
        <v>_PRE2013</v>
      </c>
      <c r="J55" s="223" t="str">
        <f t="shared" si="7"/>
        <v>_PRE2013</v>
      </c>
      <c r="K55" s="223" t="str">
        <f t="shared" si="7"/>
        <v>_PRE2013</v>
      </c>
      <c r="L55" s="223" t="str">
        <f t="shared" si="7"/>
        <v>_PRE2013</v>
      </c>
      <c r="M55" s="223" t="str">
        <f t="shared" si="7"/>
        <v>_PRE2013</v>
      </c>
      <c r="N55" s="223" t="str">
        <f t="shared" si="7"/>
        <v>_PRE2013</v>
      </c>
      <c r="O55" s="223" t="str">
        <f t="shared" si="7"/>
        <v>_PRE2013</v>
      </c>
      <c r="P55" s="223" t="str">
        <f t="shared" si="7"/>
        <v>_PRE2013</v>
      </c>
      <c r="Q55" s="223" t="str">
        <f t="shared" si="7"/>
        <v>_PRE2013</v>
      </c>
      <c r="R55" s="223" t="str">
        <f t="shared" si="7"/>
        <v>_PRE2013</v>
      </c>
      <c r="S55" s="223" t="str">
        <f t="shared" si="7"/>
        <v>_PRE2013</v>
      </c>
      <c r="T55" s="223" t="str">
        <f t="shared" si="7"/>
        <v>_PRE2013</v>
      </c>
      <c r="U55" s="223"/>
      <c r="V55" s="223"/>
      <c r="W55" s="223" t="s">
        <v>769</v>
      </c>
      <c r="X55" t="str">
        <f>MLIST!C55</f>
        <v>Retro</v>
      </c>
      <c r="Y55" t="str">
        <f t="shared" si="2"/>
        <v>_PRE2013</v>
      </c>
    </row>
    <row r="56" spans="2:25">
      <c r="B56" s="16" t="str">
        <f>MLIST!D56</f>
        <v>Evaporator Roof Top HVAC-Retro</v>
      </c>
      <c r="C56" t="str">
        <f t="shared" si="8"/>
        <v>_PRE2013</v>
      </c>
      <c r="D56" t="str">
        <f t="shared" si="7"/>
        <v>_PRE2013</v>
      </c>
      <c r="E56" s="223" t="str">
        <f t="shared" si="7"/>
        <v>_PRE2013</v>
      </c>
      <c r="F56" s="223" t="str">
        <f t="shared" si="7"/>
        <v>_PRE2013</v>
      </c>
      <c r="G56" s="223" t="str">
        <f t="shared" si="7"/>
        <v>_PRE2013</v>
      </c>
      <c r="H56" s="223" t="str">
        <f t="shared" si="7"/>
        <v>_PRE2013</v>
      </c>
      <c r="I56" s="223" t="str">
        <f t="shared" si="7"/>
        <v>_PRE2013</v>
      </c>
      <c r="J56" s="223" t="str">
        <f t="shared" si="7"/>
        <v>_PRE2013</v>
      </c>
      <c r="K56" s="223" t="str">
        <f t="shared" si="7"/>
        <v>_PRE2013</v>
      </c>
      <c r="L56" s="223" t="str">
        <f t="shared" si="7"/>
        <v>_PRE2013</v>
      </c>
      <c r="M56" s="223" t="str">
        <f t="shared" si="7"/>
        <v>_PRE2013</v>
      </c>
      <c r="N56" s="223" t="str">
        <f t="shared" si="7"/>
        <v>_PRE2013</v>
      </c>
      <c r="O56" s="223" t="str">
        <f t="shared" si="7"/>
        <v>_PRE2013</v>
      </c>
      <c r="P56" s="223" t="str">
        <f t="shared" si="7"/>
        <v>_PRE2013</v>
      </c>
      <c r="Q56" s="223" t="str">
        <f t="shared" si="7"/>
        <v>_PRE2013</v>
      </c>
      <c r="R56" s="223" t="str">
        <f t="shared" si="7"/>
        <v>_PRE2013</v>
      </c>
      <c r="S56" s="223" t="str">
        <f t="shared" si="7"/>
        <v>_PRE2013</v>
      </c>
      <c r="T56" s="223" t="str">
        <f t="shared" si="7"/>
        <v>_PRE2013</v>
      </c>
      <c r="U56" s="223"/>
      <c r="V56" s="223"/>
      <c r="W56" s="223" t="s">
        <v>769</v>
      </c>
      <c r="X56" t="str">
        <f>MLIST!C56</f>
        <v>Retro</v>
      </c>
      <c r="Y56" t="str">
        <f t="shared" si="2"/>
        <v>_PRE2013</v>
      </c>
    </row>
    <row r="57" spans="2:25">
      <c r="B57" s="16" t="str">
        <f>MLIST!D57</f>
        <v>Secondary Glazing Systems-Retro</v>
      </c>
      <c r="C57" t="str">
        <f t="shared" si="8"/>
        <v>_PRE2013</v>
      </c>
      <c r="D57" t="str">
        <f t="shared" si="7"/>
        <v>_PRE2013</v>
      </c>
      <c r="E57" s="223" t="str">
        <f t="shared" si="7"/>
        <v>_PRE2013</v>
      </c>
      <c r="F57" s="223" t="str">
        <f t="shared" si="7"/>
        <v>_PRE2013</v>
      </c>
      <c r="G57" s="223" t="str">
        <f t="shared" si="7"/>
        <v>_PRE2013</v>
      </c>
      <c r="H57" s="223" t="str">
        <f t="shared" si="7"/>
        <v>_PRE2013</v>
      </c>
      <c r="I57" s="223" t="str">
        <f t="shared" si="7"/>
        <v>_PRE2013</v>
      </c>
      <c r="J57" s="223" t="str">
        <f t="shared" si="7"/>
        <v>_PRE2013</v>
      </c>
      <c r="K57" s="223" t="str">
        <f t="shared" si="7"/>
        <v>_PRE2013</v>
      </c>
      <c r="L57" s="223" t="str">
        <f t="shared" si="7"/>
        <v>_PRE2013</v>
      </c>
      <c r="M57" s="223" t="str">
        <f t="shared" si="7"/>
        <v>_PRE2013</v>
      </c>
      <c r="N57" s="223" t="str">
        <f t="shared" si="7"/>
        <v>_PRE2013</v>
      </c>
      <c r="O57" s="223" t="str">
        <f t="shared" si="7"/>
        <v>_PRE2013</v>
      </c>
      <c r="P57" s="223" t="str">
        <f t="shared" si="7"/>
        <v>_PRE2013</v>
      </c>
      <c r="Q57" s="223" t="str">
        <f t="shared" si="7"/>
        <v>_PRE2013</v>
      </c>
      <c r="R57" s="223" t="str">
        <f t="shared" si="7"/>
        <v>_PRE2013</v>
      </c>
      <c r="S57" s="223" t="str">
        <f t="shared" si="7"/>
        <v>_PRE2013</v>
      </c>
      <c r="T57" s="223" t="str">
        <f t="shared" si="7"/>
        <v>_PRE2013</v>
      </c>
      <c r="U57" s="223"/>
      <c r="V57" s="223"/>
      <c r="W57" s="223" t="s">
        <v>769</v>
      </c>
      <c r="X57" t="str">
        <f>MLIST!C57</f>
        <v>Retro</v>
      </c>
      <c r="Y57" t="str">
        <f t="shared" si="2"/>
        <v>_PRE2013</v>
      </c>
    </row>
    <row r="58" spans="2:25">
      <c r="B58" s="16" t="str">
        <f>MLIST!D58</f>
        <v>LPD Package-New</v>
      </c>
      <c r="C58" t="str">
        <f t="shared" si="8"/>
        <v>POST2013</v>
      </c>
      <c r="D58" t="str">
        <f t="shared" si="7"/>
        <v>POST2013</v>
      </c>
      <c r="E58" s="223" t="str">
        <f t="shared" si="7"/>
        <v>POST2013</v>
      </c>
      <c r="F58" s="223" t="str">
        <f t="shared" si="7"/>
        <v>POST2013</v>
      </c>
      <c r="G58" s="223" t="str">
        <f t="shared" si="7"/>
        <v>POST2013</v>
      </c>
      <c r="H58" s="223" t="str">
        <f t="shared" si="7"/>
        <v>POST2013</v>
      </c>
      <c r="I58" s="223" t="str">
        <f t="shared" si="7"/>
        <v>POST2013</v>
      </c>
      <c r="J58" s="223" t="str">
        <f t="shared" si="7"/>
        <v>POST2013</v>
      </c>
      <c r="K58" s="223" t="str">
        <f t="shared" si="7"/>
        <v>POST2013</v>
      </c>
      <c r="L58" s="223" t="str">
        <f t="shared" si="7"/>
        <v>POST2013</v>
      </c>
      <c r="M58" s="223" t="str">
        <f t="shared" si="7"/>
        <v>POST2013</v>
      </c>
      <c r="N58" s="223" t="str">
        <f t="shared" si="7"/>
        <v>POST2013</v>
      </c>
      <c r="O58" s="223" t="str">
        <f t="shared" si="7"/>
        <v>POST2013</v>
      </c>
      <c r="P58" s="223" t="str">
        <f t="shared" si="7"/>
        <v>POST2013</v>
      </c>
      <c r="Q58" s="223" t="str">
        <f t="shared" si="7"/>
        <v>POST2013</v>
      </c>
      <c r="R58" s="223" t="str">
        <f t="shared" si="7"/>
        <v>POST2013</v>
      </c>
      <c r="S58" s="223" t="str">
        <f t="shared" si="7"/>
        <v>POST2013</v>
      </c>
      <c r="T58" s="223" t="str">
        <f t="shared" si="7"/>
        <v>POST2013</v>
      </c>
      <c r="U58" s="223"/>
      <c r="V58" s="223"/>
      <c r="W58" s="223" t="s">
        <v>767</v>
      </c>
      <c r="X58" t="str">
        <f>MLIST!C58</f>
        <v>New</v>
      </c>
      <c r="Y58" t="str">
        <f t="shared" si="2"/>
        <v>POST2013</v>
      </c>
    </row>
    <row r="59" spans="2:25">
      <c r="B59" s="16" t="str">
        <f>MLIST!D59</f>
        <v>LPD Package-NR</v>
      </c>
      <c r="C59" t="str">
        <f t="shared" si="8"/>
        <v>_PRE2013</v>
      </c>
      <c r="D59" t="str">
        <f t="shared" si="7"/>
        <v>_PRE2013</v>
      </c>
      <c r="E59" s="223" t="str">
        <f t="shared" si="7"/>
        <v>_PRE2013</v>
      </c>
      <c r="F59" s="223" t="str">
        <f t="shared" si="7"/>
        <v>_PRE2013</v>
      </c>
      <c r="G59" s="223" t="str">
        <f t="shared" si="7"/>
        <v>_PRE2013</v>
      </c>
      <c r="H59" s="223" t="str">
        <f t="shared" si="7"/>
        <v>_PRE2013</v>
      </c>
      <c r="I59" s="223" t="str">
        <f t="shared" si="7"/>
        <v>_PRE2013</v>
      </c>
      <c r="J59" s="223" t="str">
        <f t="shared" si="7"/>
        <v>_PRE2013</v>
      </c>
      <c r="K59" s="223" t="str">
        <f t="shared" si="7"/>
        <v>_PRE2013</v>
      </c>
      <c r="L59" s="223" t="str">
        <f t="shared" si="7"/>
        <v>_PRE2013</v>
      </c>
      <c r="M59" s="223" t="str">
        <f t="shared" si="7"/>
        <v>_PRE2013</v>
      </c>
      <c r="N59" s="223" t="str">
        <f t="shared" si="7"/>
        <v>_PRE2013</v>
      </c>
      <c r="O59" s="223" t="str">
        <f t="shared" si="7"/>
        <v>_PRE2013</v>
      </c>
      <c r="P59" s="223" t="str">
        <f t="shared" si="7"/>
        <v>_PRE2013</v>
      </c>
      <c r="Q59" s="223" t="str">
        <f t="shared" si="7"/>
        <v>_PRE2013</v>
      </c>
      <c r="R59" s="223" t="str">
        <f t="shared" si="7"/>
        <v>_PRE2013</v>
      </c>
      <c r="S59" s="223" t="str">
        <f t="shared" si="7"/>
        <v>_PRE2013</v>
      </c>
      <c r="T59" s="223" t="str">
        <f t="shared" si="7"/>
        <v>_PRE2013</v>
      </c>
      <c r="U59" s="223"/>
      <c r="V59" s="223"/>
      <c r="W59" s="223" t="s">
        <v>769</v>
      </c>
      <c r="X59" t="str">
        <f>MLIST!C59</f>
        <v>NR</v>
      </c>
      <c r="Y59" s="510" t="s">
        <v>769</v>
      </c>
    </row>
    <row r="60" spans="2:25">
      <c r="B60" s="16" t="str">
        <f>MLIST!D60</f>
        <v>LPD Package-Retro</v>
      </c>
      <c r="C60" t="str">
        <f t="shared" si="8"/>
        <v>_PRE2013</v>
      </c>
      <c r="D60" t="str">
        <f t="shared" si="7"/>
        <v>_PRE2013</v>
      </c>
      <c r="E60" s="223" t="str">
        <f t="shared" si="7"/>
        <v>_PRE2013</v>
      </c>
      <c r="F60" s="223" t="str">
        <f t="shared" si="7"/>
        <v>_PRE2013</v>
      </c>
      <c r="G60" s="223" t="str">
        <f t="shared" si="7"/>
        <v>_PRE2013</v>
      </c>
      <c r="H60" s="223" t="str">
        <f t="shared" si="7"/>
        <v>_PRE2013</v>
      </c>
      <c r="I60" s="223" t="str">
        <f t="shared" ref="D60:T81" si="9">$W60</f>
        <v>_PRE2013</v>
      </c>
      <c r="J60" s="223" t="str">
        <f t="shared" si="9"/>
        <v>_PRE2013</v>
      </c>
      <c r="K60" s="223" t="str">
        <f t="shared" si="9"/>
        <v>_PRE2013</v>
      </c>
      <c r="L60" s="223" t="str">
        <f t="shared" si="9"/>
        <v>_PRE2013</v>
      </c>
      <c r="M60" s="223" t="str">
        <f t="shared" si="9"/>
        <v>_PRE2013</v>
      </c>
      <c r="N60" s="223" t="str">
        <f t="shared" si="9"/>
        <v>_PRE2013</v>
      </c>
      <c r="O60" s="223" t="str">
        <f t="shared" si="9"/>
        <v>_PRE2013</v>
      </c>
      <c r="P60" s="223" t="str">
        <f t="shared" si="9"/>
        <v>_PRE2013</v>
      </c>
      <c r="Q60" s="223" t="str">
        <f t="shared" si="9"/>
        <v>_PRE2013</v>
      </c>
      <c r="R60" s="223" t="str">
        <f t="shared" si="9"/>
        <v>_PRE2013</v>
      </c>
      <c r="S60" s="223" t="str">
        <f t="shared" si="9"/>
        <v>_PRE2013</v>
      </c>
      <c r="T60" s="223" t="str">
        <f t="shared" si="9"/>
        <v>_PRE2013</v>
      </c>
      <c r="U60" s="223"/>
      <c r="V60" s="223"/>
      <c r="W60" s="223" t="s">
        <v>769</v>
      </c>
      <c r="X60" t="str">
        <f>MLIST!C60</f>
        <v>Retro</v>
      </c>
      <c r="Y60" t="str">
        <f t="shared" si="2"/>
        <v>_PRE2013</v>
      </c>
    </row>
    <row r="61" spans="2:25">
      <c r="B61" s="16" t="str">
        <f>MLIST!D61</f>
        <v>Top Daylighting-New</v>
      </c>
      <c r="C61" t="str">
        <f t="shared" si="8"/>
        <v>POST2013</v>
      </c>
      <c r="D61" t="str">
        <f t="shared" si="9"/>
        <v>POST2013</v>
      </c>
      <c r="E61" s="223" t="str">
        <f t="shared" si="9"/>
        <v>POST2013</v>
      </c>
      <c r="F61" s="223" t="str">
        <f t="shared" si="9"/>
        <v>POST2013</v>
      </c>
      <c r="G61" s="223" t="str">
        <f t="shared" si="9"/>
        <v>POST2013</v>
      </c>
      <c r="H61" s="223" t="str">
        <f t="shared" si="9"/>
        <v>POST2013</v>
      </c>
      <c r="I61" s="223" t="str">
        <f t="shared" si="9"/>
        <v>POST2013</v>
      </c>
      <c r="J61" s="223" t="str">
        <f t="shared" si="9"/>
        <v>POST2013</v>
      </c>
      <c r="K61" s="223" t="str">
        <f t="shared" si="9"/>
        <v>POST2013</v>
      </c>
      <c r="L61" s="223" t="str">
        <f t="shared" si="9"/>
        <v>POST2013</v>
      </c>
      <c r="M61" s="223" t="str">
        <f t="shared" si="9"/>
        <v>POST2013</v>
      </c>
      <c r="N61" s="223" t="str">
        <f t="shared" si="9"/>
        <v>POST2013</v>
      </c>
      <c r="O61" s="223" t="str">
        <f t="shared" si="9"/>
        <v>POST2013</v>
      </c>
      <c r="P61" s="223" t="str">
        <f t="shared" si="9"/>
        <v>POST2013</v>
      </c>
      <c r="Q61" s="223" t="str">
        <f t="shared" si="9"/>
        <v>POST2013</v>
      </c>
      <c r="R61" s="223" t="str">
        <f t="shared" si="9"/>
        <v>POST2013</v>
      </c>
      <c r="S61" s="223" t="str">
        <f t="shared" si="9"/>
        <v>POST2013</v>
      </c>
      <c r="T61" s="223" t="str">
        <f t="shared" si="9"/>
        <v>POST2013</v>
      </c>
      <c r="U61" s="223"/>
      <c r="V61" s="223"/>
      <c r="W61" s="223" t="s">
        <v>767</v>
      </c>
      <c r="X61" t="str">
        <f>MLIST!C61</f>
        <v>New</v>
      </c>
      <c r="Y61" t="str">
        <f t="shared" si="2"/>
        <v>POST2013</v>
      </c>
    </row>
    <row r="62" spans="2:25">
      <c r="B62" s="16" t="str">
        <f>MLIST!D62</f>
        <v>Perimeter Daylighting Controls Advanced-New</v>
      </c>
      <c r="C62" t="str">
        <f t="shared" si="8"/>
        <v>POST2013</v>
      </c>
      <c r="D62" t="str">
        <f t="shared" si="9"/>
        <v>POST2013</v>
      </c>
      <c r="E62" s="223" t="str">
        <f t="shared" si="9"/>
        <v>POST2013</v>
      </c>
      <c r="F62" s="223" t="str">
        <f t="shared" si="9"/>
        <v>POST2013</v>
      </c>
      <c r="G62" s="223" t="str">
        <f t="shared" si="9"/>
        <v>POST2013</v>
      </c>
      <c r="H62" s="223" t="str">
        <f t="shared" si="9"/>
        <v>POST2013</v>
      </c>
      <c r="I62" s="223" t="str">
        <f t="shared" si="9"/>
        <v>POST2013</v>
      </c>
      <c r="J62" s="223" t="str">
        <f t="shared" si="9"/>
        <v>POST2013</v>
      </c>
      <c r="K62" s="223" t="str">
        <f t="shared" si="9"/>
        <v>POST2013</v>
      </c>
      <c r="L62" s="223" t="str">
        <f t="shared" si="9"/>
        <v>POST2013</v>
      </c>
      <c r="M62" s="223" t="str">
        <f t="shared" si="9"/>
        <v>POST2013</v>
      </c>
      <c r="N62" s="223" t="str">
        <f t="shared" si="9"/>
        <v>POST2013</v>
      </c>
      <c r="O62" s="223" t="str">
        <f t="shared" si="9"/>
        <v>POST2013</v>
      </c>
      <c r="P62" s="223" t="str">
        <f t="shared" si="9"/>
        <v>POST2013</v>
      </c>
      <c r="Q62" s="223" t="str">
        <f t="shared" si="9"/>
        <v>POST2013</v>
      </c>
      <c r="R62" s="223" t="str">
        <f t="shared" si="9"/>
        <v>POST2013</v>
      </c>
      <c r="S62" s="223" t="str">
        <f t="shared" si="9"/>
        <v>POST2013</v>
      </c>
      <c r="T62" s="223" t="str">
        <f t="shared" si="9"/>
        <v>POST2013</v>
      </c>
      <c r="U62" s="223"/>
      <c r="V62" s="223"/>
      <c r="W62" s="223" t="s">
        <v>767</v>
      </c>
      <c r="X62" t="str">
        <f>MLIST!C62</f>
        <v>New</v>
      </c>
      <c r="Y62" t="str">
        <f t="shared" si="2"/>
        <v>POST2013</v>
      </c>
    </row>
    <row r="63" spans="2:25">
      <c r="B63" s="16" t="str">
        <f>MLIST!D63</f>
        <v>Perimeter Daylighting Controls Advanced-NR</v>
      </c>
      <c r="C63" t="str">
        <f t="shared" si="8"/>
        <v>POST2013</v>
      </c>
      <c r="D63" t="str">
        <f t="shared" si="9"/>
        <v>POST2013</v>
      </c>
      <c r="E63" s="223" t="str">
        <f t="shared" si="9"/>
        <v>POST2013</v>
      </c>
      <c r="F63" s="223" t="str">
        <f t="shared" si="9"/>
        <v>POST2013</v>
      </c>
      <c r="G63" s="223" t="str">
        <f t="shared" si="9"/>
        <v>POST2013</v>
      </c>
      <c r="H63" s="223" t="str">
        <f t="shared" si="9"/>
        <v>POST2013</v>
      </c>
      <c r="I63" s="223" t="str">
        <f t="shared" si="9"/>
        <v>POST2013</v>
      </c>
      <c r="J63" s="223" t="str">
        <f t="shared" si="9"/>
        <v>POST2013</v>
      </c>
      <c r="K63" s="223" t="str">
        <f t="shared" si="9"/>
        <v>POST2013</v>
      </c>
      <c r="L63" s="223" t="str">
        <f t="shared" si="9"/>
        <v>POST2013</v>
      </c>
      <c r="M63" s="223" t="str">
        <f t="shared" si="9"/>
        <v>POST2013</v>
      </c>
      <c r="N63" s="223" t="str">
        <f t="shared" si="9"/>
        <v>POST2013</v>
      </c>
      <c r="O63" s="223" t="str">
        <f t="shared" si="9"/>
        <v>POST2013</v>
      </c>
      <c r="P63" s="223" t="str">
        <f t="shared" si="9"/>
        <v>POST2013</v>
      </c>
      <c r="Q63" s="223" t="str">
        <f t="shared" si="9"/>
        <v>POST2013</v>
      </c>
      <c r="R63" s="223" t="str">
        <f t="shared" si="9"/>
        <v>POST2013</v>
      </c>
      <c r="S63" s="223" t="str">
        <f t="shared" si="9"/>
        <v>POST2013</v>
      </c>
      <c r="T63" s="223" t="str">
        <f t="shared" si="9"/>
        <v>POST2013</v>
      </c>
      <c r="U63" s="223"/>
      <c r="V63" s="223"/>
      <c r="W63" s="223" t="s">
        <v>767</v>
      </c>
      <c r="X63" t="str">
        <f>MLIST!C63</f>
        <v>NR</v>
      </c>
      <c r="Y63" t="str">
        <f t="shared" si="2"/>
        <v>POST2013</v>
      </c>
    </row>
    <row r="64" spans="2:25">
      <c r="B64" s="16" t="str">
        <f>MLIST!D64</f>
        <v>Lighting Controls Interior-New</v>
      </c>
      <c r="C64" t="str">
        <f t="shared" si="8"/>
        <v>POST2013</v>
      </c>
      <c r="D64" t="str">
        <f t="shared" ref="D64:D70" si="10">$W64</f>
        <v>POST2013</v>
      </c>
      <c r="E64" s="223" t="str">
        <f t="shared" si="9"/>
        <v>POST2013</v>
      </c>
      <c r="F64" s="223" t="str">
        <f t="shared" si="9"/>
        <v>POST2013</v>
      </c>
      <c r="G64" s="223" t="str">
        <f t="shared" si="9"/>
        <v>POST2013</v>
      </c>
      <c r="H64" s="223" t="str">
        <f t="shared" si="9"/>
        <v>POST2013</v>
      </c>
      <c r="I64" s="223" t="str">
        <f t="shared" si="9"/>
        <v>POST2013</v>
      </c>
      <c r="J64" s="223" t="str">
        <f t="shared" si="9"/>
        <v>POST2013</v>
      </c>
      <c r="K64" s="223" t="str">
        <f t="shared" si="9"/>
        <v>POST2013</v>
      </c>
      <c r="L64" s="223" t="str">
        <f t="shared" si="9"/>
        <v>POST2013</v>
      </c>
      <c r="M64" s="223" t="str">
        <f t="shared" si="9"/>
        <v>POST2013</v>
      </c>
      <c r="N64" s="223" t="str">
        <f t="shared" si="9"/>
        <v>POST2013</v>
      </c>
      <c r="O64" s="223" t="str">
        <f t="shared" si="9"/>
        <v>POST2013</v>
      </c>
      <c r="P64" s="223" t="str">
        <f t="shared" si="9"/>
        <v>POST2013</v>
      </c>
      <c r="Q64" s="223" t="str">
        <f t="shared" si="9"/>
        <v>POST2013</v>
      </c>
      <c r="R64" s="223" t="str">
        <f t="shared" si="9"/>
        <v>POST2013</v>
      </c>
      <c r="S64" s="223" t="str">
        <f t="shared" si="9"/>
        <v>POST2013</v>
      </c>
      <c r="T64" s="223" t="str">
        <f t="shared" si="9"/>
        <v>POST2013</v>
      </c>
      <c r="U64" s="223"/>
      <c r="V64" s="223"/>
      <c r="W64" s="223" t="s">
        <v>767</v>
      </c>
      <c r="X64" t="str">
        <f>MLIST!C64</f>
        <v>New</v>
      </c>
      <c r="Y64" t="str">
        <f t="shared" si="2"/>
        <v>POST2013</v>
      </c>
    </row>
    <row r="65" spans="2:25">
      <c r="B65" s="16" t="str">
        <f>MLIST!D65</f>
        <v>Lighting Controls Interior-NR</v>
      </c>
      <c r="C65" t="str">
        <f t="shared" si="8"/>
        <v>_PRE2013</v>
      </c>
      <c r="D65" t="str">
        <f t="shared" si="10"/>
        <v>_PRE2013</v>
      </c>
      <c r="E65" s="223" t="str">
        <f t="shared" si="9"/>
        <v>_PRE2013</v>
      </c>
      <c r="F65" s="223" t="str">
        <f t="shared" si="9"/>
        <v>_PRE2013</v>
      </c>
      <c r="G65" s="223" t="str">
        <f t="shared" si="9"/>
        <v>_PRE2013</v>
      </c>
      <c r="H65" s="223" t="str">
        <f t="shared" si="9"/>
        <v>_PRE2013</v>
      </c>
      <c r="I65" s="223" t="str">
        <f t="shared" si="9"/>
        <v>_PRE2013</v>
      </c>
      <c r="J65" s="223" t="str">
        <f t="shared" si="9"/>
        <v>_PRE2013</v>
      </c>
      <c r="K65" s="223" t="str">
        <f t="shared" si="9"/>
        <v>_PRE2013</v>
      </c>
      <c r="L65" s="223" t="str">
        <f t="shared" si="9"/>
        <v>_PRE2013</v>
      </c>
      <c r="M65" s="223" t="str">
        <f t="shared" si="9"/>
        <v>_PRE2013</v>
      </c>
      <c r="N65" s="223" t="str">
        <f t="shared" si="9"/>
        <v>_PRE2013</v>
      </c>
      <c r="O65" s="223" t="str">
        <f t="shared" si="9"/>
        <v>_PRE2013</v>
      </c>
      <c r="P65" s="223" t="str">
        <f t="shared" si="9"/>
        <v>_PRE2013</v>
      </c>
      <c r="Q65" s="223" t="str">
        <f t="shared" si="9"/>
        <v>_PRE2013</v>
      </c>
      <c r="R65" s="223" t="str">
        <f t="shared" si="9"/>
        <v>_PRE2013</v>
      </c>
      <c r="S65" s="223" t="str">
        <f t="shared" si="9"/>
        <v>_PRE2013</v>
      </c>
      <c r="T65" s="223" t="str">
        <f t="shared" si="9"/>
        <v>_PRE2013</v>
      </c>
      <c r="U65" s="223"/>
      <c r="V65" s="223"/>
      <c r="W65" s="223" t="s">
        <v>769</v>
      </c>
      <c r="X65" t="str">
        <f>MLIST!C65</f>
        <v>NR</v>
      </c>
      <c r="Y65" s="510" t="s">
        <v>769</v>
      </c>
    </row>
    <row r="66" spans="2:25">
      <c r="B66" s="16" t="str">
        <f>MLIST!D66</f>
        <v>Exterior Building Lighting-New</v>
      </c>
      <c r="C66" t="str">
        <f t="shared" si="8"/>
        <v>POST2013</v>
      </c>
      <c r="D66" t="str">
        <f t="shared" si="10"/>
        <v>POST2013</v>
      </c>
      <c r="E66" s="223" t="str">
        <f t="shared" ref="E66:R66" si="11">$W66</f>
        <v>POST2013</v>
      </c>
      <c r="F66" s="223" t="str">
        <f t="shared" si="11"/>
        <v>POST2013</v>
      </c>
      <c r="G66" s="223" t="str">
        <f t="shared" si="11"/>
        <v>POST2013</v>
      </c>
      <c r="H66" s="223" t="str">
        <f t="shared" si="11"/>
        <v>POST2013</v>
      </c>
      <c r="I66" s="223" t="str">
        <f t="shared" si="11"/>
        <v>POST2013</v>
      </c>
      <c r="J66" s="223" t="str">
        <f t="shared" si="11"/>
        <v>POST2013</v>
      </c>
      <c r="K66" s="223" t="str">
        <f t="shared" si="11"/>
        <v>POST2013</v>
      </c>
      <c r="L66" s="223" t="str">
        <f t="shared" si="11"/>
        <v>POST2013</v>
      </c>
      <c r="M66" s="223" t="str">
        <f t="shared" si="11"/>
        <v>POST2013</v>
      </c>
      <c r="N66" s="223" t="str">
        <f t="shared" si="11"/>
        <v>POST2013</v>
      </c>
      <c r="O66" s="223" t="str">
        <f t="shared" si="11"/>
        <v>POST2013</v>
      </c>
      <c r="P66" s="223" t="str">
        <f t="shared" si="11"/>
        <v>POST2013</v>
      </c>
      <c r="Q66" s="223" t="str">
        <f t="shared" si="11"/>
        <v>POST2013</v>
      </c>
      <c r="R66" s="223" t="str">
        <f t="shared" si="11"/>
        <v>POST2013</v>
      </c>
      <c r="S66" s="223" t="str">
        <f t="shared" ref="E66:T70" si="12">$W66</f>
        <v>POST2013</v>
      </c>
      <c r="T66" s="223" t="str">
        <f t="shared" si="12"/>
        <v>POST2013</v>
      </c>
      <c r="U66" s="223"/>
      <c r="V66" s="223"/>
      <c r="W66" s="223" t="s">
        <v>767</v>
      </c>
      <c r="X66" t="str">
        <f>MLIST!C66</f>
        <v>New</v>
      </c>
      <c r="Y66" t="str">
        <f t="shared" si="2"/>
        <v>POST2013</v>
      </c>
    </row>
    <row r="67" spans="2:25">
      <c r="B67" s="16" t="str">
        <f>MLIST!D67</f>
        <v>Exterior Building Lighting-NR</v>
      </c>
      <c r="C67" t="str">
        <f t="shared" si="8"/>
        <v>POST2013</v>
      </c>
      <c r="D67" t="str">
        <f t="shared" si="10"/>
        <v>POST2013</v>
      </c>
      <c r="E67" s="223" t="str">
        <f t="shared" si="12"/>
        <v>POST2013</v>
      </c>
      <c r="F67" s="223" t="str">
        <f t="shared" si="12"/>
        <v>POST2013</v>
      </c>
      <c r="G67" s="223" t="str">
        <f t="shared" si="12"/>
        <v>POST2013</v>
      </c>
      <c r="H67" s="223" t="str">
        <f t="shared" si="12"/>
        <v>POST2013</v>
      </c>
      <c r="I67" s="223" t="str">
        <f t="shared" si="12"/>
        <v>POST2013</v>
      </c>
      <c r="J67" s="223" t="str">
        <f t="shared" si="12"/>
        <v>POST2013</v>
      </c>
      <c r="K67" s="223" t="str">
        <f t="shared" si="12"/>
        <v>POST2013</v>
      </c>
      <c r="L67" s="223" t="str">
        <f t="shared" si="12"/>
        <v>POST2013</v>
      </c>
      <c r="M67" s="223" t="str">
        <f t="shared" si="12"/>
        <v>POST2013</v>
      </c>
      <c r="N67" s="223" t="str">
        <f t="shared" si="12"/>
        <v>POST2013</v>
      </c>
      <c r="O67" s="223" t="str">
        <f t="shared" si="12"/>
        <v>POST2013</v>
      </c>
      <c r="P67" s="223" t="str">
        <f t="shared" si="12"/>
        <v>POST2013</v>
      </c>
      <c r="Q67" s="223" t="str">
        <f t="shared" si="12"/>
        <v>POST2013</v>
      </c>
      <c r="R67" s="223" t="str">
        <f t="shared" si="12"/>
        <v>POST2013</v>
      </c>
      <c r="S67" s="223" t="str">
        <f t="shared" si="12"/>
        <v>POST2013</v>
      </c>
      <c r="T67" s="223" t="str">
        <f t="shared" si="12"/>
        <v>POST2013</v>
      </c>
      <c r="U67" s="223"/>
      <c r="V67" s="223"/>
      <c r="W67" s="223" t="s">
        <v>767</v>
      </c>
      <c r="X67" t="str">
        <f>MLIST!C67</f>
        <v>NR</v>
      </c>
      <c r="Y67" t="str">
        <f t="shared" si="2"/>
        <v>POST2013</v>
      </c>
    </row>
    <row r="68" spans="2:25">
      <c r="B68" s="16" t="str">
        <f>MLIST!D68</f>
        <v>Street and Roadway Lighting-New</v>
      </c>
      <c r="C68" t="str">
        <f t="shared" si="8"/>
        <v>POST2013</v>
      </c>
      <c r="D68" t="str">
        <f t="shared" si="10"/>
        <v>POST2013</v>
      </c>
      <c r="E68" s="223" t="str">
        <f t="shared" si="12"/>
        <v>POST2013</v>
      </c>
      <c r="F68" s="223" t="str">
        <f t="shared" si="12"/>
        <v>POST2013</v>
      </c>
      <c r="G68" s="223" t="str">
        <f t="shared" si="12"/>
        <v>POST2013</v>
      </c>
      <c r="H68" s="223" t="str">
        <f t="shared" si="12"/>
        <v>POST2013</v>
      </c>
      <c r="I68" s="223" t="str">
        <f t="shared" si="12"/>
        <v>POST2013</v>
      </c>
      <c r="J68" s="223" t="str">
        <f t="shared" si="12"/>
        <v>POST2013</v>
      </c>
      <c r="K68" s="223" t="str">
        <f t="shared" si="12"/>
        <v>POST2013</v>
      </c>
      <c r="L68" s="223" t="str">
        <f t="shared" si="12"/>
        <v>POST2013</v>
      </c>
      <c r="M68" s="223" t="str">
        <f t="shared" si="12"/>
        <v>POST2013</v>
      </c>
      <c r="N68" s="223" t="str">
        <f t="shared" si="12"/>
        <v>POST2013</v>
      </c>
      <c r="O68" s="223" t="str">
        <f t="shared" si="12"/>
        <v>POST2013</v>
      </c>
      <c r="P68" s="223" t="str">
        <f t="shared" si="12"/>
        <v>POST2013</v>
      </c>
      <c r="Q68" s="223" t="str">
        <f t="shared" si="12"/>
        <v>POST2013</v>
      </c>
      <c r="R68" s="223" t="str">
        <f t="shared" si="12"/>
        <v>POST2013</v>
      </c>
      <c r="S68" s="223" t="str">
        <f t="shared" si="12"/>
        <v>POST2013</v>
      </c>
      <c r="T68" s="223" t="str">
        <f t="shared" si="12"/>
        <v>POST2013</v>
      </c>
      <c r="U68" s="223"/>
      <c r="V68" s="223"/>
      <c r="W68" s="223" t="s">
        <v>767</v>
      </c>
      <c r="X68" t="str">
        <f>MLIST!C68</f>
        <v>New</v>
      </c>
      <c r="Y68" t="str">
        <f t="shared" si="2"/>
        <v>POST2013</v>
      </c>
    </row>
    <row r="69" spans="2:25">
      <c r="B69" s="16" t="str">
        <f>MLIST!D69</f>
        <v>Street and Roadway Lighting-NR</v>
      </c>
      <c r="C69" t="str">
        <f t="shared" si="8"/>
        <v>POST2013</v>
      </c>
      <c r="D69" t="str">
        <f t="shared" si="10"/>
        <v>POST2013</v>
      </c>
      <c r="E69" s="223" t="str">
        <f t="shared" si="12"/>
        <v>POST2013</v>
      </c>
      <c r="F69" s="223" t="str">
        <f t="shared" si="12"/>
        <v>POST2013</v>
      </c>
      <c r="G69" s="223" t="str">
        <f t="shared" si="12"/>
        <v>POST2013</v>
      </c>
      <c r="H69" s="223" t="str">
        <f t="shared" si="12"/>
        <v>POST2013</v>
      </c>
      <c r="I69" s="223" t="str">
        <f t="shared" si="12"/>
        <v>POST2013</v>
      </c>
      <c r="J69" s="223" t="str">
        <f t="shared" si="12"/>
        <v>POST2013</v>
      </c>
      <c r="K69" s="223" t="str">
        <f t="shared" si="12"/>
        <v>POST2013</v>
      </c>
      <c r="L69" s="223" t="str">
        <f t="shared" si="12"/>
        <v>POST2013</v>
      </c>
      <c r="M69" s="223" t="str">
        <f t="shared" si="12"/>
        <v>POST2013</v>
      </c>
      <c r="N69" s="223" t="str">
        <f t="shared" si="12"/>
        <v>POST2013</v>
      </c>
      <c r="O69" s="223" t="str">
        <f t="shared" si="12"/>
        <v>POST2013</v>
      </c>
      <c r="P69" s="223" t="str">
        <f t="shared" si="12"/>
        <v>POST2013</v>
      </c>
      <c r="Q69" s="223" t="str">
        <f t="shared" si="12"/>
        <v>POST2013</v>
      </c>
      <c r="R69" s="223" t="str">
        <f t="shared" si="12"/>
        <v>POST2013</v>
      </c>
      <c r="S69" s="223" t="str">
        <f t="shared" si="12"/>
        <v>POST2013</v>
      </c>
      <c r="T69" s="223" t="str">
        <f t="shared" si="12"/>
        <v>POST2013</v>
      </c>
      <c r="U69" s="223"/>
      <c r="V69" s="223"/>
      <c r="W69" s="223" t="s">
        <v>767</v>
      </c>
      <c r="X69" t="str">
        <f>MLIST!C69</f>
        <v>NR</v>
      </c>
      <c r="Y69" t="str">
        <f t="shared" si="2"/>
        <v>POST2013</v>
      </c>
    </row>
    <row r="70" spans="2:25">
      <c r="B70" s="16" t="str">
        <f>MLIST!D70</f>
        <v>Parking Lighting-New</v>
      </c>
      <c r="C70" t="str">
        <f t="shared" si="8"/>
        <v>POST2013</v>
      </c>
      <c r="D70" t="str">
        <f t="shared" si="10"/>
        <v>POST2013</v>
      </c>
      <c r="E70" s="223" t="str">
        <f t="shared" si="12"/>
        <v>POST2013</v>
      </c>
      <c r="F70" s="223" t="str">
        <f t="shared" si="12"/>
        <v>POST2013</v>
      </c>
      <c r="G70" s="223" t="str">
        <f t="shared" si="12"/>
        <v>POST2013</v>
      </c>
      <c r="H70" s="223" t="str">
        <f t="shared" si="12"/>
        <v>POST2013</v>
      </c>
      <c r="I70" s="223" t="str">
        <f t="shared" si="12"/>
        <v>POST2013</v>
      </c>
      <c r="J70" s="223" t="str">
        <f t="shared" si="12"/>
        <v>POST2013</v>
      </c>
      <c r="K70" s="223" t="str">
        <f t="shared" si="12"/>
        <v>POST2013</v>
      </c>
      <c r="L70" s="223" t="str">
        <f t="shared" si="12"/>
        <v>POST2013</v>
      </c>
      <c r="M70" s="223" t="str">
        <f t="shared" si="12"/>
        <v>POST2013</v>
      </c>
      <c r="N70" s="223" t="str">
        <f t="shared" si="12"/>
        <v>POST2013</v>
      </c>
      <c r="O70" s="223" t="str">
        <f t="shared" si="12"/>
        <v>POST2013</v>
      </c>
      <c r="P70" s="223" t="str">
        <f t="shared" si="12"/>
        <v>POST2013</v>
      </c>
      <c r="Q70" s="223" t="str">
        <f t="shared" si="12"/>
        <v>POST2013</v>
      </c>
      <c r="R70" s="223" t="str">
        <f t="shared" si="12"/>
        <v>POST2013</v>
      </c>
      <c r="S70" s="223" t="str">
        <f t="shared" si="12"/>
        <v>POST2013</v>
      </c>
      <c r="T70" s="223" t="str">
        <f t="shared" si="12"/>
        <v>POST2013</v>
      </c>
      <c r="U70" s="223"/>
      <c r="V70" s="223"/>
      <c r="W70" s="223" t="s">
        <v>767</v>
      </c>
      <c r="X70" t="str">
        <f>MLIST!C70</f>
        <v>New</v>
      </c>
      <c r="Y70" t="str">
        <f t="shared" si="2"/>
        <v>POST2013</v>
      </c>
    </row>
    <row r="71" spans="2:25">
      <c r="B71" s="16" t="str">
        <f>MLIST!D71</f>
        <v>Parking Lighting-NR</v>
      </c>
      <c r="C71" t="str">
        <f t="shared" si="8"/>
        <v>POST2013</v>
      </c>
      <c r="D71" t="str">
        <f t="shared" si="9"/>
        <v>POST2013</v>
      </c>
      <c r="E71" s="223" t="str">
        <f t="shared" si="9"/>
        <v>POST2013</v>
      </c>
      <c r="F71" s="223" t="str">
        <f t="shared" si="9"/>
        <v>POST2013</v>
      </c>
      <c r="G71" s="223" t="str">
        <f t="shared" si="9"/>
        <v>POST2013</v>
      </c>
      <c r="H71" s="223" t="str">
        <f t="shared" si="9"/>
        <v>POST2013</v>
      </c>
      <c r="I71" s="223" t="str">
        <f t="shared" si="9"/>
        <v>POST2013</v>
      </c>
      <c r="J71" s="223" t="str">
        <f t="shared" si="9"/>
        <v>POST2013</v>
      </c>
      <c r="K71" s="223" t="str">
        <f t="shared" si="9"/>
        <v>POST2013</v>
      </c>
      <c r="L71" s="223" t="str">
        <f t="shared" si="9"/>
        <v>POST2013</v>
      </c>
      <c r="M71" s="223" t="str">
        <f t="shared" si="9"/>
        <v>POST2013</v>
      </c>
      <c r="N71" s="223" t="str">
        <f t="shared" si="9"/>
        <v>POST2013</v>
      </c>
      <c r="O71" s="223" t="str">
        <f t="shared" si="9"/>
        <v>POST2013</v>
      </c>
      <c r="P71" s="223" t="str">
        <f t="shared" si="9"/>
        <v>POST2013</v>
      </c>
      <c r="Q71" s="223" t="str">
        <f t="shared" si="9"/>
        <v>POST2013</v>
      </c>
      <c r="R71" s="223" t="str">
        <f t="shared" si="9"/>
        <v>POST2013</v>
      </c>
      <c r="S71" s="223" t="str">
        <f t="shared" si="9"/>
        <v>POST2013</v>
      </c>
      <c r="T71" s="223" t="str">
        <f t="shared" si="9"/>
        <v>POST2013</v>
      </c>
      <c r="U71" s="223"/>
      <c r="V71" s="223"/>
      <c r="W71" s="223" t="s">
        <v>767</v>
      </c>
      <c r="X71" t="str">
        <f>MLIST!C71</f>
        <v>NR</v>
      </c>
      <c r="Y71" t="str">
        <f t="shared" si="2"/>
        <v>POST2013</v>
      </c>
    </row>
    <row r="72" spans="2:25">
      <c r="B72" s="16" t="str">
        <f>MLIST!D73</f>
        <v>Low Power LF Lamps-NR</v>
      </c>
      <c r="C72" t="str">
        <f>$W72</f>
        <v>_PRE2013</v>
      </c>
      <c r="D72" t="str">
        <f>$W72</f>
        <v>_PRE2013</v>
      </c>
      <c r="W72" s="415" t="s">
        <v>769</v>
      </c>
      <c r="X72" t="s">
        <v>249</v>
      </c>
      <c r="Y72" t="str">
        <f>IF(X72="Retro","_PRE2013","POST2013")</f>
        <v>_PRE2013</v>
      </c>
    </row>
    <row r="73" spans="2:25">
      <c r="B73" s="16" t="str">
        <f>MLIST!D74</f>
        <v>LEC Exit Sign-New</v>
      </c>
      <c r="C73" t="str">
        <f t="shared" ref="C73:D74" si="13">$W73</f>
        <v>POST2013</v>
      </c>
      <c r="D73" t="str">
        <f t="shared" si="13"/>
        <v>POST2013</v>
      </c>
      <c r="E73" s="223"/>
      <c r="F73" s="223"/>
      <c r="G73" s="223"/>
      <c r="H73" s="223"/>
      <c r="I73" s="223"/>
      <c r="J73" s="223"/>
      <c r="K73" s="223"/>
      <c r="L73" s="223"/>
      <c r="M73" s="223"/>
      <c r="N73" s="223"/>
      <c r="O73" s="223"/>
      <c r="P73" s="223"/>
      <c r="Q73" s="223"/>
      <c r="R73" s="223"/>
      <c r="S73" s="223"/>
      <c r="T73" s="223"/>
      <c r="U73" s="223"/>
      <c r="V73" s="223"/>
      <c r="W73" s="223" t="s">
        <v>767</v>
      </c>
      <c r="X73" t="str">
        <f>MLIST!C73</f>
        <v>NR</v>
      </c>
      <c r="Y73" t="str">
        <f t="shared" ref="Y73:Y74" si="14">IF(X73="Retro","_PRE2013","POST2013")</f>
        <v>POST2013</v>
      </c>
    </row>
    <row r="74" spans="2:25">
      <c r="B74" s="16" t="str">
        <f>MLIST!D75</f>
        <v>LEC Exit Sign-NR</v>
      </c>
      <c r="C74" t="str">
        <f t="shared" si="13"/>
        <v>POST2013</v>
      </c>
      <c r="D74" t="str">
        <f t="shared" si="13"/>
        <v>POST2013</v>
      </c>
      <c r="E74" s="223"/>
      <c r="F74" s="223"/>
      <c r="G74" s="223"/>
      <c r="H74" s="223"/>
      <c r="I74" s="223"/>
      <c r="J74" s="223"/>
      <c r="K74" s="223"/>
      <c r="L74" s="223"/>
      <c r="M74" s="223"/>
      <c r="N74" s="223"/>
      <c r="O74" s="223"/>
      <c r="P74" s="223"/>
      <c r="Q74" s="223"/>
      <c r="R74" s="223"/>
      <c r="S74" s="223"/>
      <c r="T74" s="223"/>
      <c r="U74" s="223"/>
      <c r="V74" s="223"/>
      <c r="W74" s="223" t="s">
        <v>767</v>
      </c>
      <c r="X74" t="str">
        <f>MLIST!C74</f>
        <v>New</v>
      </c>
      <c r="Y74" t="str">
        <f t="shared" si="14"/>
        <v>POST2013</v>
      </c>
    </row>
    <row r="75" spans="2:25">
      <c r="B75" s="16" t="str">
        <f>MLIST!D72</f>
        <v>Bi-Level Stairwell Lighting-NR</v>
      </c>
      <c r="C75" t="str">
        <f t="shared" si="8"/>
        <v>_PRE2013</v>
      </c>
      <c r="D75" t="str">
        <f t="shared" si="9"/>
        <v>_PRE2013</v>
      </c>
      <c r="E75" s="223" t="str">
        <f t="shared" si="9"/>
        <v>_PRE2013</v>
      </c>
      <c r="F75" s="223" t="str">
        <f t="shared" si="9"/>
        <v>_PRE2013</v>
      </c>
      <c r="G75" s="223" t="str">
        <f t="shared" si="9"/>
        <v>_PRE2013</v>
      </c>
      <c r="H75" s="223" t="str">
        <f t="shared" si="9"/>
        <v>_PRE2013</v>
      </c>
      <c r="I75" s="223" t="str">
        <f t="shared" si="9"/>
        <v>_PRE2013</v>
      </c>
      <c r="J75" s="223" t="str">
        <f t="shared" si="9"/>
        <v>_PRE2013</v>
      </c>
      <c r="K75" s="223" t="str">
        <f t="shared" si="9"/>
        <v>_PRE2013</v>
      </c>
      <c r="L75" s="223" t="str">
        <f t="shared" si="9"/>
        <v>_PRE2013</v>
      </c>
      <c r="M75" s="223" t="str">
        <f t="shared" si="9"/>
        <v>_PRE2013</v>
      </c>
      <c r="N75" s="223" t="str">
        <f t="shared" si="9"/>
        <v>_PRE2013</v>
      </c>
      <c r="O75" s="223" t="str">
        <f t="shared" si="9"/>
        <v>_PRE2013</v>
      </c>
      <c r="P75" s="223" t="str">
        <f t="shared" si="9"/>
        <v>_PRE2013</v>
      </c>
      <c r="Q75" s="223" t="str">
        <f t="shared" si="9"/>
        <v>_PRE2013</v>
      </c>
      <c r="R75" s="223" t="str">
        <f t="shared" si="9"/>
        <v>_PRE2013</v>
      </c>
      <c r="S75" s="223" t="str">
        <f t="shared" si="9"/>
        <v>_PRE2013</v>
      </c>
      <c r="T75" s="223" t="str">
        <f t="shared" si="9"/>
        <v>_PRE2013</v>
      </c>
      <c r="U75" s="223"/>
      <c r="V75" s="223"/>
      <c r="W75" s="223" t="s">
        <v>769</v>
      </c>
      <c r="X75" t="str">
        <f>MLIST!C72</f>
        <v>NR</v>
      </c>
      <c r="Y75" t="str">
        <f t="shared" si="2"/>
        <v>POST2013</v>
      </c>
    </row>
    <row r="76" spans="2:25">
      <c r="B76" s="16" t="str">
        <f>MLIST!D76</f>
        <v>ECM-VAV-New</v>
      </c>
      <c r="C76" t="str">
        <f t="shared" si="8"/>
        <v>POST2013</v>
      </c>
      <c r="D76" t="str">
        <f t="shared" si="9"/>
        <v>POST2013</v>
      </c>
      <c r="E76" s="223" t="str">
        <f t="shared" si="9"/>
        <v>POST2013</v>
      </c>
      <c r="F76" s="223" t="str">
        <f t="shared" si="9"/>
        <v>POST2013</v>
      </c>
      <c r="G76" s="223" t="str">
        <f t="shared" si="9"/>
        <v>POST2013</v>
      </c>
      <c r="H76" s="223" t="str">
        <f t="shared" si="9"/>
        <v>POST2013</v>
      </c>
      <c r="I76" s="223" t="str">
        <f t="shared" si="9"/>
        <v>POST2013</v>
      </c>
      <c r="J76" s="223" t="str">
        <f t="shared" si="9"/>
        <v>POST2013</v>
      </c>
      <c r="K76" s="223" t="str">
        <f t="shared" si="9"/>
        <v>POST2013</v>
      </c>
      <c r="L76" s="223" t="str">
        <f t="shared" si="9"/>
        <v>POST2013</v>
      </c>
      <c r="M76" s="223" t="str">
        <f t="shared" si="9"/>
        <v>POST2013</v>
      </c>
      <c r="N76" s="223" t="str">
        <f t="shared" si="9"/>
        <v>POST2013</v>
      </c>
      <c r="O76" s="223" t="str">
        <f t="shared" si="9"/>
        <v>POST2013</v>
      </c>
      <c r="P76" s="223" t="str">
        <f t="shared" si="9"/>
        <v>POST2013</v>
      </c>
      <c r="Q76" s="223" t="str">
        <f t="shared" si="9"/>
        <v>POST2013</v>
      </c>
      <c r="R76" s="223" t="str">
        <f t="shared" si="9"/>
        <v>POST2013</v>
      </c>
      <c r="S76" s="223" t="str">
        <f t="shared" si="9"/>
        <v>POST2013</v>
      </c>
      <c r="T76" s="223" t="str">
        <f t="shared" si="9"/>
        <v>POST2013</v>
      </c>
      <c r="U76" s="223"/>
      <c r="V76" s="223"/>
      <c r="W76" s="223" t="s">
        <v>767</v>
      </c>
      <c r="X76" t="str">
        <f>MLIST!C76</f>
        <v>New</v>
      </c>
      <c r="Y76" t="str">
        <f t="shared" si="2"/>
        <v>POST2013</v>
      </c>
    </row>
    <row r="77" spans="2:25">
      <c r="B77" s="16" t="str">
        <f>MLIST!D77</f>
        <v>ECM-VAV-NR</v>
      </c>
      <c r="C77" t="str">
        <f t="shared" si="8"/>
        <v>POST2013</v>
      </c>
      <c r="D77" t="str">
        <f t="shared" si="9"/>
        <v>POST2013</v>
      </c>
      <c r="E77" s="223" t="str">
        <f t="shared" si="9"/>
        <v>POST2013</v>
      </c>
      <c r="F77" s="223" t="str">
        <f t="shared" si="9"/>
        <v>POST2013</v>
      </c>
      <c r="G77" s="223" t="str">
        <f t="shared" si="9"/>
        <v>POST2013</v>
      </c>
      <c r="H77" s="223" t="str">
        <f t="shared" si="9"/>
        <v>POST2013</v>
      </c>
      <c r="I77" s="223" t="str">
        <f t="shared" si="9"/>
        <v>POST2013</v>
      </c>
      <c r="J77" s="223" t="str">
        <f t="shared" si="9"/>
        <v>POST2013</v>
      </c>
      <c r="K77" s="223" t="str">
        <f t="shared" si="9"/>
        <v>POST2013</v>
      </c>
      <c r="L77" s="223" t="str">
        <f t="shared" si="9"/>
        <v>POST2013</v>
      </c>
      <c r="M77" s="223" t="str">
        <f t="shared" si="9"/>
        <v>POST2013</v>
      </c>
      <c r="N77" s="223" t="str">
        <f t="shared" si="9"/>
        <v>POST2013</v>
      </c>
      <c r="O77" s="223" t="str">
        <f t="shared" si="9"/>
        <v>POST2013</v>
      </c>
      <c r="P77" s="223" t="str">
        <f t="shared" si="9"/>
        <v>POST2013</v>
      </c>
      <c r="Q77" s="223" t="str">
        <f t="shared" si="9"/>
        <v>POST2013</v>
      </c>
      <c r="R77" s="223" t="str">
        <f t="shared" si="9"/>
        <v>POST2013</v>
      </c>
      <c r="S77" s="223" t="str">
        <f t="shared" si="9"/>
        <v>POST2013</v>
      </c>
      <c r="T77" s="223" t="str">
        <f t="shared" si="9"/>
        <v>POST2013</v>
      </c>
      <c r="U77" s="223"/>
      <c r="V77" s="223"/>
      <c r="W77" s="223" t="s">
        <v>767</v>
      </c>
      <c r="X77" t="str">
        <f>MLIST!C77</f>
        <v>NR</v>
      </c>
      <c r="Y77" t="str">
        <f t="shared" si="2"/>
        <v>POST2013</v>
      </c>
    </row>
    <row r="78" spans="2:25">
      <c r="B78" s="16" t="str">
        <f>MLIST!D78</f>
        <v>Pool pumps-Retro</v>
      </c>
      <c r="C78" t="str">
        <f t="shared" si="8"/>
        <v>_PRE2013</v>
      </c>
      <c r="D78" t="str">
        <f t="shared" si="9"/>
        <v>_PRE2013</v>
      </c>
      <c r="E78" s="223" t="str">
        <f t="shared" si="9"/>
        <v>_PRE2013</v>
      </c>
      <c r="F78" s="223" t="str">
        <f t="shared" si="9"/>
        <v>_PRE2013</v>
      </c>
      <c r="G78" s="223" t="str">
        <f t="shared" si="9"/>
        <v>_PRE2013</v>
      </c>
      <c r="H78" s="223" t="str">
        <f t="shared" si="9"/>
        <v>_PRE2013</v>
      </c>
      <c r="I78" s="223" t="str">
        <f t="shared" si="9"/>
        <v>_PRE2013</v>
      </c>
      <c r="J78" s="223" t="str">
        <f t="shared" si="9"/>
        <v>_PRE2013</v>
      </c>
      <c r="K78" s="223" t="str">
        <f t="shared" si="9"/>
        <v>_PRE2013</v>
      </c>
      <c r="L78" s="223" t="str">
        <f t="shared" si="9"/>
        <v>_PRE2013</v>
      </c>
      <c r="M78" s="223" t="str">
        <f t="shared" si="9"/>
        <v>_PRE2013</v>
      </c>
      <c r="N78" s="223" t="str">
        <f t="shared" si="9"/>
        <v>_PRE2013</v>
      </c>
      <c r="O78" s="223" t="str">
        <f t="shared" si="9"/>
        <v>_PRE2013</v>
      </c>
      <c r="P78" s="223" t="str">
        <f t="shared" si="9"/>
        <v>_PRE2013</v>
      </c>
      <c r="Q78" s="223" t="str">
        <f t="shared" si="9"/>
        <v>_PRE2013</v>
      </c>
      <c r="R78" s="223" t="str">
        <f t="shared" si="9"/>
        <v>_PRE2013</v>
      </c>
      <c r="S78" s="223" t="str">
        <f t="shared" si="9"/>
        <v>_PRE2013</v>
      </c>
      <c r="T78" s="223" t="str">
        <f t="shared" si="9"/>
        <v>_PRE2013</v>
      </c>
      <c r="U78" s="223"/>
      <c r="V78" s="223"/>
      <c r="W78" s="223" t="s">
        <v>769</v>
      </c>
      <c r="X78" t="str">
        <f>MLIST!C78</f>
        <v>Retro</v>
      </c>
      <c r="Y78" t="str">
        <f t="shared" si="2"/>
        <v>_PRE2013</v>
      </c>
    </row>
    <row r="79" spans="2:25">
      <c r="B79" s="16" t="str">
        <f>MLIST!D79</f>
        <v>MotorsRewind-New</v>
      </c>
      <c r="C79" t="str">
        <f t="shared" si="8"/>
        <v>_PRE2013</v>
      </c>
      <c r="D79" t="str">
        <f t="shared" ref="D79:R79" si="15">$W79</f>
        <v>_PRE2013</v>
      </c>
      <c r="E79" s="223" t="str">
        <f t="shared" si="15"/>
        <v>_PRE2013</v>
      </c>
      <c r="F79" s="223" t="str">
        <f t="shared" si="15"/>
        <v>_PRE2013</v>
      </c>
      <c r="G79" s="223" t="str">
        <f t="shared" si="15"/>
        <v>_PRE2013</v>
      </c>
      <c r="H79" s="223" t="str">
        <f t="shared" si="15"/>
        <v>_PRE2013</v>
      </c>
      <c r="I79" s="223" t="str">
        <f t="shared" si="15"/>
        <v>_PRE2013</v>
      </c>
      <c r="J79" s="223" t="str">
        <f t="shared" si="15"/>
        <v>_PRE2013</v>
      </c>
      <c r="K79" s="223" t="str">
        <f t="shared" si="15"/>
        <v>_PRE2013</v>
      </c>
      <c r="L79" s="223" t="str">
        <f t="shared" si="15"/>
        <v>_PRE2013</v>
      </c>
      <c r="M79" s="223" t="str">
        <f t="shared" si="15"/>
        <v>_PRE2013</v>
      </c>
      <c r="N79" s="223" t="str">
        <f t="shared" si="15"/>
        <v>_PRE2013</v>
      </c>
      <c r="O79" s="223" t="str">
        <f t="shared" si="15"/>
        <v>_PRE2013</v>
      </c>
      <c r="P79" s="223" t="str">
        <f t="shared" si="15"/>
        <v>_PRE2013</v>
      </c>
      <c r="Q79" s="223" t="str">
        <f t="shared" si="15"/>
        <v>_PRE2013</v>
      </c>
      <c r="R79" s="223" t="str">
        <f t="shared" si="15"/>
        <v>_PRE2013</v>
      </c>
      <c r="S79" s="223" t="str">
        <f t="shared" si="9"/>
        <v>_PRE2013</v>
      </c>
      <c r="T79" s="223" t="str">
        <f t="shared" si="9"/>
        <v>_PRE2013</v>
      </c>
      <c r="U79" s="223"/>
      <c r="V79" s="223"/>
      <c r="W79" s="223" t="s">
        <v>769</v>
      </c>
      <c r="X79" t="str">
        <f>MLIST!C79</f>
        <v>New</v>
      </c>
      <c r="Y79" t="str">
        <f t="shared" si="2"/>
        <v>POST2013</v>
      </c>
    </row>
    <row r="80" spans="2:25">
      <c r="B80" s="16" t="str">
        <f>MLIST!D80</f>
        <v>MotorsRewind-NR</v>
      </c>
      <c r="C80" t="str">
        <f t="shared" si="8"/>
        <v>POST2013</v>
      </c>
      <c r="D80" t="str">
        <f t="shared" si="9"/>
        <v>POST2013</v>
      </c>
      <c r="E80" s="223" t="str">
        <f t="shared" si="9"/>
        <v>POST2013</v>
      </c>
      <c r="F80" s="223" t="str">
        <f t="shared" si="9"/>
        <v>POST2013</v>
      </c>
      <c r="G80" s="223" t="str">
        <f t="shared" si="9"/>
        <v>POST2013</v>
      </c>
      <c r="H80" s="223" t="str">
        <f t="shared" si="9"/>
        <v>POST2013</v>
      </c>
      <c r="I80" s="223" t="str">
        <f t="shared" si="9"/>
        <v>POST2013</v>
      </c>
      <c r="J80" s="223" t="str">
        <f t="shared" si="9"/>
        <v>POST2013</v>
      </c>
      <c r="K80" s="223" t="str">
        <f t="shared" si="9"/>
        <v>POST2013</v>
      </c>
      <c r="L80" s="223" t="str">
        <f t="shared" si="9"/>
        <v>POST2013</v>
      </c>
      <c r="M80" s="223" t="str">
        <f t="shared" si="9"/>
        <v>POST2013</v>
      </c>
      <c r="N80" s="223" t="str">
        <f t="shared" si="9"/>
        <v>POST2013</v>
      </c>
      <c r="O80" s="223" t="str">
        <f t="shared" si="9"/>
        <v>POST2013</v>
      </c>
      <c r="P80" s="223" t="str">
        <f t="shared" si="9"/>
        <v>POST2013</v>
      </c>
      <c r="Q80" s="223" t="str">
        <f t="shared" si="9"/>
        <v>POST2013</v>
      </c>
      <c r="R80" s="223" t="str">
        <f t="shared" si="9"/>
        <v>POST2013</v>
      </c>
      <c r="S80" s="223" t="str">
        <f t="shared" si="9"/>
        <v>POST2013</v>
      </c>
      <c r="T80" s="223" t="str">
        <f t="shared" si="9"/>
        <v>POST2013</v>
      </c>
      <c r="U80" s="223"/>
      <c r="V80" s="223"/>
      <c r="W80" s="223" t="s">
        <v>767</v>
      </c>
      <c r="X80" t="str">
        <f>MLIST!C80</f>
        <v>NR</v>
      </c>
      <c r="Y80" t="str">
        <f t="shared" ref="Y80:Y96" si="16">IF(X80="Retro","_PRE2013","POST2013")</f>
        <v>POST2013</v>
      </c>
    </row>
    <row r="81" spans="2:25">
      <c r="B81" s="16" t="str">
        <f>MLIST!D81</f>
        <v>Municipal Sewage Treatment-Retro</v>
      </c>
      <c r="C81" t="str">
        <f t="shared" si="8"/>
        <v>_PRE2013</v>
      </c>
      <c r="D81" t="str">
        <f t="shared" si="9"/>
        <v>_PRE2013</v>
      </c>
      <c r="E81" s="223" t="str">
        <f t="shared" si="9"/>
        <v>_PRE2013</v>
      </c>
      <c r="F81" s="223" t="str">
        <f t="shared" si="9"/>
        <v>_PRE2013</v>
      </c>
      <c r="G81" s="223" t="str">
        <f t="shared" si="9"/>
        <v>_PRE2013</v>
      </c>
      <c r="H81" s="223" t="str">
        <f t="shared" si="9"/>
        <v>_PRE2013</v>
      </c>
      <c r="I81" s="223" t="str">
        <f t="shared" si="9"/>
        <v>_PRE2013</v>
      </c>
      <c r="J81" s="223" t="str">
        <f t="shared" si="9"/>
        <v>_PRE2013</v>
      </c>
      <c r="K81" s="223" t="str">
        <f t="shared" si="9"/>
        <v>_PRE2013</v>
      </c>
      <c r="L81" s="223" t="str">
        <f t="shared" si="9"/>
        <v>_PRE2013</v>
      </c>
      <c r="M81" s="223" t="str">
        <f t="shared" si="9"/>
        <v>_PRE2013</v>
      </c>
      <c r="N81" s="223" t="str">
        <f t="shared" si="9"/>
        <v>_PRE2013</v>
      </c>
      <c r="O81" s="223" t="str">
        <f t="shared" si="9"/>
        <v>_PRE2013</v>
      </c>
      <c r="P81" s="223" t="str">
        <f t="shared" si="9"/>
        <v>_PRE2013</v>
      </c>
      <c r="Q81" s="223" t="str">
        <f t="shared" si="9"/>
        <v>_PRE2013</v>
      </c>
      <c r="R81" s="223" t="str">
        <f t="shared" si="9"/>
        <v>_PRE2013</v>
      </c>
      <c r="S81" s="223" t="str">
        <f t="shared" si="9"/>
        <v>_PRE2013</v>
      </c>
      <c r="T81" s="223" t="str">
        <f t="shared" si="9"/>
        <v>_PRE2013</v>
      </c>
      <c r="U81" s="223"/>
      <c r="V81" s="223"/>
      <c r="W81" s="223" t="s">
        <v>769</v>
      </c>
      <c r="X81" t="str">
        <f>MLIST!C81</f>
        <v>Retro</v>
      </c>
      <c r="Y81" t="str">
        <f t="shared" si="16"/>
        <v>_PRE2013</v>
      </c>
    </row>
    <row r="82" spans="2:25">
      <c r="B82" s="16" t="str">
        <f>MLIST!D82</f>
        <v>Municipal Water Supply-Retro</v>
      </c>
      <c r="C82" t="str">
        <f t="shared" si="8"/>
        <v>_PRE2013</v>
      </c>
      <c r="D82" t="str">
        <f t="shared" ref="D82:T96" si="17">$W82</f>
        <v>_PRE2013</v>
      </c>
      <c r="E82" s="223" t="str">
        <f t="shared" si="17"/>
        <v>_PRE2013</v>
      </c>
      <c r="F82" s="223" t="str">
        <f t="shared" si="17"/>
        <v>_PRE2013</v>
      </c>
      <c r="G82" s="223" t="str">
        <f t="shared" si="17"/>
        <v>_PRE2013</v>
      </c>
      <c r="H82" s="223" t="str">
        <f t="shared" si="17"/>
        <v>_PRE2013</v>
      </c>
      <c r="I82" s="223" t="str">
        <f t="shared" si="17"/>
        <v>_PRE2013</v>
      </c>
      <c r="J82" s="223" t="str">
        <f t="shared" si="17"/>
        <v>_PRE2013</v>
      </c>
      <c r="K82" s="223" t="str">
        <f t="shared" si="17"/>
        <v>_PRE2013</v>
      </c>
      <c r="L82" s="223" t="str">
        <f t="shared" si="17"/>
        <v>_PRE2013</v>
      </c>
      <c r="M82" s="223" t="str">
        <f t="shared" si="17"/>
        <v>_PRE2013</v>
      </c>
      <c r="N82" s="223" t="str">
        <f t="shared" si="17"/>
        <v>_PRE2013</v>
      </c>
      <c r="O82" s="223" t="str">
        <f t="shared" si="17"/>
        <v>_PRE2013</v>
      </c>
      <c r="P82" s="223" t="str">
        <f t="shared" si="17"/>
        <v>_PRE2013</v>
      </c>
      <c r="Q82" s="223" t="str">
        <f t="shared" si="17"/>
        <v>_PRE2013</v>
      </c>
      <c r="R82" s="223" t="str">
        <f t="shared" si="17"/>
        <v>_PRE2013</v>
      </c>
      <c r="S82" s="223" t="str">
        <f t="shared" si="17"/>
        <v>_PRE2013</v>
      </c>
      <c r="T82" s="223" t="str">
        <f t="shared" si="17"/>
        <v>_PRE2013</v>
      </c>
      <c r="U82" s="223"/>
      <c r="V82" s="223"/>
      <c r="W82" s="223" t="s">
        <v>769</v>
      </c>
      <c r="X82" t="str">
        <f>MLIST!C82</f>
        <v>Retro</v>
      </c>
      <c r="Y82" t="str">
        <f t="shared" si="16"/>
        <v>_PRE2013</v>
      </c>
    </row>
    <row r="83" spans="2:25">
      <c r="B83" s="16" t="str">
        <f>MLIST!D83</f>
        <v>Engine Generator Block Heaters-Retro</v>
      </c>
      <c r="C83" t="str">
        <f t="shared" si="8"/>
        <v>_PRE2013</v>
      </c>
      <c r="D83" t="str">
        <f t="shared" si="17"/>
        <v>_PRE2013</v>
      </c>
      <c r="E83" s="223" t="str">
        <f t="shared" si="17"/>
        <v>_PRE2013</v>
      </c>
      <c r="F83" s="223" t="str">
        <f t="shared" si="17"/>
        <v>_PRE2013</v>
      </c>
      <c r="G83" s="223" t="str">
        <f t="shared" si="17"/>
        <v>_PRE2013</v>
      </c>
      <c r="H83" s="223" t="str">
        <f t="shared" si="17"/>
        <v>_PRE2013</v>
      </c>
      <c r="I83" s="223" t="str">
        <f t="shared" si="17"/>
        <v>_PRE2013</v>
      </c>
      <c r="J83" s="223" t="str">
        <f t="shared" si="17"/>
        <v>_PRE2013</v>
      </c>
      <c r="K83" s="223" t="str">
        <f t="shared" si="17"/>
        <v>_PRE2013</v>
      </c>
      <c r="L83" s="223" t="str">
        <f t="shared" si="17"/>
        <v>_PRE2013</v>
      </c>
      <c r="M83" s="223" t="str">
        <f t="shared" si="17"/>
        <v>_PRE2013</v>
      </c>
      <c r="N83" s="223" t="str">
        <f t="shared" si="17"/>
        <v>_PRE2013</v>
      </c>
      <c r="O83" s="223" t="str">
        <f t="shared" si="17"/>
        <v>_PRE2013</v>
      </c>
      <c r="P83" s="223" t="str">
        <f t="shared" si="17"/>
        <v>_PRE2013</v>
      </c>
      <c r="Q83" s="223" t="str">
        <f t="shared" si="17"/>
        <v>_PRE2013</v>
      </c>
      <c r="R83" s="223" t="str">
        <f t="shared" si="17"/>
        <v>_PRE2013</v>
      </c>
      <c r="S83" s="223" t="str">
        <f t="shared" si="17"/>
        <v>_PRE2013</v>
      </c>
      <c r="T83" s="223" t="str">
        <f t="shared" si="17"/>
        <v>_PRE2013</v>
      </c>
      <c r="U83" s="223"/>
      <c r="V83" s="223"/>
      <c r="W83" s="223" t="s">
        <v>769</v>
      </c>
      <c r="X83" t="str">
        <f>MLIST!C83</f>
        <v>Retro</v>
      </c>
      <c r="Y83" t="str">
        <f t="shared" si="16"/>
        <v>_PRE2013</v>
      </c>
    </row>
    <row r="84" spans="2:25">
      <c r="B84" s="16" t="str">
        <f>MLIST!D84</f>
        <v>Grocery Refrigeration Bundle-Retro</v>
      </c>
      <c r="C84" t="str">
        <f t="shared" si="8"/>
        <v>_PRE2013</v>
      </c>
      <c r="D84" t="str">
        <f t="shared" si="17"/>
        <v>_PRE2013</v>
      </c>
      <c r="E84" s="223" t="str">
        <f t="shared" si="17"/>
        <v>_PRE2013</v>
      </c>
      <c r="F84" s="223" t="str">
        <f t="shared" si="17"/>
        <v>_PRE2013</v>
      </c>
      <c r="G84" s="223" t="str">
        <f t="shared" si="17"/>
        <v>_PRE2013</v>
      </c>
      <c r="H84" s="223" t="str">
        <f t="shared" si="17"/>
        <v>_PRE2013</v>
      </c>
      <c r="I84" s="223" t="str">
        <f t="shared" si="17"/>
        <v>_PRE2013</v>
      </c>
      <c r="J84" s="223" t="str">
        <f t="shared" si="17"/>
        <v>_PRE2013</v>
      </c>
      <c r="K84" s="223" t="str">
        <f t="shared" si="17"/>
        <v>_PRE2013</v>
      </c>
      <c r="L84" s="223" t="str">
        <f t="shared" si="17"/>
        <v>_PRE2013</v>
      </c>
      <c r="M84" s="223" t="str">
        <f t="shared" si="17"/>
        <v>_PRE2013</v>
      </c>
      <c r="N84" s="223" t="str">
        <f t="shared" si="17"/>
        <v>_PRE2013</v>
      </c>
      <c r="O84" s="223" t="str">
        <f t="shared" si="17"/>
        <v>_PRE2013</v>
      </c>
      <c r="P84" s="223" t="str">
        <f t="shared" si="17"/>
        <v>_PRE2013</v>
      </c>
      <c r="Q84" s="223" t="str">
        <f t="shared" si="17"/>
        <v>_PRE2013</v>
      </c>
      <c r="R84" s="223" t="str">
        <f t="shared" si="17"/>
        <v>_PRE2013</v>
      </c>
      <c r="S84" s="223" t="str">
        <f t="shared" si="17"/>
        <v>_PRE2013</v>
      </c>
      <c r="T84" s="223" t="str">
        <f t="shared" si="17"/>
        <v>_PRE2013</v>
      </c>
      <c r="U84" s="223"/>
      <c r="V84" s="223"/>
      <c r="W84" s="223" t="s">
        <v>769</v>
      </c>
      <c r="X84" t="str">
        <f>MLIST!C84</f>
        <v>Retro</v>
      </c>
      <c r="Y84" t="str">
        <f t="shared" si="16"/>
        <v>_PRE2013</v>
      </c>
    </row>
    <row r="85" spans="2:25">
      <c r="B85" s="16" t="str">
        <f>MLIST!D85</f>
        <v>Packaged Refrigeration Equipment-New</v>
      </c>
      <c r="C85" t="str">
        <f t="shared" si="8"/>
        <v>POST2013</v>
      </c>
      <c r="D85" t="str">
        <f t="shared" si="17"/>
        <v>POST2013</v>
      </c>
      <c r="E85" s="223" t="str">
        <f t="shared" si="17"/>
        <v>POST2013</v>
      </c>
      <c r="F85" s="223" t="str">
        <f t="shared" si="17"/>
        <v>POST2013</v>
      </c>
      <c r="G85" s="223" t="str">
        <f t="shared" si="17"/>
        <v>POST2013</v>
      </c>
      <c r="H85" s="223" t="str">
        <f t="shared" si="17"/>
        <v>POST2013</v>
      </c>
      <c r="I85" s="223" t="str">
        <f t="shared" si="17"/>
        <v>POST2013</v>
      </c>
      <c r="J85" s="223" t="str">
        <f t="shared" si="17"/>
        <v>POST2013</v>
      </c>
      <c r="K85" s="223" t="str">
        <f t="shared" si="17"/>
        <v>POST2013</v>
      </c>
      <c r="L85" s="223" t="str">
        <f t="shared" si="17"/>
        <v>POST2013</v>
      </c>
      <c r="M85" s="223" t="str">
        <f t="shared" si="17"/>
        <v>POST2013</v>
      </c>
      <c r="N85" s="223" t="str">
        <f t="shared" si="17"/>
        <v>POST2013</v>
      </c>
      <c r="O85" s="223" t="str">
        <f t="shared" si="17"/>
        <v>POST2013</v>
      </c>
      <c r="P85" s="223" t="str">
        <f t="shared" si="17"/>
        <v>POST2013</v>
      </c>
      <c r="Q85" s="223" t="str">
        <f t="shared" si="17"/>
        <v>POST2013</v>
      </c>
      <c r="R85" s="223" t="str">
        <f t="shared" si="17"/>
        <v>POST2013</v>
      </c>
      <c r="S85" s="223" t="str">
        <f t="shared" si="17"/>
        <v>POST2013</v>
      </c>
      <c r="T85" s="223" t="str">
        <f t="shared" si="17"/>
        <v>POST2013</v>
      </c>
      <c r="U85" s="223"/>
      <c r="V85" s="223"/>
      <c r="W85" s="223" t="s">
        <v>767</v>
      </c>
      <c r="X85" t="str">
        <f>MLIST!C85</f>
        <v>New</v>
      </c>
      <c r="Y85" t="str">
        <f t="shared" si="16"/>
        <v>POST2013</v>
      </c>
    </row>
    <row r="86" spans="2:25">
      <c r="B86" s="16" t="str">
        <f>MLIST!D86</f>
        <v>Appliances - Freezers-NR</v>
      </c>
      <c r="C86" t="str">
        <f t="shared" ref="C86:C96" si="18">$W86</f>
        <v>POST2013</v>
      </c>
      <c r="D86" t="str">
        <f t="shared" si="17"/>
        <v>POST2013</v>
      </c>
      <c r="E86" s="223" t="str">
        <f t="shared" si="17"/>
        <v>POST2013</v>
      </c>
      <c r="F86" s="223" t="str">
        <f t="shared" si="17"/>
        <v>POST2013</v>
      </c>
      <c r="G86" s="223" t="str">
        <f t="shared" si="17"/>
        <v>POST2013</v>
      </c>
      <c r="H86" s="223" t="str">
        <f t="shared" si="17"/>
        <v>POST2013</v>
      </c>
      <c r="I86" s="223" t="str">
        <f t="shared" si="17"/>
        <v>POST2013</v>
      </c>
      <c r="J86" s="223" t="str">
        <f t="shared" si="17"/>
        <v>POST2013</v>
      </c>
      <c r="K86" s="223" t="str">
        <f t="shared" si="17"/>
        <v>POST2013</v>
      </c>
      <c r="L86" s="223" t="str">
        <f t="shared" si="17"/>
        <v>POST2013</v>
      </c>
      <c r="M86" s="223" t="str">
        <f t="shared" si="17"/>
        <v>POST2013</v>
      </c>
      <c r="N86" s="223" t="str">
        <f t="shared" si="17"/>
        <v>POST2013</v>
      </c>
      <c r="O86" s="223" t="str">
        <f t="shared" si="17"/>
        <v>POST2013</v>
      </c>
      <c r="P86" s="223" t="str">
        <f t="shared" si="17"/>
        <v>POST2013</v>
      </c>
      <c r="Q86" s="223" t="str">
        <f t="shared" si="17"/>
        <v>POST2013</v>
      </c>
      <c r="R86" s="223" t="str">
        <f t="shared" si="17"/>
        <v>POST2013</v>
      </c>
      <c r="S86" s="223" t="str">
        <f t="shared" si="17"/>
        <v>POST2013</v>
      </c>
      <c r="T86" s="223" t="str">
        <f t="shared" si="17"/>
        <v>POST2013</v>
      </c>
      <c r="U86" s="223"/>
      <c r="V86" s="223"/>
      <c r="W86" s="223" t="s">
        <v>767</v>
      </c>
      <c r="X86" t="str">
        <f>MLIST!C86</f>
        <v>NR</v>
      </c>
      <c r="Y86" t="str">
        <f t="shared" si="16"/>
        <v>POST2013</v>
      </c>
    </row>
    <row r="87" spans="2:25">
      <c r="B87" s="16" t="str">
        <f>MLIST!D87</f>
        <v>Appliances - Refrigerators-NR</v>
      </c>
      <c r="C87" t="str">
        <f t="shared" si="18"/>
        <v>POST2013</v>
      </c>
      <c r="D87" t="str">
        <f t="shared" si="17"/>
        <v>POST2013</v>
      </c>
      <c r="E87" s="223" t="str">
        <f t="shared" si="17"/>
        <v>POST2013</v>
      </c>
      <c r="F87" s="223" t="str">
        <f t="shared" si="17"/>
        <v>POST2013</v>
      </c>
      <c r="G87" s="223" t="str">
        <f t="shared" si="17"/>
        <v>POST2013</v>
      </c>
      <c r="H87" s="223" t="str">
        <f t="shared" si="17"/>
        <v>POST2013</v>
      </c>
      <c r="I87" s="223" t="str">
        <f t="shared" si="17"/>
        <v>POST2013</v>
      </c>
      <c r="J87" s="223" t="str">
        <f t="shared" si="17"/>
        <v>POST2013</v>
      </c>
      <c r="K87" s="223" t="str">
        <f t="shared" si="17"/>
        <v>POST2013</v>
      </c>
      <c r="L87" s="223" t="str">
        <f t="shared" si="17"/>
        <v>POST2013</v>
      </c>
      <c r="M87" s="223" t="str">
        <f t="shared" si="17"/>
        <v>POST2013</v>
      </c>
      <c r="N87" s="223" t="str">
        <f t="shared" si="17"/>
        <v>POST2013</v>
      </c>
      <c r="O87" s="223" t="str">
        <f t="shared" si="17"/>
        <v>POST2013</v>
      </c>
      <c r="P87" s="223" t="str">
        <f t="shared" si="17"/>
        <v>POST2013</v>
      </c>
      <c r="Q87" s="223" t="str">
        <f t="shared" si="17"/>
        <v>POST2013</v>
      </c>
      <c r="R87" s="223" t="str">
        <f t="shared" si="17"/>
        <v>POST2013</v>
      </c>
      <c r="S87" s="223" t="str">
        <f t="shared" si="17"/>
        <v>POST2013</v>
      </c>
      <c r="T87" s="223" t="str">
        <f t="shared" si="17"/>
        <v>POST2013</v>
      </c>
      <c r="U87" s="223"/>
      <c r="V87" s="223"/>
      <c r="W87" s="223" t="s">
        <v>767</v>
      </c>
      <c r="X87" t="str">
        <f>MLIST!C87</f>
        <v>NR</v>
      </c>
      <c r="Y87" t="str">
        <f t="shared" si="16"/>
        <v>POST2013</v>
      </c>
    </row>
    <row r="88" spans="2:25">
      <c r="B88" s="16" t="str">
        <f>MLIST!D88</f>
        <v>Water Cooler Controls-NR</v>
      </c>
      <c r="C88" t="str">
        <f t="shared" si="18"/>
        <v>_PRE2013</v>
      </c>
      <c r="D88" t="str">
        <f t="shared" si="17"/>
        <v>_PRE2013</v>
      </c>
      <c r="E88" s="223" t="str">
        <f t="shared" si="17"/>
        <v>_PRE2013</v>
      </c>
      <c r="F88" s="223" t="str">
        <f t="shared" si="17"/>
        <v>_PRE2013</v>
      </c>
      <c r="G88" s="223" t="str">
        <f t="shared" si="17"/>
        <v>_PRE2013</v>
      </c>
      <c r="H88" s="223" t="str">
        <f t="shared" si="17"/>
        <v>_PRE2013</v>
      </c>
      <c r="I88" s="223" t="str">
        <f t="shared" si="17"/>
        <v>_PRE2013</v>
      </c>
      <c r="J88" s="223" t="str">
        <f t="shared" si="17"/>
        <v>_PRE2013</v>
      </c>
      <c r="K88" s="223" t="str">
        <f t="shared" si="17"/>
        <v>_PRE2013</v>
      </c>
      <c r="L88" s="223" t="str">
        <f t="shared" si="17"/>
        <v>_PRE2013</v>
      </c>
      <c r="M88" s="223" t="str">
        <f t="shared" si="17"/>
        <v>_PRE2013</v>
      </c>
      <c r="N88" s="223" t="str">
        <f t="shared" si="17"/>
        <v>_PRE2013</v>
      </c>
      <c r="O88" s="223" t="str">
        <f t="shared" si="17"/>
        <v>_PRE2013</v>
      </c>
      <c r="P88" s="223" t="str">
        <f t="shared" si="17"/>
        <v>_PRE2013</v>
      </c>
      <c r="Q88" s="223" t="str">
        <f t="shared" si="17"/>
        <v>_PRE2013</v>
      </c>
      <c r="R88" s="223" t="str">
        <f t="shared" si="17"/>
        <v>_PRE2013</v>
      </c>
      <c r="S88" s="223" t="str">
        <f t="shared" si="17"/>
        <v>_PRE2013</v>
      </c>
      <c r="T88" s="223" t="str">
        <f t="shared" si="17"/>
        <v>_PRE2013</v>
      </c>
      <c r="U88" s="223"/>
      <c r="V88" s="223"/>
      <c r="W88" s="223" t="s">
        <v>769</v>
      </c>
      <c r="X88" t="str">
        <f>MLIST!C88</f>
        <v>NR</v>
      </c>
      <c r="Y88" t="str">
        <f t="shared" si="16"/>
        <v>POST2013</v>
      </c>
    </row>
    <row r="89" spans="2:25">
      <c r="B89" s="16" t="str">
        <f>MLIST!D89</f>
        <v>WHTanks-New</v>
      </c>
      <c r="C89" t="str">
        <f t="shared" si="18"/>
        <v>POST2013</v>
      </c>
      <c r="D89" t="str">
        <f t="shared" si="17"/>
        <v>POST2013</v>
      </c>
      <c r="E89" s="223" t="str">
        <f t="shared" si="17"/>
        <v>POST2013</v>
      </c>
      <c r="F89" s="223" t="str">
        <f t="shared" si="17"/>
        <v>POST2013</v>
      </c>
      <c r="G89" s="223" t="str">
        <f t="shared" si="17"/>
        <v>POST2013</v>
      </c>
      <c r="H89" s="223" t="str">
        <f t="shared" si="17"/>
        <v>POST2013</v>
      </c>
      <c r="I89" s="223" t="str">
        <f t="shared" si="17"/>
        <v>POST2013</v>
      </c>
      <c r="J89" s="223" t="str">
        <f t="shared" si="17"/>
        <v>POST2013</v>
      </c>
      <c r="K89" s="223" t="str">
        <f t="shared" si="17"/>
        <v>POST2013</v>
      </c>
      <c r="L89" s="223" t="str">
        <f t="shared" si="17"/>
        <v>POST2013</v>
      </c>
      <c r="M89" s="223" t="str">
        <f t="shared" si="17"/>
        <v>POST2013</v>
      </c>
      <c r="N89" s="223" t="str">
        <f t="shared" si="17"/>
        <v>POST2013</v>
      </c>
      <c r="O89" s="223" t="str">
        <f t="shared" si="17"/>
        <v>POST2013</v>
      </c>
      <c r="P89" s="223" t="str">
        <f t="shared" si="17"/>
        <v>POST2013</v>
      </c>
      <c r="Q89" s="223" t="str">
        <f t="shared" si="17"/>
        <v>POST2013</v>
      </c>
      <c r="R89" s="223" t="str">
        <f t="shared" si="17"/>
        <v>POST2013</v>
      </c>
      <c r="S89" s="223" t="str">
        <f t="shared" si="17"/>
        <v>POST2013</v>
      </c>
      <c r="T89" s="223" t="str">
        <f t="shared" si="17"/>
        <v>POST2013</v>
      </c>
      <c r="U89" s="223"/>
      <c r="V89" s="223"/>
      <c r="W89" s="223" t="s">
        <v>767</v>
      </c>
      <c r="X89" t="str">
        <f>MLIST!C89</f>
        <v>New</v>
      </c>
      <c r="Y89" t="str">
        <f t="shared" si="16"/>
        <v>POST2013</v>
      </c>
    </row>
    <row r="90" spans="2:25">
      <c r="B90" s="16" t="str">
        <f>MLIST!D90</f>
        <v>WHTanks-NR</v>
      </c>
      <c r="C90" t="str">
        <f t="shared" si="18"/>
        <v>_PRE2013</v>
      </c>
      <c r="D90" t="str">
        <f t="shared" si="17"/>
        <v>_PRE2013</v>
      </c>
      <c r="E90" s="223" t="str">
        <f t="shared" si="17"/>
        <v>_PRE2013</v>
      </c>
      <c r="F90" s="223" t="str">
        <f t="shared" si="17"/>
        <v>_PRE2013</v>
      </c>
      <c r="G90" s="223" t="str">
        <f t="shared" si="17"/>
        <v>_PRE2013</v>
      </c>
      <c r="H90" s="223" t="str">
        <f t="shared" si="17"/>
        <v>_PRE2013</v>
      </c>
      <c r="I90" s="223" t="str">
        <f t="shared" si="17"/>
        <v>_PRE2013</v>
      </c>
      <c r="J90" s="223" t="str">
        <f t="shared" si="17"/>
        <v>_PRE2013</v>
      </c>
      <c r="K90" s="223" t="str">
        <f t="shared" si="17"/>
        <v>_PRE2013</v>
      </c>
      <c r="L90" s="223" t="str">
        <f t="shared" si="17"/>
        <v>_PRE2013</v>
      </c>
      <c r="M90" s="223" t="str">
        <f t="shared" si="17"/>
        <v>_PRE2013</v>
      </c>
      <c r="N90" s="223" t="str">
        <f t="shared" si="17"/>
        <v>_PRE2013</v>
      </c>
      <c r="O90" s="223" t="str">
        <f t="shared" si="17"/>
        <v>_PRE2013</v>
      </c>
      <c r="P90" s="223" t="str">
        <f t="shared" si="17"/>
        <v>_PRE2013</v>
      </c>
      <c r="Q90" s="223" t="str">
        <f t="shared" si="17"/>
        <v>_PRE2013</v>
      </c>
      <c r="R90" s="223" t="str">
        <f t="shared" si="17"/>
        <v>_PRE2013</v>
      </c>
      <c r="S90" s="223" t="str">
        <f t="shared" si="17"/>
        <v>_PRE2013</v>
      </c>
      <c r="T90" s="223" t="str">
        <f t="shared" si="17"/>
        <v>_PRE2013</v>
      </c>
      <c r="U90" s="223"/>
      <c r="V90" s="223"/>
      <c r="W90" s="223" t="s">
        <v>769</v>
      </c>
      <c r="X90" t="str">
        <f>MLIST!C90</f>
        <v>NR</v>
      </c>
      <c r="Y90" t="str">
        <f t="shared" si="16"/>
        <v>POST2013</v>
      </c>
    </row>
    <row r="91" spans="2:25">
      <c r="B91" s="16" t="str">
        <f>MLIST!D91</f>
        <v>Appliances - Clothes Washers-NR</v>
      </c>
      <c r="C91" t="str">
        <f t="shared" si="18"/>
        <v>POST2013</v>
      </c>
      <c r="D91" t="str">
        <f t="shared" si="17"/>
        <v>POST2013</v>
      </c>
      <c r="E91" s="223" t="str">
        <f t="shared" si="17"/>
        <v>POST2013</v>
      </c>
      <c r="F91" s="223" t="str">
        <f t="shared" si="17"/>
        <v>POST2013</v>
      </c>
      <c r="G91" s="223" t="str">
        <f t="shared" si="17"/>
        <v>POST2013</v>
      </c>
      <c r="H91" s="223" t="str">
        <f t="shared" si="17"/>
        <v>POST2013</v>
      </c>
      <c r="I91" s="223" t="str">
        <f t="shared" si="17"/>
        <v>POST2013</v>
      </c>
      <c r="J91" s="223" t="str">
        <f t="shared" si="17"/>
        <v>POST2013</v>
      </c>
      <c r="K91" s="223" t="str">
        <f t="shared" si="17"/>
        <v>POST2013</v>
      </c>
      <c r="L91" s="223" t="str">
        <f t="shared" si="17"/>
        <v>POST2013</v>
      </c>
      <c r="M91" s="223" t="str">
        <f t="shared" si="17"/>
        <v>POST2013</v>
      </c>
      <c r="N91" s="223" t="str">
        <f t="shared" si="17"/>
        <v>POST2013</v>
      </c>
      <c r="O91" s="223" t="str">
        <f t="shared" si="17"/>
        <v>POST2013</v>
      </c>
      <c r="P91" s="223" t="str">
        <f t="shared" si="17"/>
        <v>POST2013</v>
      </c>
      <c r="Q91" s="223" t="str">
        <f t="shared" si="17"/>
        <v>POST2013</v>
      </c>
      <c r="R91" s="223" t="str">
        <f t="shared" si="17"/>
        <v>POST2013</v>
      </c>
      <c r="S91" s="223" t="str">
        <f t="shared" si="17"/>
        <v>POST2013</v>
      </c>
      <c r="T91" s="223" t="str">
        <f t="shared" si="17"/>
        <v>POST2013</v>
      </c>
      <c r="U91" s="223"/>
      <c r="V91" s="223"/>
      <c r="W91" s="223" t="s">
        <v>767</v>
      </c>
      <c r="X91" t="str">
        <f>MLIST!C91</f>
        <v>NR</v>
      </c>
      <c r="Y91" t="str">
        <f t="shared" si="16"/>
        <v>POST2013</v>
      </c>
    </row>
    <row r="92" spans="2:25">
      <c r="B92" s="16" t="str">
        <f>MLIST!D92</f>
        <v>Showerheads-Retro</v>
      </c>
      <c r="C92" t="str">
        <f t="shared" si="18"/>
        <v>_PRE2013</v>
      </c>
      <c r="D92" t="str">
        <f t="shared" si="17"/>
        <v>_PRE2013</v>
      </c>
      <c r="E92" s="223" t="str">
        <f t="shared" si="17"/>
        <v>_PRE2013</v>
      </c>
      <c r="F92" s="223" t="str">
        <f t="shared" si="17"/>
        <v>_PRE2013</v>
      </c>
      <c r="G92" s="223" t="str">
        <f t="shared" si="17"/>
        <v>_PRE2013</v>
      </c>
      <c r="H92" s="223" t="str">
        <f t="shared" si="17"/>
        <v>_PRE2013</v>
      </c>
      <c r="I92" s="223" t="str">
        <f t="shared" si="17"/>
        <v>_PRE2013</v>
      </c>
      <c r="J92" s="223" t="str">
        <f t="shared" si="17"/>
        <v>_PRE2013</v>
      </c>
      <c r="K92" s="223" t="str">
        <f t="shared" si="17"/>
        <v>_PRE2013</v>
      </c>
      <c r="L92" s="223" t="str">
        <f t="shared" si="17"/>
        <v>_PRE2013</v>
      </c>
      <c r="M92" s="223" t="str">
        <f t="shared" si="17"/>
        <v>_PRE2013</v>
      </c>
      <c r="N92" s="223" t="str">
        <f t="shared" si="17"/>
        <v>_PRE2013</v>
      </c>
      <c r="O92" s="223" t="str">
        <f t="shared" si="17"/>
        <v>_PRE2013</v>
      </c>
      <c r="P92" s="223" t="str">
        <f t="shared" si="17"/>
        <v>_PRE2013</v>
      </c>
      <c r="Q92" s="223" t="str">
        <f t="shared" si="17"/>
        <v>_PRE2013</v>
      </c>
      <c r="R92" s="223" t="str">
        <f t="shared" si="17"/>
        <v>_PRE2013</v>
      </c>
      <c r="S92" s="223" t="str">
        <f t="shared" si="17"/>
        <v>_PRE2013</v>
      </c>
      <c r="T92" s="223" t="str">
        <f t="shared" si="17"/>
        <v>_PRE2013</v>
      </c>
      <c r="U92" s="223"/>
      <c r="V92" s="223"/>
      <c r="W92" s="223" t="s">
        <v>769</v>
      </c>
      <c r="X92" t="str">
        <f>MLIST!C92</f>
        <v>Retro</v>
      </c>
      <c r="Y92" t="str">
        <f t="shared" si="16"/>
        <v>_PRE2013</v>
      </c>
    </row>
    <row r="93" spans="2:25">
      <c r="B93" s="16" t="str">
        <f>MLIST!D93</f>
        <v>Water Heating - GFHX-New</v>
      </c>
      <c r="C93" t="str">
        <f t="shared" si="18"/>
        <v>POST2013</v>
      </c>
      <c r="D93" t="str">
        <f t="shared" si="17"/>
        <v>POST2013</v>
      </c>
      <c r="E93" s="223" t="str">
        <f t="shared" si="17"/>
        <v>POST2013</v>
      </c>
      <c r="F93" s="223" t="str">
        <f t="shared" si="17"/>
        <v>POST2013</v>
      </c>
      <c r="G93" s="223" t="str">
        <f t="shared" si="17"/>
        <v>POST2013</v>
      </c>
      <c r="H93" s="223" t="str">
        <f t="shared" si="17"/>
        <v>POST2013</v>
      </c>
      <c r="I93" s="223" t="str">
        <f t="shared" si="17"/>
        <v>POST2013</v>
      </c>
      <c r="J93" s="223" t="str">
        <f t="shared" si="17"/>
        <v>POST2013</v>
      </c>
      <c r="K93" s="223" t="str">
        <f t="shared" si="17"/>
        <v>POST2013</v>
      </c>
      <c r="L93" s="223" t="str">
        <f t="shared" si="17"/>
        <v>POST2013</v>
      </c>
      <c r="M93" s="223" t="str">
        <f t="shared" si="17"/>
        <v>POST2013</v>
      </c>
      <c r="N93" s="223" t="str">
        <f t="shared" si="17"/>
        <v>POST2013</v>
      </c>
      <c r="O93" s="223" t="str">
        <f t="shared" si="17"/>
        <v>POST2013</v>
      </c>
      <c r="P93" s="223" t="str">
        <f t="shared" si="17"/>
        <v>POST2013</v>
      </c>
      <c r="Q93" s="223" t="str">
        <f t="shared" si="17"/>
        <v>POST2013</v>
      </c>
      <c r="R93" s="223" t="str">
        <f t="shared" si="17"/>
        <v>POST2013</v>
      </c>
      <c r="S93" s="223" t="str">
        <f t="shared" si="17"/>
        <v>POST2013</v>
      </c>
      <c r="T93" s="223" t="str">
        <f t="shared" si="17"/>
        <v>POST2013</v>
      </c>
      <c r="U93" s="223"/>
      <c r="V93" s="223"/>
      <c r="W93" s="223" t="s">
        <v>767</v>
      </c>
      <c r="X93" t="str">
        <f>MLIST!C93</f>
        <v>New</v>
      </c>
      <c r="Y93" t="str">
        <f t="shared" si="16"/>
        <v>POST2013</v>
      </c>
    </row>
    <row r="94" spans="2:25">
      <c r="B94" s="16" t="str">
        <f>MLIST!D94</f>
        <v>Demand Control Circulating system DHW-Retro</v>
      </c>
      <c r="C94" t="str">
        <f t="shared" si="18"/>
        <v>_PRE2013</v>
      </c>
      <c r="D94" t="str">
        <f t="shared" si="17"/>
        <v>_PRE2013</v>
      </c>
      <c r="E94" s="223" t="str">
        <f t="shared" si="17"/>
        <v>_PRE2013</v>
      </c>
      <c r="F94" s="223" t="str">
        <f t="shared" si="17"/>
        <v>_PRE2013</v>
      </c>
      <c r="G94" s="223" t="str">
        <f t="shared" si="17"/>
        <v>_PRE2013</v>
      </c>
      <c r="H94" s="223" t="str">
        <f t="shared" si="17"/>
        <v>_PRE2013</v>
      </c>
      <c r="I94" s="223" t="str">
        <f t="shared" si="17"/>
        <v>_PRE2013</v>
      </c>
      <c r="J94" s="223" t="str">
        <f t="shared" si="17"/>
        <v>_PRE2013</v>
      </c>
      <c r="K94" s="223" t="str">
        <f t="shared" si="17"/>
        <v>_PRE2013</v>
      </c>
      <c r="L94" s="223" t="str">
        <f t="shared" si="17"/>
        <v>_PRE2013</v>
      </c>
      <c r="M94" s="223" t="str">
        <f t="shared" si="17"/>
        <v>_PRE2013</v>
      </c>
      <c r="N94" s="223" t="str">
        <f t="shared" si="17"/>
        <v>_PRE2013</v>
      </c>
      <c r="O94" s="223" t="str">
        <f t="shared" si="17"/>
        <v>_PRE2013</v>
      </c>
      <c r="P94" s="223" t="str">
        <f t="shared" si="17"/>
        <v>_PRE2013</v>
      </c>
      <c r="Q94" s="223" t="str">
        <f t="shared" si="17"/>
        <v>_PRE2013</v>
      </c>
      <c r="R94" s="223" t="str">
        <f t="shared" si="17"/>
        <v>_PRE2013</v>
      </c>
      <c r="S94" s="223" t="str">
        <f t="shared" si="17"/>
        <v>_PRE2013</v>
      </c>
      <c r="T94" s="223" t="str">
        <f t="shared" si="17"/>
        <v>_PRE2013</v>
      </c>
      <c r="U94" s="223"/>
      <c r="V94" s="223"/>
      <c r="W94" s="223" t="s">
        <v>769</v>
      </c>
      <c r="X94" t="str">
        <f>MLIST!C94</f>
        <v>Retro</v>
      </c>
      <c r="Y94" t="str">
        <f t="shared" si="16"/>
        <v>_PRE2013</v>
      </c>
    </row>
    <row r="95" spans="2:25">
      <c r="B95" s="16" t="str">
        <f>MLIST!D95</f>
        <v>Central HPWH MF-Retro</v>
      </c>
      <c r="C95" t="str">
        <f t="shared" si="18"/>
        <v>_PRE2013</v>
      </c>
      <c r="D95" t="str">
        <f t="shared" si="17"/>
        <v>_PRE2013</v>
      </c>
      <c r="E95" s="223" t="str">
        <f t="shared" si="17"/>
        <v>_PRE2013</v>
      </c>
      <c r="F95" s="223" t="str">
        <f t="shared" si="17"/>
        <v>_PRE2013</v>
      </c>
      <c r="G95" s="223" t="str">
        <f t="shared" si="17"/>
        <v>_PRE2013</v>
      </c>
      <c r="H95" s="223" t="str">
        <f t="shared" si="17"/>
        <v>_PRE2013</v>
      </c>
      <c r="I95" s="223" t="str">
        <f t="shared" si="17"/>
        <v>_PRE2013</v>
      </c>
      <c r="J95" s="223" t="str">
        <f t="shared" si="17"/>
        <v>_PRE2013</v>
      </c>
      <c r="K95" s="223" t="str">
        <f t="shared" si="17"/>
        <v>_PRE2013</v>
      </c>
      <c r="L95" s="223" t="str">
        <f t="shared" si="17"/>
        <v>_PRE2013</v>
      </c>
      <c r="M95" s="223" t="str">
        <f t="shared" si="17"/>
        <v>_PRE2013</v>
      </c>
      <c r="N95" s="223" t="str">
        <f t="shared" si="17"/>
        <v>_PRE2013</v>
      </c>
      <c r="O95" s="223" t="str">
        <f t="shared" si="17"/>
        <v>_PRE2013</v>
      </c>
      <c r="P95" s="223" t="str">
        <f t="shared" si="17"/>
        <v>_PRE2013</v>
      </c>
      <c r="Q95" s="223" t="str">
        <f t="shared" si="17"/>
        <v>_PRE2013</v>
      </c>
      <c r="R95" s="223" t="str">
        <f t="shared" si="17"/>
        <v>_PRE2013</v>
      </c>
      <c r="S95" s="223" t="str">
        <f t="shared" si="17"/>
        <v>_PRE2013</v>
      </c>
      <c r="T95" s="223" t="str">
        <f t="shared" si="17"/>
        <v>_PRE2013</v>
      </c>
      <c r="U95" s="223"/>
      <c r="V95" s="223"/>
      <c r="W95" s="223" t="s">
        <v>769</v>
      </c>
      <c r="X95" t="str">
        <f>MLIST!C95</f>
        <v>Retro</v>
      </c>
      <c r="Y95" t="str">
        <f t="shared" si="16"/>
        <v>_PRE2013</v>
      </c>
    </row>
    <row r="96" spans="2:25">
      <c r="B96" s="16" t="str">
        <f>MLIST!D96</f>
        <v>Ultra Low Energy Building-New</v>
      </c>
      <c r="C96" t="str">
        <f t="shared" si="18"/>
        <v>POST2013</v>
      </c>
      <c r="D96" t="str">
        <f t="shared" si="17"/>
        <v>POST2013</v>
      </c>
      <c r="E96" s="223" t="str">
        <f t="shared" si="17"/>
        <v>POST2013</v>
      </c>
      <c r="F96" s="223" t="str">
        <f t="shared" si="17"/>
        <v>POST2013</v>
      </c>
      <c r="G96" s="223" t="str">
        <f t="shared" si="17"/>
        <v>POST2013</v>
      </c>
      <c r="H96" s="223" t="str">
        <f t="shared" si="17"/>
        <v>POST2013</v>
      </c>
      <c r="I96" s="223" t="str">
        <f t="shared" si="17"/>
        <v>POST2013</v>
      </c>
      <c r="J96" s="223" t="str">
        <f t="shared" si="17"/>
        <v>POST2013</v>
      </c>
      <c r="K96" s="223" t="str">
        <f t="shared" si="17"/>
        <v>POST2013</v>
      </c>
      <c r="L96" s="223" t="str">
        <f t="shared" si="17"/>
        <v>POST2013</v>
      </c>
      <c r="M96" s="223" t="str">
        <f t="shared" si="17"/>
        <v>POST2013</v>
      </c>
      <c r="N96" s="223" t="str">
        <f t="shared" si="17"/>
        <v>POST2013</v>
      </c>
      <c r="O96" s="223" t="str">
        <f t="shared" si="17"/>
        <v>POST2013</v>
      </c>
      <c r="P96" s="223" t="str">
        <f t="shared" si="17"/>
        <v>POST2013</v>
      </c>
      <c r="Q96" s="223" t="str">
        <f t="shared" si="17"/>
        <v>POST2013</v>
      </c>
      <c r="R96" s="223" t="str">
        <f t="shared" si="17"/>
        <v>POST2013</v>
      </c>
      <c r="S96" s="223" t="str">
        <f t="shared" si="17"/>
        <v>POST2013</v>
      </c>
      <c r="T96" s="223" t="str">
        <f t="shared" si="17"/>
        <v>POST2013</v>
      </c>
      <c r="U96" s="223"/>
      <c r="V96" s="223"/>
      <c r="W96" s="223" t="s">
        <v>767</v>
      </c>
      <c r="X96" t="str">
        <f>MLIST!C96</f>
        <v>New</v>
      </c>
      <c r="Y96" t="str">
        <f t="shared" si="16"/>
        <v>POST2013</v>
      </c>
    </row>
    <row r="98" spans="2:2">
      <c r="B98" s="16"/>
    </row>
    <row r="99" spans="2:2">
      <c r="B99" s="16"/>
    </row>
    <row r="100" spans="2:2">
      <c r="B100" s="16"/>
    </row>
    <row r="101" spans="2:2">
      <c r="B101" s="16"/>
    </row>
    <row r="102" spans="2:2">
      <c r="B102" s="16"/>
    </row>
    <row r="103" spans="2:2">
      <c r="B103" s="16"/>
    </row>
    <row r="104" spans="2:2">
      <c r="B104" s="16"/>
    </row>
    <row r="105" spans="2:2">
      <c r="B105" s="16"/>
    </row>
    <row r="106" spans="2:2">
      <c r="B106" s="16"/>
    </row>
    <row r="107" spans="2:2">
      <c r="B107" s="16"/>
    </row>
    <row r="108" spans="2:2">
      <c r="B108" s="16"/>
    </row>
    <row r="109" spans="2:2">
      <c r="B109" s="16"/>
    </row>
    <row r="110" spans="2:2">
      <c r="B110" s="16"/>
    </row>
    <row r="111" spans="2:2">
      <c r="B111" s="16"/>
    </row>
    <row r="112" spans="2:2">
      <c r="B112" s="16"/>
    </row>
    <row r="113" spans="2:2">
      <c r="B113" s="16"/>
    </row>
  </sheetData>
  <autoFilter ref="A11:W113"/>
  <mergeCells count="5">
    <mergeCell ref="Q10:R10"/>
    <mergeCell ref="C10:E10"/>
    <mergeCell ref="F10:I10"/>
    <mergeCell ref="J10:K10"/>
    <mergeCell ref="M10:N10"/>
  </mergeCells>
  <phoneticPr fontId="0" type="noConversion"/>
  <pageMargins left="0.75" right="0.75" top="1" bottom="1" header="0.5" footer="0.5"/>
  <pageSetup orientation="portrait" r:id="rId1"/>
  <headerFooter alignWithMargins="0"/>
</worksheet>
</file>

<file path=xl/worksheets/sheet7.xml><?xml version="1.0" encoding="utf-8"?>
<worksheet xmlns="http://schemas.openxmlformats.org/spreadsheetml/2006/main" xmlns:r="http://schemas.openxmlformats.org/officeDocument/2006/relationships">
  <sheetPr codeName="Sheet4" enableFormatConditionsCalculation="0">
    <tabColor indexed="43"/>
  </sheetPr>
  <dimension ref="A1:V103"/>
  <sheetViews>
    <sheetView zoomScale="85" workbookViewId="0">
      <pane xSplit="2" ySplit="11" topLeftCell="C42" activePane="bottomRight" state="frozen"/>
      <selection activeCell="B72" sqref="B72:B74"/>
      <selection pane="topRight" activeCell="B72" sqref="B72:B74"/>
      <selection pane="bottomLeft" activeCell="B72" sqref="B72:B74"/>
      <selection pane="bottomRight" activeCell="B73" sqref="B73:B75"/>
    </sheetView>
  </sheetViews>
  <sheetFormatPr defaultRowHeight="12.75"/>
  <cols>
    <col min="1" max="1" width="13.85546875" customWidth="1"/>
    <col min="2" max="2" width="43.85546875" customWidth="1"/>
    <col min="4" max="4" width="10.5703125" customWidth="1"/>
    <col min="6" max="6" width="7.42578125" customWidth="1"/>
    <col min="9" max="9" width="7.28515625" customWidth="1"/>
    <col min="10" max="10" width="6.85546875" customWidth="1"/>
    <col min="12" max="12" width="10.7109375" customWidth="1"/>
    <col min="13" max="13" width="9.7109375" customWidth="1"/>
    <col min="14" max="14" width="8.7109375" customWidth="1"/>
    <col min="15" max="15" width="9.7109375" customWidth="1"/>
    <col min="18" max="19" width="10.28515625" customWidth="1"/>
    <col min="21" max="21" width="22.85546875" customWidth="1"/>
    <col min="22" max="22" width="35.28515625" customWidth="1"/>
  </cols>
  <sheetData>
    <row r="1" spans="1:22">
      <c r="A1" s="236" t="s">
        <v>377</v>
      </c>
      <c r="B1" s="236" t="s">
        <v>98</v>
      </c>
      <c r="C1" s="236"/>
      <c r="D1" s="236"/>
      <c r="E1" s="236"/>
      <c r="F1" s="236"/>
      <c r="G1" s="236"/>
      <c r="H1" s="236"/>
      <c r="I1" s="236"/>
      <c r="J1" s="236"/>
      <c r="K1" s="236"/>
      <c r="L1" s="236"/>
      <c r="M1" s="236"/>
      <c r="N1" s="236"/>
      <c r="O1" s="236"/>
      <c r="P1" s="236"/>
      <c r="Q1" s="236"/>
      <c r="R1" s="236"/>
      <c r="S1" s="236"/>
      <c r="T1" s="236"/>
      <c r="U1" s="236"/>
      <c r="V1" s="236"/>
    </row>
    <row r="2" spans="1:22">
      <c r="A2" s="2">
        <f>COLUMN()</f>
        <v>1</v>
      </c>
      <c r="B2" s="2">
        <f>COLUMN()</f>
        <v>2</v>
      </c>
      <c r="C2" s="2">
        <f>COLUMN()</f>
        <v>3</v>
      </c>
      <c r="D2" s="2">
        <f>COLUMN()</f>
        <v>4</v>
      </c>
      <c r="E2" s="2">
        <f>COLUMN()</f>
        <v>5</v>
      </c>
      <c r="F2" s="2">
        <f>COLUMN()</f>
        <v>6</v>
      </c>
      <c r="G2" s="2">
        <f>COLUMN()</f>
        <v>7</v>
      </c>
      <c r="H2" s="2">
        <f>COLUMN()</f>
        <v>8</v>
      </c>
      <c r="I2" s="2">
        <f>COLUMN()</f>
        <v>9</v>
      </c>
      <c r="J2" s="2">
        <f>COLUMN()</f>
        <v>10</v>
      </c>
      <c r="K2" s="2">
        <f>COLUMN()</f>
        <v>11</v>
      </c>
      <c r="L2" s="2">
        <f>COLUMN()</f>
        <v>12</v>
      </c>
      <c r="M2" s="2">
        <f>COLUMN()</f>
        <v>13</v>
      </c>
      <c r="N2" s="2">
        <f>COLUMN()</f>
        <v>14</v>
      </c>
      <c r="O2" s="2">
        <f>COLUMN()</f>
        <v>15</v>
      </c>
      <c r="P2" s="2">
        <f>COLUMN()</f>
        <v>16</v>
      </c>
      <c r="Q2" s="2">
        <f>COLUMN()</f>
        <v>17</v>
      </c>
      <c r="R2" s="2">
        <f>COLUMN()</f>
        <v>18</v>
      </c>
      <c r="S2" s="2">
        <f>COLUMN()</f>
        <v>19</v>
      </c>
      <c r="T2" s="2">
        <f>COLUMN()</f>
        <v>20</v>
      </c>
      <c r="U2" s="2">
        <f>COLUMN()</f>
        <v>21</v>
      </c>
    </row>
    <row r="3" spans="1:22">
      <c r="A3" s="220"/>
      <c r="B3" s="7"/>
      <c r="C3" s="7"/>
    </row>
    <row r="6" spans="1:22">
      <c r="C6" s="32">
        <v>9.8038930715819123E-2</v>
      </c>
      <c r="D6" s="32">
        <v>3.7094552182218354E-2</v>
      </c>
      <c r="E6" s="32">
        <v>4.9774121993604342E-2</v>
      </c>
      <c r="F6" s="32">
        <v>3.1396327237948343E-2</v>
      </c>
      <c r="G6" s="32">
        <v>8.55266690350346E-2</v>
      </c>
      <c r="H6" s="32">
        <v>2.138166725875865E-2</v>
      </c>
      <c r="I6" s="32">
        <v>4.3766932928330525E-2</v>
      </c>
      <c r="J6" s="32">
        <v>8.3853412491418464E-2</v>
      </c>
      <c r="K6" s="32">
        <v>4.2141169617000644E-2</v>
      </c>
      <c r="L6" s="32">
        <v>0.11799710043643995</v>
      </c>
      <c r="M6" s="32">
        <v>2.2208271374431737E-2</v>
      </c>
      <c r="N6" s="32">
        <v>6.4736032390295978E-3</v>
      </c>
      <c r="O6" s="32">
        <v>1.6943332979230619E-2</v>
      </c>
      <c r="P6" s="32">
        <v>6.0427862079633812E-2</v>
      </c>
      <c r="Q6" s="32">
        <v>2.2329160937237736E-2</v>
      </c>
      <c r="R6" s="32">
        <v>4.7923902033829471E-2</v>
      </c>
      <c r="S6" s="32">
        <v>7.1648877860301358E-2</v>
      </c>
      <c r="T6" s="32">
        <v>0.14107410559973257</v>
      </c>
    </row>
    <row r="10" spans="1:22">
      <c r="A10" s="246"/>
      <c r="B10" s="246"/>
      <c r="C10" s="551" t="s">
        <v>256</v>
      </c>
      <c r="D10" s="551"/>
      <c r="E10" s="551"/>
      <c r="F10" s="551" t="s">
        <v>261</v>
      </c>
      <c r="G10" s="551"/>
      <c r="H10" s="551"/>
      <c r="I10" s="551"/>
      <c r="J10" s="551" t="s">
        <v>262</v>
      </c>
      <c r="K10" s="551"/>
      <c r="L10" s="246" t="s">
        <v>264</v>
      </c>
      <c r="M10" s="551" t="s">
        <v>265</v>
      </c>
      <c r="N10" s="551"/>
      <c r="O10" s="246" t="s">
        <v>266</v>
      </c>
      <c r="P10" s="246" t="s">
        <v>267</v>
      </c>
      <c r="Q10" s="551" t="s">
        <v>270</v>
      </c>
      <c r="R10" s="551"/>
      <c r="S10" s="348" t="str">
        <f ca="1">S11</f>
        <v>Assembly</v>
      </c>
      <c r="T10" s="246" t="str">
        <f ca="1">T11</f>
        <v>Other</v>
      </c>
      <c r="U10" s="246" t="s">
        <v>134</v>
      </c>
      <c r="V10" s="246"/>
    </row>
    <row r="11" spans="1:22">
      <c r="A11" s="246" t="s">
        <v>111</v>
      </c>
      <c r="B11" s="246" t="s">
        <v>284</v>
      </c>
      <c r="C11" s="246" t="str">
        <f ca="1">APPLIC!C11</f>
        <v>Large Off</v>
      </c>
      <c r="D11" s="246" t="str">
        <f ca="1">APPLIC!D11</f>
        <v>Medium Off</v>
      </c>
      <c r="E11" s="246" t="str">
        <f ca="1">APPLIC!E11</f>
        <v>Small Off</v>
      </c>
      <c r="F11" s="246" t="str">
        <f ca="1">APPLIC!F11</f>
        <v>Xlarge Ret</v>
      </c>
      <c r="G11" s="246" t="str">
        <f ca="1">APPLIC!G11</f>
        <v>Large Ret</v>
      </c>
      <c r="H11" s="246" t="str">
        <f ca="1">APPLIC!H11</f>
        <v>Medium Ret</v>
      </c>
      <c r="I11" s="246" t="str">
        <f ca="1">APPLIC!I11</f>
        <v>Small Ret</v>
      </c>
      <c r="J11" s="246" t="str">
        <f ca="1">APPLIC!J11</f>
        <v>School K-12</v>
      </c>
      <c r="K11" s="246" t="str">
        <f ca="1">APPLIC!K11</f>
        <v>University</v>
      </c>
      <c r="L11" s="246" t="str">
        <f ca="1">APPLIC!L11</f>
        <v>Warehouse</v>
      </c>
      <c r="M11" s="246" t="str">
        <f ca="1">APPLIC!M11</f>
        <v>Supermarket</v>
      </c>
      <c r="N11" s="246" t="str">
        <f ca="1">APPLIC!N11</f>
        <v>MiniMart</v>
      </c>
      <c r="O11" s="246" t="str">
        <f ca="1">APPLIC!O11</f>
        <v>Restaurant</v>
      </c>
      <c r="P11" s="246" t="str">
        <f ca="1">APPLIC!P11</f>
        <v>Lodging</v>
      </c>
      <c r="Q11" s="246" t="str">
        <f ca="1">APPLIC!Q11</f>
        <v>Hospital</v>
      </c>
      <c r="R11" s="246" t="str">
        <f ca="1">APPLIC!R11</f>
        <v>Residential Care</v>
      </c>
      <c r="S11" s="246" t="str">
        <f ca="1">APPLIC!S11</f>
        <v>Assembly</v>
      </c>
      <c r="T11" s="246" t="str">
        <f ca="1">APPLIC!T11</f>
        <v>Other</v>
      </c>
      <c r="U11" s="246" t="str">
        <f>APPLIC!U11</f>
        <v>Non-Building Stock</v>
      </c>
      <c r="V11" s="246" t="s">
        <v>95</v>
      </c>
    </row>
    <row r="12" spans="1:22">
      <c r="B12" t="str">
        <f>MLIST!D12</f>
        <v>Compressed Air-Retro</v>
      </c>
      <c r="C12" s="256"/>
      <c r="D12" s="256"/>
      <c r="E12" s="256"/>
      <c r="F12" s="256"/>
      <c r="G12" s="256"/>
      <c r="H12" s="256"/>
      <c r="I12" s="256"/>
      <c r="J12" s="256"/>
      <c r="K12" s="256"/>
      <c r="L12" s="256"/>
      <c r="M12" s="256"/>
      <c r="N12" s="256"/>
      <c r="O12" s="256"/>
      <c r="P12" s="256"/>
      <c r="Q12" s="256"/>
      <c r="R12" s="256"/>
      <c r="S12" s="256"/>
      <c r="T12" s="256"/>
      <c r="U12" s="256"/>
      <c r="V12" s="223"/>
    </row>
    <row r="13" spans="1:22">
      <c r="A13" s="32">
        <f>SUMPRODUCT(C6:T6,C13:T13)</f>
        <v>0</v>
      </c>
      <c r="B13" t="str">
        <f>MLIST!D13</f>
        <v>Compressed Air-NR</v>
      </c>
      <c r="C13" s="256"/>
      <c r="D13" s="256"/>
      <c r="E13" s="256"/>
      <c r="F13" s="256"/>
      <c r="G13" s="256"/>
      <c r="H13" s="256"/>
      <c r="I13" s="256"/>
      <c r="J13" s="256"/>
      <c r="K13" s="256"/>
      <c r="L13" s="256"/>
      <c r="M13" s="256"/>
      <c r="N13" s="256"/>
      <c r="O13" s="256"/>
      <c r="P13" s="256"/>
      <c r="Q13" s="256"/>
      <c r="R13" s="256"/>
      <c r="S13" s="256"/>
      <c r="T13" s="256"/>
      <c r="U13" s="256"/>
      <c r="V13" s="223"/>
    </row>
    <row r="14" spans="1:22">
      <c r="B14" t="str">
        <f>MLIST!D14</f>
        <v>Network PC Power Management-Retro</v>
      </c>
      <c r="C14" s="256"/>
      <c r="D14" s="256"/>
      <c r="E14" s="256"/>
      <c r="F14" s="256"/>
      <c r="G14" s="256"/>
      <c r="H14" s="256"/>
      <c r="I14" s="256"/>
      <c r="J14" s="256"/>
      <c r="K14" s="256"/>
      <c r="L14" s="256"/>
      <c r="M14" s="256"/>
      <c r="N14" s="256"/>
      <c r="O14" s="256"/>
      <c r="P14" s="256"/>
      <c r="Q14" s="256"/>
      <c r="R14" s="256"/>
      <c r="S14" s="256"/>
      <c r="T14" s="256"/>
      <c r="U14" s="256"/>
      <c r="V14" s="223"/>
    </row>
    <row r="15" spans="1:22">
      <c r="B15" t="str">
        <f>MLIST!D15</f>
        <v>Laptop-NR</v>
      </c>
      <c r="C15" s="256"/>
      <c r="D15" s="256"/>
      <c r="E15" s="256"/>
      <c r="F15" s="256"/>
      <c r="G15" s="256"/>
      <c r="H15" s="256"/>
      <c r="I15" s="256"/>
      <c r="J15" s="256"/>
      <c r="K15" s="256"/>
      <c r="L15" s="256"/>
      <c r="M15" s="256"/>
      <c r="N15" s="256"/>
      <c r="O15" s="256"/>
      <c r="P15" s="256"/>
      <c r="Q15" s="256"/>
      <c r="R15" s="256"/>
      <c r="S15" s="256"/>
      <c r="T15" s="256"/>
      <c r="U15" s="277">
        <f>1/4</f>
        <v>0.25</v>
      </c>
      <c r="V15" s="223"/>
    </row>
    <row r="16" spans="1:22">
      <c r="B16" t="str">
        <f>MLIST!D16</f>
        <v>Smart Plug Power Strips-Retro</v>
      </c>
      <c r="C16" s="256"/>
      <c r="D16" s="256"/>
      <c r="E16" s="256"/>
      <c r="F16" s="256"/>
      <c r="G16" s="256"/>
      <c r="H16" s="256"/>
      <c r="I16" s="256"/>
      <c r="J16" s="256"/>
      <c r="K16" s="256"/>
      <c r="L16" s="256"/>
      <c r="M16" s="256"/>
      <c r="N16" s="256"/>
      <c r="O16" s="256"/>
      <c r="P16" s="256"/>
      <c r="Q16" s="256"/>
      <c r="R16" s="256"/>
      <c r="S16" s="256"/>
      <c r="T16" s="256"/>
      <c r="U16" s="277">
        <v>0.2</v>
      </c>
      <c r="V16" s="223"/>
    </row>
    <row r="17" spans="2:22">
      <c r="B17" t="str">
        <f>MLIST!D17</f>
        <v>Data Centers-NR</v>
      </c>
      <c r="C17" s="256"/>
      <c r="D17" s="256"/>
      <c r="E17" s="256"/>
      <c r="F17" s="256"/>
      <c r="G17" s="256"/>
      <c r="H17" s="256"/>
      <c r="I17" s="256"/>
      <c r="J17" s="256"/>
      <c r="K17" s="256"/>
      <c r="L17" s="256"/>
      <c r="M17" s="256"/>
      <c r="N17" s="256"/>
      <c r="O17" s="256"/>
      <c r="P17" s="256"/>
      <c r="Q17" s="256"/>
      <c r="R17" s="256"/>
      <c r="S17" s="256"/>
      <c r="T17" s="256"/>
      <c r="U17" s="277">
        <f>[7]CostData!$T$11</f>
        <v>0.2</v>
      </c>
      <c r="V17" s="223"/>
    </row>
    <row r="18" spans="2:22">
      <c r="B18" t="str">
        <f>MLIST!D18</f>
        <v>Monitor-NR</v>
      </c>
      <c r="C18" s="256"/>
      <c r="D18" s="256"/>
      <c r="E18" s="256"/>
      <c r="F18" s="256"/>
      <c r="G18" s="256"/>
      <c r="H18" s="256"/>
      <c r="I18" s="256"/>
      <c r="J18" s="256"/>
      <c r="K18" s="256"/>
      <c r="L18" s="256"/>
      <c r="M18" s="256"/>
      <c r="N18" s="256"/>
      <c r="O18" s="256"/>
      <c r="P18" s="256"/>
      <c r="Q18" s="256"/>
      <c r="R18" s="256"/>
      <c r="S18" s="256"/>
      <c r="T18" s="256"/>
      <c r="U18" s="277">
        <f>1/5</f>
        <v>0.2</v>
      </c>
      <c r="V18" s="223"/>
    </row>
    <row r="19" spans="2:22">
      <c r="B19" t="str">
        <f>MLIST!D19</f>
        <v>Desktop-NR</v>
      </c>
      <c r="C19" s="256"/>
      <c r="D19" s="256"/>
      <c r="E19" s="256"/>
      <c r="F19" s="256"/>
      <c r="G19" s="256"/>
      <c r="H19" s="256"/>
      <c r="I19" s="256"/>
      <c r="J19" s="256"/>
      <c r="K19" s="256"/>
      <c r="L19" s="256"/>
      <c r="M19" s="256"/>
      <c r="N19" s="256"/>
      <c r="O19" s="256"/>
      <c r="P19" s="256"/>
      <c r="Q19" s="256"/>
      <c r="R19" s="256"/>
      <c r="S19" s="256"/>
      <c r="T19" s="256"/>
      <c r="U19" s="277">
        <f>1/4</f>
        <v>0.25</v>
      </c>
      <c r="V19" s="223"/>
    </row>
    <row r="20" spans="2:22">
      <c r="B20" t="str">
        <f>MLIST!D20</f>
        <v>Pre-Rinse Spray Valve-Retro</v>
      </c>
      <c r="C20" s="275"/>
      <c r="D20" s="275"/>
      <c r="E20" s="275"/>
      <c r="F20" s="275"/>
      <c r="G20" s="275"/>
      <c r="H20" s="275"/>
      <c r="I20" s="275"/>
      <c r="J20" s="275"/>
      <c r="K20" s="275"/>
      <c r="L20" s="275"/>
      <c r="M20" s="275"/>
      <c r="N20" s="275"/>
      <c r="O20" s="275"/>
      <c r="P20" s="275"/>
      <c r="Q20" s="275"/>
      <c r="R20" s="275"/>
      <c r="S20" s="275"/>
      <c r="T20" s="275"/>
      <c r="U20" s="275">
        <v>0.2</v>
      </c>
      <c r="V20" s="223"/>
    </row>
    <row r="21" spans="2:22">
      <c r="B21" t="str">
        <f>MLIST!D21</f>
        <v>Cooking Equipment-NR</v>
      </c>
      <c r="C21" s="256"/>
      <c r="D21" s="256"/>
      <c r="E21" s="256"/>
      <c r="F21" s="256"/>
      <c r="G21" s="256"/>
      <c r="H21" s="256"/>
      <c r="I21" s="256"/>
      <c r="J21" s="256"/>
      <c r="K21" s="256"/>
      <c r="L21" s="256"/>
      <c r="M21" s="256"/>
      <c r="N21" s="256"/>
      <c r="O21" s="256"/>
      <c r="P21" s="256"/>
      <c r="Q21" s="256"/>
      <c r="R21" s="256"/>
      <c r="S21" s="256"/>
      <c r="T21" s="256"/>
      <c r="U21" s="277">
        <v>0.08</v>
      </c>
      <c r="V21" s="223"/>
    </row>
    <row r="22" spans="2:22">
      <c r="B22" t="str">
        <f>MLIST!D22</f>
        <v>DHP-New</v>
      </c>
      <c r="C22" s="283">
        <f>1/30</f>
        <v>3.3333333333333333E-2</v>
      </c>
      <c r="D22" s="283">
        <f>1/25</f>
        <v>0.04</v>
      </c>
      <c r="E22" s="283">
        <f t="shared" ref="E22:H23" si="0">1/20</f>
        <v>0.05</v>
      </c>
      <c r="F22" s="283">
        <f t="shared" si="0"/>
        <v>0.05</v>
      </c>
      <c r="G22" s="283">
        <f t="shared" si="0"/>
        <v>0.05</v>
      </c>
      <c r="H22" s="283">
        <f t="shared" si="0"/>
        <v>0.05</v>
      </c>
      <c r="I22" s="283">
        <f t="shared" ref="I22:K23" si="1">1/30</f>
        <v>3.3333333333333333E-2</v>
      </c>
      <c r="J22" s="283">
        <f t="shared" si="1"/>
        <v>3.3333333333333333E-2</v>
      </c>
      <c r="K22" s="283">
        <f t="shared" si="1"/>
        <v>3.3333333333333333E-2</v>
      </c>
      <c r="L22" s="283">
        <f>1/20</f>
        <v>0.05</v>
      </c>
      <c r="M22" s="283">
        <f>1/20</f>
        <v>0.05</v>
      </c>
      <c r="N22" s="283">
        <f t="shared" ref="N22:P23" si="2">1/20</f>
        <v>0.05</v>
      </c>
      <c r="O22" s="283">
        <f t="shared" si="2"/>
        <v>0.05</v>
      </c>
      <c r="P22" s="283">
        <f t="shared" si="2"/>
        <v>0.05</v>
      </c>
      <c r="Q22" s="283">
        <f t="shared" ref="Q22:T23" si="3">1/25</f>
        <v>0.04</v>
      </c>
      <c r="R22" s="283">
        <f t="shared" si="3"/>
        <v>0.04</v>
      </c>
      <c r="S22" s="283">
        <f t="shared" si="3"/>
        <v>0.04</v>
      </c>
      <c r="T22" s="283">
        <f t="shared" si="3"/>
        <v>0.04</v>
      </c>
      <c r="V22" t="s">
        <v>710</v>
      </c>
    </row>
    <row r="23" spans="2:22">
      <c r="B23" t="str">
        <f>MLIST!D23</f>
        <v>DHP-Retro</v>
      </c>
      <c r="C23" s="283">
        <f>1/30</f>
        <v>3.3333333333333333E-2</v>
      </c>
      <c r="D23" s="283">
        <f>1/25</f>
        <v>0.04</v>
      </c>
      <c r="E23" s="283">
        <f t="shared" si="0"/>
        <v>0.05</v>
      </c>
      <c r="F23" s="283">
        <f t="shared" si="0"/>
        <v>0.05</v>
      </c>
      <c r="G23" s="283">
        <f t="shared" si="0"/>
        <v>0.05</v>
      </c>
      <c r="H23" s="283">
        <f t="shared" si="0"/>
        <v>0.05</v>
      </c>
      <c r="I23" s="283">
        <f t="shared" si="1"/>
        <v>3.3333333333333333E-2</v>
      </c>
      <c r="J23" s="283">
        <f t="shared" si="1"/>
        <v>3.3333333333333333E-2</v>
      </c>
      <c r="K23" s="283">
        <f t="shared" si="1"/>
        <v>3.3333333333333333E-2</v>
      </c>
      <c r="L23" s="283">
        <f>1/20</f>
        <v>0.05</v>
      </c>
      <c r="M23" s="283">
        <f>1/20</f>
        <v>0.05</v>
      </c>
      <c r="N23" s="283">
        <f t="shared" si="2"/>
        <v>0.05</v>
      </c>
      <c r="O23" s="283">
        <f t="shared" si="2"/>
        <v>0.05</v>
      </c>
      <c r="P23" s="283">
        <f t="shared" si="2"/>
        <v>0.05</v>
      </c>
      <c r="Q23" s="283">
        <f t="shared" si="3"/>
        <v>0.04</v>
      </c>
      <c r="R23" s="283">
        <f t="shared" si="3"/>
        <v>0.04</v>
      </c>
      <c r="S23" s="283">
        <f t="shared" si="3"/>
        <v>0.04</v>
      </c>
      <c r="T23" s="283">
        <f t="shared" si="3"/>
        <v>0.04</v>
      </c>
      <c r="V23" t="s">
        <v>710</v>
      </c>
    </row>
    <row r="24" spans="2:22">
      <c r="B24" t="str">
        <f>MLIST!D24</f>
        <v>Glass-New</v>
      </c>
      <c r="C24" s="256"/>
      <c r="D24" s="256"/>
      <c r="E24" s="256"/>
      <c r="F24" s="256"/>
      <c r="G24" s="256"/>
      <c r="H24" s="256"/>
      <c r="I24" s="256"/>
      <c r="J24" s="256"/>
      <c r="K24" s="256"/>
      <c r="L24" s="256"/>
      <c r="M24" s="256"/>
      <c r="N24" s="256"/>
      <c r="O24" s="256"/>
      <c r="P24" s="256"/>
      <c r="Q24" s="256"/>
      <c r="R24" s="256"/>
      <c r="S24" s="256"/>
      <c r="T24" s="256"/>
      <c r="U24" s="256"/>
      <c r="V24" s="223"/>
    </row>
    <row r="25" spans="2:22">
      <c r="B25" t="str">
        <f>MLIST!D25</f>
        <v>Glass-NR</v>
      </c>
      <c r="C25" s="256"/>
      <c r="D25" s="256"/>
      <c r="E25" s="256"/>
      <c r="F25" s="256"/>
      <c r="G25" s="256"/>
      <c r="H25" s="256"/>
      <c r="I25" s="256"/>
      <c r="J25" s="256"/>
      <c r="K25" s="256"/>
      <c r="L25" s="256"/>
      <c r="M25" s="256"/>
      <c r="N25" s="256"/>
      <c r="O25" s="256"/>
      <c r="P25" s="256"/>
      <c r="Q25" s="256"/>
      <c r="R25" s="256"/>
      <c r="S25" s="256"/>
      <c r="T25" s="256"/>
      <c r="U25" s="256"/>
      <c r="V25" s="223"/>
    </row>
    <row r="26" spans="2:22">
      <c r="B26" t="str">
        <f>MLIST!D26</f>
        <v>ControllerLite-Retro</v>
      </c>
      <c r="C26" s="256"/>
      <c r="D26" s="256"/>
      <c r="E26" s="256"/>
      <c r="F26" s="256"/>
      <c r="G26" s="256"/>
      <c r="H26" s="256"/>
      <c r="I26" s="256"/>
      <c r="J26" s="256"/>
      <c r="K26" s="256"/>
      <c r="L26" s="256"/>
      <c r="M26" s="256"/>
      <c r="N26" s="256"/>
      <c r="O26" s="256"/>
      <c r="P26" s="256"/>
      <c r="Q26" s="256"/>
      <c r="R26" s="256"/>
      <c r="S26" s="256"/>
      <c r="T26" s="256"/>
      <c r="U26" s="256"/>
      <c r="V26" s="223"/>
    </row>
    <row r="27" spans="2:22" s="218" customFormat="1">
      <c r="B27" s="218" t="str">
        <f>MLIST!D27</f>
        <v>Advanced Rooftop Controller-New</v>
      </c>
      <c r="C27" s="277">
        <f>1/15</f>
        <v>6.6666666666666666E-2</v>
      </c>
      <c r="D27" s="277">
        <f t="shared" ref="D27:T29" si="4">1/15</f>
        <v>6.6666666666666666E-2</v>
      </c>
      <c r="E27" s="277">
        <f t="shared" si="4"/>
        <v>6.6666666666666666E-2</v>
      </c>
      <c r="F27" s="277">
        <f t="shared" si="4"/>
        <v>6.6666666666666666E-2</v>
      </c>
      <c r="G27" s="277">
        <f t="shared" si="4"/>
        <v>6.6666666666666666E-2</v>
      </c>
      <c r="H27" s="277">
        <f t="shared" si="4"/>
        <v>6.6666666666666666E-2</v>
      </c>
      <c r="I27" s="277">
        <f t="shared" si="4"/>
        <v>6.6666666666666666E-2</v>
      </c>
      <c r="J27" s="277">
        <f t="shared" si="4"/>
        <v>6.6666666666666666E-2</v>
      </c>
      <c r="K27" s="277">
        <f t="shared" si="4"/>
        <v>6.6666666666666666E-2</v>
      </c>
      <c r="L27" s="277">
        <f t="shared" si="4"/>
        <v>6.6666666666666666E-2</v>
      </c>
      <c r="M27" s="277">
        <f t="shared" si="4"/>
        <v>6.6666666666666666E-2</v>
      </c>
      <c r="N27" s="277">
        <f t="shared" si="4"/>
        <v>6.6666666666666666E-2</v>
      </c>
      <c r="O27" s="277">
        <f t="shared" si="4"/>
        <v>6.6666666666666666E-2</v>
      </c>
      <c r="P27" s="277">
        <f t="shared" si="4"/>
        <v>6.6666666666666666E-2</v>
      </c>
      <c r="Q27" s="277">
        <f t="shared" si="4"/>
        <v>6.6666666666666666E-2</v>
      </c>
      <c r="R27" s="277">
        <f t="shared" si="4"/>
        <v>6.6666666666666666E-2</v>
      </c>
      <c r="S27" s="277">
        <f t="shared" si="4"/>
        <v>6.6666666666666666E-2</v>
      </c>
      <c r="T27" s="277">
        <f t="shared" si="4"/>
        <v>6.6666666666666666E-2</v>
      </c>
      <c r="U27" s="277"/>
    </row>
    <row r="28" spans="2:22" s="218" customFormat="1">
      <c r="B28" s="218" t="str">
        <f>MLIST!D28</f>
        <v>Advanced Rooftop Controller-NR</v>
      </c>
      <c r="C28" s="277">
        <f>1/15</f>
        <v>6.6666666666666666E-2</v>
      </c>
      <c r="D28" s="277">
        <f t="shared" si="4"/>
        <v>6.6666666666666666E-2</v>
      </c>
      <c r="E28" s="277">
        <f t="shared" si="4"/>
        <v>6.6666666666666666E-2</v>
      </c>
      <c r="F28" s="277">
        <f t="shared" si="4"/>
        <v>6.6666666666666666E-2</v>
      </c>
      <c r="G28" s="277">
        <f t="shared" si="4"/>
        <v>6.6666666666666666E-2</v>
      </c>
      <c r="H28" s="277">
        <f t="shared" si="4"/>
        <v>6.6666666666666666E-2</v>
      </c>
      <c r="I28" s="277">
        <f t="shared" si="4"/>
        <v>6.6666666666666666E-2</v>
      </c>
      <c r="J28" s="277">
        <f t="shared" si="4"/>
        <v>6.6666666666666666E-2</v>
      </c>
      <c r="K28" s="277">
        <f t="shared" si="4"/>
        <v>6.6666666666666666E-2</v>
      </c>
      <c r="L28" s="277">
        <f t="shared" si="4"/>
        <v>6.6666666666666666E-2</v>
      </c>
      <c r="M28" s="277">
        <f t="shared" si="4"/>
        <v>6.6666666666666666E-2</v>
      </c>
      <c r="N28" s="277">
        <f t="shared" si="4"/>
        <v>6.6666666666666666E-2</v>
      </c>
      <c r="O28" s="277">
        <f t="shared" si="4"/>
        <v>6.6666666666666666E-2</v>
      </c>
      <c r="P28" s="277">
        <f t="shared" si="4"/>
        <v>6.6666666666666666E-2</v>
      </c>
      <c r="Q28" s="277">
        <f t="shared" si="4"/>
        <v>6.6666666666666666E-2</v>
      </c>
      <c r="R28" s="277">
        <f t="shared" si="4"/>
        <v>6.6666666666666666E-2</v>
      </c>
      <c r="S28" s="277">
        <f t="shared" si="4"/>
        <v>6.6666666666666666E-2</v>
      </c>
      <c r="T28" s="277">
        <f t="shared" si="4"/>
        <v>6.6666666666666666E-2</v>
      </c>
      <c r="U28" s="277"/>
    </row>
    <row r="29" spans="2:22" s="218" customFormat="1">
      <c r="B29" s="218" t="str">
        <f>MLIST!D29</f>
        <v>Advanced Rooftop Controller-Retro</v>
      </c>
      <c r="C29" s="277">
        <f>1/15</f>
        <v>6.6666666666666666E-2</v>
      </c>
      <c r="D29" s="277">
        <f t="shared" si="4"/>
        <v>6.6666666666666666E-2</v>
      </c>
      <c r="E29" s="277">
        <f t="shared" si="4"/>
        <v>6.6666666666666666E-2</v>
      </c>
      <c r="F29" s="277">
        <f t="shared" si="4"/>
        <v>6.6666666666666666E-2</v>
      </c>
      <c r="G29" s="277">
        <f t="shared" si="4"/>
        <v>6.6666666666666666E-2</v>
      </c>
      <c r="H29" s="277">
        <f t="shared" si="4"/>
        <v>6.6666666666666666E-2</v>
      </c>
      <c r="I29" s="277">
        <f t="shared" si="4"/>
        <v>6.6666666666666666E-2</v>
      </c>
      <c r="J29" s="277">
        <f t="shared" si="4"/>
        <v>6.6666666666666666E-2</v>
      </c>
      <c r="K29" s="277">
        <f t="shared" si="4"/>
        <v>6.6666666666666666E-2</v>
      </c>
      <c r="L29" s="277">
        <f t="shared" si="4"/>
        <v>6.6666666666666666E-2</v>
      </c>
      <c r="M29" s="277">
        <f t="shared" si="4"/>
        <v>6.6666666666666666E-2</v>
      </c>
      <c r="N29" s="277">
        <f t="shared" si="4"/>
        <v>6.6666666666666666E-2</v>
      </c>
      <c r="O29" s="277">
        <f t="shared" si="4"/>
        <v>6.6666666666666666E-2</v>
      </c>
      <c r="P29" s="277">
        <f t="shared" si="4"/>
        <v>6.6666666666666666E-2</v>
      </c>
      <c r="Q29" s="277">
        <f t="shared" si="4"/>
        <v>6.6666666666666666E-2</v>
      </c>
      <c r="R29" s="277">
        <f t="shared" si="4"/>
        <v>6.6666666666666666E-2</v>
      </c>
      <c r="S29" s="277">
        <f t="shared" si="4"/>
        <v>6.6666666666666666E-2</v>
      </c>
      <c r="T29" s="277">
        <f t="shared" si="4"/>
        <v>6.6666666666666666E-2</v>
      </c>
      <c r="U29" s="277"/>
    </row>
    <row r="30" spans="2:22">
      <c r="B30" t="str">
        <f>MLIST!D30</f>
        <v>Variable Speed Chiller-New</v>
      </c>
      <c r="C30" s="256"/>
      <c r="D30" s="256"/>
      <c r="E30" s="256"/>
      <c r="F30" s="256"/>
      <c r="G30" s="256"/>
      <c r="H30" s="256"/>
      <c r="I30" s="256"/>
      <c r="J30" s="256"/>
      <c r="K30" s="256"/>
      <c r="L30" s="256"/>
      <c r="M30" s="256"/>
      <c r="N30" s="256"/>
      <c r="O30" s="256"/>
      <c r="P30" s="256"/>
      <c r="Q30" s="256"/>
      <c r="R30" s="256"/>
      <c r="S30" s="256"/>
      <c r="T30" s="256"/>
      <c r="U30" s="256"/>
      <c r="V30" s="223"/>
    </row>
    <row r="31" spans="2:22">
      <c r="B31" t="str">
        <f>MLIST!D31</f>
        <v>Variable Speed Chiller-NR</v>
      </c>
      <c r="C31" s="256"/>
      <c r="D31" s="256"/>
      <c r="E31" s="256"/>
      <c r="F31" s="256"/>
      <c r="G31" s="256"/>
      <c r="H31" s="256"/>
      <c r="I31" s="256"/>
      <c r="J31" s="256"/>
      <c r="K31" s="256"/>
      <c r="L31" s="256"/>
      <c r="M31" s="256"/>
      <c r="N31" s="256"/>
      <c r="O31" s="256"/>
      <c r="P31" s="256"/>
      <c r="Q31" s="256"/>
      <c r="R31" s="256"/>
      <c r="S31" s="256"/>
      <c r="T31" s="256"/>
      <c r="U31" s="256"/>
      <c r="V31" s="223"/>
    </row>
    <row r="32" spans="2:22">
      <c r="B32" t="str">
        <f>MLIST!D32</f>
        <v>Commercial EM-New</v>
      </c>
      <c r="C32" s="277">
        <v>0.15</v>
      </c>
      <c r="D32" s="277">
        <v>0.15</v>
      </c>
      <c r="E32" s="277">
        <v>0.15</v>
      </c>
      <c r="F32" s="277">
        <v>0.15</v>
      </c>
      <c r="G32" s="277">
        <v>0.15</v>
      </c>
      <c r="H32" s="277">
        <v>0.15</v>
      </c>
      <c r="I32" s="277">
        <v>0.15</v>
      </c>
      <c r="J32" s="277">
        <v>0.15</v>
      </c>
      <c r="K32" s="277">
        <v>0.15</v>
      </c>
      <c r="L32" s="277">
        <v>0.15</v>
      </c>
      <c r="M32" s="277">
        <v>0.15</v>
      </c>
      <c r="N32" s="277">
        <v>0.15</v>
      </c>
      <c r="O32" s="277">
        <v>0.15</v>
      </c>
      <c r="P32" s="277">
        <v>0.15</v>
      </c>
      <c r="Q32" s="277">
        <v>0.15</v>
      </c>
      <c r="R32" s="277">
        <v>0.15</v>
      </c>
      <c r="S32" s="277">
        <v>0.15</v>
      </c>
      <c r="T32" s="277">
        <v>0.15</v>
      </c>
      <c r="U32" s="256"/>
      <c r="V32" s="223"/>
    </row>
    <row r="33" spans="2:22">
      <c r="B33" t="str">
        <f>MLIST!D33</f>
        <v>Commercial EM-NR</v>
      </c>
      <c r="C33" s="277">
        <v>0.15</v>
      </c>
      <c r="D33" s="277">
        <v>0.15</v>
      </c>
      <c r="E33" s="277">
        <v>0.15</v>
      </c>
      <c r="F33" s="277">
        <v>0.15</v>
      </c>
      <c r="G33" s="277">
        <v>0.15</v>
      </c>
      <c r="H33" s="277">
        <v>0.15</v>
      </c>
      <c r="I33" s="277">
        <v>0.15</v>
      </c>
      <c r="J33" s="277">
        <v>0.15</v>
      </c>
      <c r="K33" s="277">
        <v>0.15</v>
      </c>
      <c r="L33" s="277">
        <v>0.15</v>
      </c>
      <c r="M33" s="277">
        <v>0.15</v>
      </c>
      <c r="N33" s="277">
        <v>0.15</v>
      </c>
      <c r="O33" s="277">
        <v>0.15</v>
      </c>
      <c r="P33" s="277">
        <v>0.15</v>
      </c>
      <c r="Q33" s="277">
        <v>0.15</v>
      </c>
      <c r="R33" s="277">
        <v>0.15</v>
      </c>
      <c r="S33" s="277">
        <v>0.15</v>
      </c>
      <c r="T33" s="277">
        <v>0.15</v>
      </c>
      <c r="U33" s="256"/>
      <c r="V33" s="223"/>
    </row>
    <row r="34" spans="2:22">
      <c r="B34" t="str">
        <f>MLIST!D34</f>
        <v>Commercial EM-Retro</v>
      </c>
      <c r="C34" s="277">
        <v>0.15</v>
      </c>
      <c r="D34" s="277">
        <v>0.15</v>
      </c>
      <c r="E34" s="277">
        <v>0.15</v>
      </c>
      <c r="F34" s="277">
        <v>0.15</v>
      </c>
      <c r="G34" s="277">
        <v>0.15</v>
      </c>
      <c r="H34" s="277">
        <v>0.15</v>
      </c>
      <c r="I34" s="277">
        <v>0.15</v>
      </c>
      <c r="J34" s="277">
        <v>0.15</v>
      </c>
      <c r="K34" s="277">
        <v>0.15</v>
      </c>
      <c r="L34" s="277">
        <v>0.15</v>
      </c>
      <c r="M34" s="277">
        <v>0.15</v>
      </c>
      <c r="N34" s="277">
        <v>0.15</v>
      </c>
      <c r="O34" s="277">
        <v>0.15</v>
      </c>
      <c r="P34" s="277">
        <v>0.15</v>
      </c>
      <c r="Q34" s="277">
        <v>0.15</v>
      </c>
      <c r="R34" s="277">
        <v>0.15</v>
      </c>
      <c r="S34" s="277">
        <v>0.15</v>
      </c>
      <c r="T34" s="277">
        <v>0.15</v>
      </c>
      <c r="U34" s="256"/>
      <c r="V34" s="223"/>
    </row>
    <row r="35" spans="2:22">
      <c r="B35" t="str">
        <f>MLIST!D35</f>
        <v>Evaporative Assist Cooling-New</v>
      </c>
      <c r="C35" s="256"/>
      <c r="D35" s="256"/>
      <c r="E35" s="256"/>
      <c r="F35" s="256"/>
      <c r="G35" s="256"/>
      <c r="H35" s="256"/>
      <c r="I35" s="256"/>
      <c r="J35" s="256"/>
      <c r="K35" s="256"/>
      <c r="L35" s="256"/>
      <c r="M35" s="256"/>
      <c r="N35" s="256"/>
      <c r="O35" s="256"/>
      <c r="P35" s="256"/>
      <c r="Q35" s="256"/>
      <c r="R35" s="256"/>
      <c r="S35" s="256"/>
      <c r="T35" s="256"/>
      <c r="U35" s="256"/>
      <c r="V35" s="223"/>
    </row>
    <row r="36" spans="2:22">
      <c r="B36" t="str">
        <f>MLIST!D36</f>
        <v>Evaporative Assist Cooling-NR</v>
      </c>
      <c r="C36" s="256"/>
      <c r="D36" s="522"/>
      <c r="E36" s="256"/>
      <c r="F36" s="256"/>
      <c r="G36" s="256"/>
      <c r="H36" s="256"/>
      <c r="I36" s="256"/>
      <c r="J36" s="256"/>
      <c r="K36" s="256"/>
      <c r="L36" s="256"/>
      <c r="M36" s="256"/>
      <c r="N36" s="256"/>
      <c r="O36" s="256"/>
      <c r="P36" s="256"/>
      <c r="Q36" s="256"/>
      <c r="R36" s="256"/>
      <c r="S36" s="256"/>
      <c r="T36" s="256"/>
      <c r="U36" s="256"/>
      <c r="V36" s="223"/>
    </row>
    <row r="37" spans="2:22">
      <c r="B37" t="str">
        <f>MLIST!D37</f>
        <v>Economizer-Retro</v>
      </c>
      <c r="C37" s="256"/>
      <c r="D37" s="256"/>
      <c r="E37" s="256"/>
      <c r="F37" s="256"/>
      <c r="G37" s="256"/>
      <c r="H37" s="256"/>
      <c r="I37" s="256"/>
      <c r="J37" s="256"/>
      <c r="K37" s="256"/>
      <c r="L37" s="256"/>
      <c r="M37" s="256"/>
      <c r="N37" s="256"/>
      <c r="O37" s="256"/>
      <c r="P37" s="256"/>
      <c r="Q37" s="256"/>
      <c r="R37" s="256"/>
      <c r="S37" s="256"/>
      <c r="T37" s="256"/>
      <c r="U37" s="256"/>
      <c r="V37" s="223"/>
    </row>
    <row r="38" spans="2:22">
      <c r="B38" t="str">
        <f>MLIST!D38</f>
        <v>Demand Control Ventilation-New</v>
      </c>
      <c r="C38" s="256"/>
      <c r="D38" s="256"/>
      <c r="E38" s="256"/>
      <c r="F38" s="256"/>
      <c r="G38" s="256"/>
      <c r="H38" s="256"/>
      <c r="I38" s="256"/>
      <c r="J38" s="256"/>
      <c r="K38" s="256"/>
      <c r="L38" s="256"/>
      <c r="M38" s="256"/>
      <c r="N38" s="256"/>
      <c r="O38" s="256"/>
      <c r="P38" s="256"/>
      <c r="Q38" s="256"/>
      <c r="R38" s="256"/>
      <c r="S38" s="256"/>
      <c r="T38" s="256"/>
      <c r="U38" s="256"/>
      <c r="V38" s="223"/>
    </row>
    <row r="39" spans="2:22">
      <c r="B39" t="str">
        <f>MLIST!D39</f>
        <v>Demand Control Ventilation-NR</v>
      </c>
      <c r="C39" s="256"/>
      <c r="D39" s="256"/>
      <c r="E39" s="256"/>
      <c r="F39" s="256"/>
      <c r="G39" s="256"/>
      <c r="H39" s="256"/>
      <c r="I39" s="256"/>
      <c r="J39" s="256"/>
      <c r="K39" s="256"/>
      <c r="L39" s="256"/>
      <c r="M39" s="256"/>
      <c r="N39" s="256"/>
      <c r="O39" s="256"/>
      <c r="P39" s="256"/>
      <c r="Q39" s="256"/>
      <c r="R39" s="256"/>
      <c r="S39" s="256"/>
      <c r="T39" s="256"/>
      <c r="U39" s="256"/>
      <c r="V39" s="223"/>
    </row>
    <row r="40" spans="2:22">
      <c r="B40" t="str">
        <f>MLIST!D40</f>
        <v>Demand Control Ventilation-Retro</v>
      </c>
      <c r="C40" s="256"/>
      <c r="D40" s="256"/>
      <c r="E40" s="256"/>
      <c r="F40" s="256"/>
      <c r="G40" s="256"/>
      <c r="H40" s="256"/>
      <c r="I40" s="256"/>
      <c r="J40" s="256"/>
      <c r="K40" s="256"/>
      <c r="L40" s="256"/>
      <c r="M40" s="256"/>
      <c r="N40" s="256"/>
      <c r="O40" s="256"/>
      <c r="P40" s="256"/>
      <c r="Q40" s="256"/>
      <c r="R40" s="256"/>
      <c r="S40" s="256"/>
      <c r="T40" s="256"/>
      <c r="U40" s="256"/>
      <c r="V40" s="223"/>
    </row>
    <row r="41" spans="2:22">
      <c r="B41" t="str">
        <f>MLIST!D41</f>
        <v>Premium Fume Hood-NR</v>
      </c>
      <c r="C41" s="277">
        <v>0.06</v>
      </c>
      <c r="D41" s="277">
        <v>0.06</v>
      </c>
      <c r="E41" s="277">
        <v>0.06</v>
      </c>
      <c r="F41" s="277">
        <v>0.06</v>
      </c>
      <c r="G41" s="277">
        <v>0.06</v>
      </c>
      <c r="H41" s="277">
        <v>0.06</v>
      </c>
      <c r="I41" s="277">
        <v>0.06</v>
      </c>
      <c r="J41" s="277">
        <v>0.06</v>
      </c>
      <c r="K41" s="277">
        <v>0.06</v>
      </c>
      <c r="L41" s="277">
        <v>0.06</v>
      </c>
      <c r="M41" s="277">
        <v>0.06</v>
      </c>
      <c r="N41" s="277">
        <v>0.06</v>
      </c>
      <c r="O41" s="277">
        <v>0.06</v>
      </c>
      <c r="P41" s="277">
        <v>0.06</v>
      </c>
      <c r="Q41" s="277">
        <v>0.06</v>
      </c>
      <c r="R41" s="277">
        <v>0.06</v>
      </c>
      <c r="S41" s="277">
        <v>0.06</v>
      </c>
      <c r="T41" s="277">
        <v>0.06</v>
      </c>
      <c r="U41" s="277">
        <v>0.06</v>
      </c>
      <c r="V41" s="223"/>
    </row>
    <row r="42" spans="2:22">
      <c r="B42" t="str">
        <f>MLIST!D42</f>
        <v>DCV Restaurant Hood-Retro</v>
      </c>
      <c r="C42" s="256"/>
      <c r="D42" s="256"/>
      <c r="E42" s="256"/>
      <c r="F42" s="256"/>
      <c r="G42" s="256"/>
      <c r="H42" s="256"/>
      <c r="I42" s="256"/>
      <c r="J42" s="256"/>
      <c r="K42" s="256"/>
      <c r="L42" s="256"/>
      <c r="M42" s="256"/>
      <c r="N42" s="256"/>
      <c r="O42" s="256"/>
      <c r="P42" s="256"/>
      <c r="Q42" s="256"/>
      <c r="R42" s="256"/>
      <c r="S42" s="256"/>
      <c r="T42" s="256"/>
      <c r="U42" s="256"/>
      <c r="V42" s="223"/>
    </row>
    <row r="43" spans="2:22">
      <c r="B43" t="str">
        <f>MLIST!D43</f>
        <v>DCV Parking Garage-Retro</v>
      </c>
      <c r="C43" s="256"/>
      <c r="D43" s="256"/>
      <c r="E43" s="256"/>
      <c r="F43" s="256"/>
      <c r="G43" s="256"/>
      <c r="H43" s="256"/>
      <c r="I43" s="256"/>
      <c r="J43" s="256"/>
      <c r="K43" s="256"/>
      <c r="L43" s="256"/>
      <c r="M43" s="256"/>
      <c r="N43" s="256"/>
      <c r="O43" s="256"/>
      <c r="P43" s="256"/>
      <c r="Q43" s="256"/>
      <c r="R43" s="256"/>
      <c r="S43" s="256"/>
      <c r="T43" s="256"/>
      <c r="U43" s="256"/>
      <c r="V43" s="223"/>
    </row>
    <row r="44" spans="2:22">
      <c r="B44" t="str">
        <f>MLIST!D44</f>
        <v>Weatherization - School-Retro</v>
      </c>
      <c r="C44" s="256"/>
      <c r="D44" s="256"/>
      <c r="E44" s="256"/>
      <c r="F44" s="256"/>
      <c r="G44" s="256"/>
      <c r="H44" s="256"/>
      <c r="I44" s="256"/>
      <c r="J44" s="256"/>
      <c r="K44" s="256"/>
      <c r="L44" s="256"/>
      <c r="M44" s="256"/>
      <c r="N44" s="256"/>
      <c r="O44" s="256"/>
      <c r="P44" s="256"/>
      <c r="Q44" s="256"/>
      <c r="R44" s="256"/>
      <c r="S44" s="256"/>
      <c r="T44" s="256"/>
      <c r="U44" s="256"/>
      <c r="V44" s="223"/>
    </row>
    <row r="45" spans="2:22">
      <c r="B45" t="str">
        <f>MLIST!D45</f>
        <v>Energy Recovery Ventilator-NR</v>
      </c>
      <c r="C45" s="256"/>
      <c r="D45" s="256"/>
      <c r="E45" s="256"/>
      <c r="F45" s="256"/>
      <c r="G45" s="256"/>
      <c r="H45" s="256"/>
      <c r="I45" s="256"/>
      <c r="J45" s="256"/>
      <c r="K45" s="256"/>
      <c r="L45" s="256"/>
      <c r="M45" s="256"/>
      <c r="N45" s="256"/>
      <c r="O45" s="256"/>
      <c r="P45" s="256"/>
      <c r="Q45" s="256"/>
      <c r="R45" s="256"/>
      <c r="S45" s="256"/>
      <c r="T45" s="256"/>
      <c r="U45" s="277">
        <f>1/4</f>
        <v>0.25</v>
      </c>
      <c r="V45" s="223"/>
    </row>
    <row r="46" spans="2:22">
      <c r="B46" t="str">
        <f>MLIST!D46</f>
        <v>AC Heat Recovery for Water Heating-NR</v>
      </c>
      <c r="C46" s="256"/>
      <c r="D46" s="256"/>
      <c r="E46" s="256"/>
      <c r="F46" s="256"/>
      <c r="G46" s="256"/>
      <c r="H46" s="256"/>
      <c r="I46" s="256"/>
      <c r="J46" s="256"/>
      <c r="K46" s="256"/>
      <c r="L46" s="256"/>
      <c r="M46" s="256"/>
      <c r="N46" s="256"/>
      <c r="O46" s="256"/>
      <c r="P46" s="256"/>
      <c r="Q46" s="256"/>
      <c r="R46" s="256"/>
      <c r="S46" s="256"/>
      <c r="T46" s="256"/>
      <c r="U46" s="256"/>
      <c r="V46" s="223"/>
    </row>
    <row r="47" spans="2:22">
      <c r="B47" t="str">
        <f>MLIST!D47</f>
        <v>Room Occupancy Sensors in Lodging-Retro</v>
      </c>
      <c r="C47" s="256"/>
      <c r="D47" s="256"/>
      <c r="E47" s="256"/>
      <c r="F47" s="256"/>
      <c r="G47" s="256"/>
      <c r="H47" s="256"/>
      <c r="I47" s="256"/>
      <c r="J47" s="256"/>
      <c r="K47" s="256"/>
      <c r="L47" s="256"/>
      <c r="M47" s="256"/>
      <c r="N47" s="256"/>
      <c r="O47" s="256"/>
      <c r="P47" s="256"/>
      <c r="Q47" s="256"/>
      <c r="R47" s="256"/>
      <c r="S47" s="256"/>
      <c r="T47" s="256"/>
      <c r="U47" s="256"/>
      <c r="V47" s="223"/>
    </row>
    <row r="48" spans="2:22">
      <c r="B48" t="str">
        <f>MLIST!D48</f>
        <v>Chiller - chilled water retrofit-Retro</v>
      </c>
      <c r="C48" s="256"/>
      <c r="D48" s="256"/>
      <c r="E48" s="256"/>
      <c r="F48" s="256"/>
      <c r="G48" s="256"/>
      <c r="H48" s="256"/>
      <c r="I48" s="256"/>
      <c r="J48" s="256"/>
      <c r="K48" s="256"/>
      <c r="L48" s="256"/>
      <c r="M48" s="256"/>
      <c r="N48" s="256"/>
      <c r="O48" s="256"/>
      <c r="P48" s="256"/>
      <c r="Q48" s="256"/>
      <c r="R48" s="256"/>
      <c r="S48" s="256"/>
      <c r="T48" s="256"/>
      <c r="U48" s="256"/>
      <c r="V48" s="223"/>
    </row>
    <row r="49" spans="2:22">
      <c r="B49" t="str">
        <f>MLIST!D49</f>
        <v>Chiller - equip retrofits-Retro</v>
      </c>
      <c r="C49" s="256"/>
      <c r="D49" s="256"/>
      <c r="E49" s="256"/>
      <c r="F49" s="256"/>
      <c r="G49" s="256"/>
      <c r="H49" s="256"/>
      <c r="I49" s="256"/>
      <c r="J49" s="256"/>
      <c r="K49" s="256"/>
      <c r="L49" s="256"/>
      <c r="M49" s="256"/>
      <c r="N49" s="256"/>
      <c r="O49" s="256"/>
      <c r="P49" s="256"/>
      <c r="Q49" s="256"/>
      <c r="R49" s="256"/>
      <c r="S49" s="256"/>
      <c r="T49" s="256"/>
      <c r="U49" s="256"/>
      <c r="V49" s="223"/>
    </row>
    <row r="50" spans="2:22">
      <c r="B50" t="str">
        <f>MLIST!D50</f>
        <v>Pool Blankets-Retro</v>
      </c>
      <c r="C50" s="256"/>
      <c r="D50" s="256"/>
      <c r="E50" s="256"/>
      <c r="F50" s="256"/>
      <c r="G50" s="256"/>
      <c r="H50" s="256"/>
      <c r="I50" s="256"/>
      <c r="J50" s="256"/>
      <c r="K50" s="256"/>
      <c r="L50" s="256"/>
      <c r="M50" s="256"/>
      <c r="N50" s="256"/>
      <c r="O50" s="256"/>
      <c r="P50" s="256"/>
      <c r="Q50" s="256"/>
      <c r="R50" s="256"/>
      <c r="S50" s="256"/>
      <c r="T50" s="256"/>
      <c r="U50" s="256"/>
      <c r="V50" s="223"/>
    </row>
    <row r="51" spans="2:22">
      <c r="B51" t="str">
        <f>MLIST!D51</f>
        <v>Web-Enabled Thermostats-Retro</v>
      </c>
      <c r="C51" s="256"/>
      <c r="D51" s="256"/>
      <c r="E51" s="256"/>
      <c r="F51" s="256"/>
      <c r="G51" s="256"/>
      <c r="H51" s="256"/>
      <c r="I51" s="256"/>
      <c r="J51" s="256"/>
      <c r="K51" s="256"/>
      <c r="L51" s="256"/>
      <c r="M51" s="256"/>
      <c r="N51" s="256"/>
      <c r="O51" s="256"/>
      <c r="P51" s="256"/>
      <c r="Q51" s="256"/>
      <c r="R51" s="256"/>
      <c r="S51" s="256"/>
      <c r="T51" s="256"/>
      <c r="U51" s="256"/>
      <c r="V51" s="223"/>
    </row>
    <row r="52" spans="2:22">
      <c r="B52" t="str">
        <f>MLIST!D52</f>
        <v>Garage CO2 ventilation-Retro</v>
      </c>
      <c r="C52" s="256"/>
      <c r="D52" s="256"/>
      <c r="E52" s="256"/>
      <c r="F52" s="256"/>
      <c r="G52" s="256"/>
      <c r="H52" s="256"/>
      <c r="I52" s="256"/>
      <c r="J52" s="256"/>
      <c r="K52" s="256"/>
      <c r="L52" s="256"/>
      <c r="M52" s="256"/>
      <c r="N52" s="256"/>
      <c r="O52" s="256"/>
      <c r="P52" s="256"/>
      <c r="Q52" s="256"/>
      <c r="R52" s="256"/>
      <c r="S52" s="256"/>
      <c r="T52" s="256"/>
      <c r="U52" s="256"/>
      <c r="V52" s="223"/>
    </row>
    <row r="53" spans="2:22">
      <c r="B53" t="str">
        <f>MLIST!D53</f>
        <v>Circ Pump ECM and drive-Retro</v>
      </c>
      <c r="C53" s="256"/>
      <c r="D53" s="256"/>
      <c r="E53" s="256"/>
      <c r="F53" s="256"/>
      <c r="G53" s="256"/>
      <c r="H53" s="256"/>
      <c r="I53" s="256"/>
      <c r="J53" s="256"/>
      <c r="K53" s="256"/>
      <c r="L53" s="256"/>
      <c r="M53" s="256"/>
      <c r="N53" s="256"/>
      <c r="O53" s="256"/>
      <c r="P53" s="256"/>
      <c r="Q53" s="256"/>
      <c r="R53" s="256"/>
      <c r="S53" s="256"/>
      <c r="T53" s="256"/>
      <c r="U53" s="256"/>
      <c r="V53" s="223"/>
    </row>
    <row r="54" spans="2:22">
      <c r="B54" t="str">
        <f>MLIST!D54</f>
        <v>VRF-New</v>
      </c>
      <c r="C54" s="256"/>
      <c r="D54" s="256"/>
      <c r="E54" s="256"/>
      <c r="F54" s="256"/>
      <c r="G54" s="256"/>
      <c r="H54" s="256"/>
      <c r="I54" s="256"/>
      <c r="J54" s="256"/>
      <c r="K54" s="256"/>
      <c r="L54" s="256"/>
      <c r="M54" s="256"/>
      <c r="N54" s="256"/>
      <c r="O54" s="256"/>
      <c r="P54" s="256"/>
      <c r="Q54" s="256"/>
      <c r="R54" s="256"/>
      <c r="S54" s="256"/>
      <c r="T54" s="256"/>
      <c r="U54" s="256"/>
      <c r="V54" s="223"/>
    </row>
    <row r="55" spans="2:22">
      <c r="B55" t="str">
        <f>MLIST!D55</f>
        <v>VRF-Retro</v>
      </c>
      <c r="C55" s="256"/>
      <c r="D55" s="256"/>
      <c r="E55" s="256"/>
      <c r="F55" s="256"/>
      <c r="G55" s="256"/>
      <c r="H55" s="256"/>
      <c r="I55" s="256"/>
      <c r="J55" s="256"/>
      <c r="K55" s="256"/>
      <c r="L55" s="256"/>
      <c r="M55" s="256"/>
      <c r="N55" s="256"/>
      <c r="O55" s="256"/>
      <c r="P55" s="256"/>
      <c r="Q55" s="256"/>
      <c r="R55" s="256"/>
      <c r="S55" s="256"/>
      <c r="T55" s="256"/>
      <c r="U55" s="256"/>
      <c r="V55" s="223"/>
    </row>
    <row r="56" spans="2:22">
      <c r="B56" t="str">
        <f>MLIST!D56</f>
        <v>Evaporator Roof Top HVAC-Retro</v>
      </c>
      <c r="C56" s="256"/>
      <c r="D56" s="256"/>
      <c r="E56" s="256"/>
      <c r="F56" s="256"/>
      <c r="G56" s="256"/>
      <c r="H56" s="256"/>
      <c r="I56" s="256"/>
      <c r="J56" s="256"/>
      <c r="K56" s="256"/>
      <c r="L56" s="256"/>
      <c r="M56" s="256"/>
      <c r="N56" s="256"/>
      <c r="O56" s="256"/>
      <c r="P56" s="256"/>
      <c r="Q56" s="256"/>
      <c r="R56" s="256"/>
      <c r="S56" s="256"/>
      <c r="T56" s="256"/>
      <c r="U56" s="256"/>
      <c r="V56" s="223"/>
    </row>
    <row r="57" spans="2:22">
      <c r="B57" t="str">
        <f>MLIST!D57</f>
        <v>Secondary Glazing Systems-Retro</v>
      </c>
      <c r="C57" s="256"/>
      <c r="D57" s="256"/>
      <c r="E57" s="256"/>
      <c r="F57" s="256"/>
      <c r="G57" s="256"/>
      <c r="H57" s="256"/>
      <c r="I57" s="256"/>
      <c r="J57" s="256"/>
      <c r="K57" s="256"/>
      <c r="L57" s="256"/>
      <c r="M57" s="256"/>
      <c r="N57" s="256"/>
      <c r="O57" s="256"/>
      <c r="P57" s="256"/>
      <c r="Q57" s="256"/>
      <c r="R57" s="256"/>
      <c r="S57" s="256"/>
      <c r="T57" s="256"/>
      <c r="U57" s="256"/>
      <c r="V57" s="223"/>
    </row>
    <row r="58" spans="2:22">
      <c r="B58" t="str">
        <f>MLIST!D58</f>
        <v>LPD Package-New</v>
      </c>
      <c r="C58" s="256"/>
      <c r="D58" s="256"/>
      <c r="E58" s="256"/>
      <c r="F58" s="256"/>
      <c r="G58" s="256"/>
      <c r="H58" s="256"/>
      <c r="I58" s="256"/>
      <c r="J58" s="256"/>
      <c r="K58" s="256"/>
      <c r="L58" s="256"/>
      <c r="M58" s="256"/>
      <c r="N58" s="256"/>
      <c r="O58" s="256"/>
      <c r="P58" s="256"/>
      <c r="Q58" s="256"/>
      <c r="R58" s="256"/>
      <c r="S58" s="256"/>
      <c r="T58" s="256"/>
      <c r="U58" s="256"/>
      <c r="V58" s="223"/>
    </row>
    <row r="59" spans="2:22">
      <c r="B59" t="str">
        <f>MLIST!D59</f>
        <v>LPD Package-NR</v>
      </c>
      <c r="C59" s="256"/>
      <c r="D59" s="256"/>
      <c r="E59" s="256"/>
      <c r="F59" s="256"/>
      <c r="G59" s="256"/>
      <c r="H59" s="256"/>
      <c r="I59" s="256"/>
      <c r="J59" s="256"/>
      <c r="K59" s="256"/>
      <c r="L59" s="256"/>
      <c r="M59" s="256"/>
      <c r="N59" s="256"/>
      <c r="O59" s="256"/>
      <c r="P59" s="256"/>
      <c r="Q59" s="256"/>
      <c r="R59" s="256"/>
      <c r="S59" s="256"/>
      <c r="T59" s="256"/>
      <c r="U59" s="256"/>
      <c r="V59" s="223"/>
    </row>
    <row r="60" spans="2:22">
      <c r="B60" t="str">
        <f>MLIST!D60</f>
        <v>LPD Package-Retro</v>
      </c>
      <c r="C60" s="256"/>
      <c r="D60" s="256"/>
      <c r="E60" s="256"/>
      <c r="F60" s="256"/>
      <c r="G60" s="256"/>
      <c r="H60" s="256"/>
      <c r="I60" s="256"/>
      <c r="J60" s="256"/>
      <c r="K60" s="256"/>
      <c r="L60" s="256"/>
      <c r="M60" s="256"/>
      <c r="N60" s="256"/>
      <c r="O60" s="256"/>
      <c r="P60" s="256"/>
      <c r="Q60" s="256"/>
      <c r="R60" s="256"/>
      <c r="S60" s="256"/>
      <c r="T60" s="256"/>
      <c r="U60" s="256"/>
      <c r="V60" s="223"/>
    </row>
    <row r="61" spans="2:22">
      <c r="B61" t="str">
        <f>MLIST!D61</f>
        <v>Top Daylighting-New</v>
      </c>
      <c r="C61" s="256"/>
      <c r="D61" s="256"/>
      <c r="E61" s="256"/>
      <c r="F61" s="256"/>
      <c r="G61" s="256"/>
      <c r="H61" s="256"/>
      <c r="I61" s="256"/>
      <c r="J61" s="256"/>
      <c r="K61" s="256"/>
      <c r="L61" s="256"/>
      <c r="M61" s="256"/>
      <c r="N61" s="256"/>
      <c r="O61" s="256"/>
      <c r="P61" s="256"/>
      <c r="Q61" s="256"/>
      <c r="R61" s="256"/>
      <c r="S61" s="256"/>
      <c r="T61" s="256"/>
      <c r="U61" s="256"/>
      <c r="V61" s="223"/>
    </row>
    <row r="62" spans="2:22">
      <c r="B62" t="str">
        <f>MLIST!D62</f>
        <v>Perimeter Daylighting Controls Advanced-New</v>
      </c>
      <c r="C62" s="256"/>
      <c r="D62" s="256"/>
      <c r="E62" s="256"/>
      <c r="F62" s="256"/>
      <c r="G62" s="256"/>
      <c r="H62" s="256"/>
      <c r="I62" s="256"/>
      <c r="J62" s="256"/>
      <c r="K62" s="256"/>
      <c r="L62" s="256"/>
      <c r="M62" s="256"/>
      <c r="N62" s="256"/>
      <c r="O62" s="256"/>
      <c r="P62" s="256"/>
      <c r="Q62" s="256"/>
      <c r="R62" s="256"/>
      <c r="S62" s="256"/>
      <c r="T62" s="256"/>
      <c r="U62" s="256"/>
      <c r="V62" s="223"/>
    </row>
    <row r="63" spans="2:22">
      <c r="B63" t="str">
        <f>MLIST!D63</f>
        <v>Perimeter Daylighting Controls Advanced-NR</v>
      </c>
      <c r="C63" s="256"/>
      <c r="D63" s="256"/>
      <c r="E63" s="256"/>
      <c r="F63" s="256"/>
      <c r="G63" s="256"/>
      <c r="H63" s="256"/>
      <c r="I63" s="256"/>
      <c r="J63" s="256"/>
      <c r="K63" s="256"/>
      <c r="L63" s="256"/>
      <c r="M63" s="256"/>
      <c r="N63" s="256"/>
      <c r="O63" s="256"/>
      <c r="P63" s="256"/>
      <c r="Q63" s="256"/>
      <c r="R63" s="256"/>
      <c r="S63" s="256"/>
      <c r="T63" s="256"/>
      <c r="U63" s="256"/>
      <c r="V63" s="223"/>
    </row>
    <row r="64" spans="2:22">
      <c r="B64" t="str">
        <f>MLIST!D64</f>
        <v>Lighting Controls Interior-New</v>
      </c>
      <c r="C64" s="256"/>
      <c r="D64" s="256"/>
      <c r="E64" s="256"/>
      <c r="F64" s="256"/>
      <c r="G64" s="256"/>
      <c r="H64" s="256"/>
      <c r="I64" s="256"/>
      <c r="J64" s="256"/>
      <c r="K64" s="256"/>
      <c r="L64" s="256"/>
      <c r="M64" s="256"/>
      <c r="N64" s="256"/>
      <c r="O64" s="256"/>
      <c r="P64" s="256"/>
      <c r="Q64" s="256"/>
      <c r="R64" s="256"/>
      <c r="S64" s="256"/>
      <c r="T64" s="256"/>
      <c r="U64" s="256"/>
      <c r="V64" s="223"/>
    </row>
    <row r="65" spans="2:22">
      <c r="B65" t="str">
        <f>MLIST!D65</f>
        <v>Lighting Controls Interior-NR</v>
      </c>
      <c r="C65" s="277">
        <v>0.06</v>
      </c>
      <c r="D65" s="277">
        <v>0.06</v>
      </c>
      <c r="E65" s="277">
        <v>0.06</v>
      </c>
      <c r="F65" s="277">
        <v>0.06</v>
      </c>
      <c r="G65" s="277">
        <v>0.06</v>
      </c>
      <c r="H65" s="277">
        <v>0.06</v>
      </c>
      <c r="I65" s="277">
        <v>0.06</v>
      </c>
      <c r="J65" s="277">
        <v>0.06</v>
      </c>
      <c r="K65" s="277">
        <v>0.06</v>
      </c>
      <c r="L65" s="277">
        <v>0.06</v>
      </c>
      <c r="M65" s="277">
        <v>0.06</v>
      </c>
      <c r="N65" s="277">
        <v>0.06</v>
      </c>
      <c r="O65" s="277">
        <v>0.06</v>
      </c>
      <c r="P65" s="277">
        <v>0.06</v>
      </c>
      <c r="Q65" s="277">
        <v>0.06</v>
      </c>
      <c r="R65" s="277">
        <v>0.06</v>
      </c>
      <c r="S65" s="277">
        <v>0.06</v>
      </c>
      <c r="T65" s="277">
        <v>0.06</v>
      </c>
      <c r="U65" s="256"/>
      <c r="V65" s="218" t="s">
        <v>951</v>
      </c>
    </row>
    <row r="66" spans="2:22">
      <c r="B66" t="str">
        <f>MLIST!D66</f>
        <v>Exterior Building Lighting-New</v>
      </c>
      <c r="C66" s="256"/>
      <c r="D66" s="256"/>
      <c r="E66" s="256"/>
      <c r="F66" s="256"/>
      <c r="G66" s="256"/>
      <c r="H66" s="256"/>
      <c r="I66" s="256"/>
      <c r="J66" s="256"/>
      <c r="K66" s="256"/>
      <c r="L66" s="256"/>
      <c r="M66" s="256"/>
      <c r="N66" s="256"/>
      <c r="O66" s="256"/>
      <c r="P66" s="256"/>
      <c r="Q66" s="256"/>
      <c r="R66" s="256"/>
      <c r="S66" s="256"/>
      <c r="T66" s="256"/>
      <c r="U66" s="277">
        <v>0.2</v>
      </c>
      <c r="V66" s="405" t="s">
        <v>838</v>
      </c>
    </row>
    <row r="67" spans="2:22">
      <c r="B67" t="str">
        <f>MLIST!D67</f>
        <v>Exterior Building Lighting-NR</v>
      </c>
      <c r="C67" s="256"/>
      <c r="D67" s="256"/>
      <c r="E67" s="256"/>
      <c r="F67" s="256"/>
      <c r="G67" s="256"/>
      <c r="H67" s="256"/>
      <c r="I67" s="256"/>
      <c r="J67" s="256"/>
      <c r="K67" s="256"/>
      <c r="L67" s="256"/>
      <c r="M67" s="256"/>
      <c r="N67" s="256"/>
      <c r="O67" s="256"/>
      <c r="P67" s="256"/>
      <c r="Q67" s="256"/>
      <c r="R67" s="256"/>
      <c r="S67" s="256"/>
      <c r="T67" s="256"/>
      <c r="U67" s="277">
        <v>0.2</v>
      </c>
      <c r="V67" s="280" t="s">
        <v>837</v>
      </c>
    </row>
    <row r="68" spans="2:22">
      <c r="B68" t="str">
        <f>MLIST!D68</f>
        <v>Street and Roadway Lighting-New</v>
      </c>
      <c r="C68" s="256"/>
      <c r="D68" s="256"/>
      <c r="E68" s="256"/>
      <c r="F68" s="256"/>
      <c r="G68" s="256"/>
      <c r="H68" s="256"/>
      <c r="I68" s="256"/>
      <c r="J68" s="256"/>
      <c r="K68" s="256"/>
      <c r="L68" s="256"/>
      <c r="M68" s="256"/>
      <c r="N68" s="256"/>
      <c r="O68" s="256"/>
      <c r="P68" s="256"/>
      <c r="Q68" s="256"/>
      <c r="R68" s="256"/>
      <c r="S68" s="256"/>
      <c r="T68" s="256"/>
      <c r="U68" s="279">
        <f>1/5</f>
        <v>0.2</v>
      </c>
      <c r="V68" s="280" t="s">
        <v>705</v>
      </c>
    </row>
    <row r="69" spans="2:22">
      <c r="B69" t="str">
        <f>MLIST!D69</f>
        <v>Street and Roadway Lighting-NR</v>
      </c>
      <c r="C69" s="256"/>
      <c r="D69" s="256"/>
      <c r="E69" s="256"/>
      <c r="F69" s="256"/>
      <c r="G69" s="256"/>
      <c r="H69" s="256"/>
      <c r="I69" s="256"/>
      <c r="J69" s="256"/>
      <c r="K69" s="256"/>
      <c r="L69" s="256"/>
      <c r="M69" s="256"/>
      <c r="N69" s="256"/>
      <c r="O69" s="256"/>
      <c r="P69" s="256"/>
      <c r="Q69" s="256"/>
      <c r="R69" s="256"/>
      <c r="S69" s="256"/>
      <c r="T69" s="256"/>
      <c r="U69" s="279">
        <f>1/5</f>
        <v>0.2</v>
      </c>
      <c r="V69" s="280" t="s">
        <v>705</v>
      </c>
    </row>
    <row r="70" spans="2:22">
      <c r="B70" t="str">
        <f>MLIST!D70</f>
        <v>Parking Lighting-New</v>
      </c>
      <c r="C70" s="256"/>
      <c r="D70" s="256"/>
      <c r="E70" s="256"/>
      <c r="F70" s="256"/>
      <c r="G70" s="256"/>
      <c r="H70" s="256"/>
      <c r="I70" s="256"/>
      <c r="J70" s="256"/>
      <c r="K70" s="256"/>
      <c r="L70" s="256"/>
      <c r="M70" s="256"/>
      <c r="N70" s="256"/>
      <c r="O70" s="256"/>
      <c r="P70" s="256"/>
      <c r="Q70" s="256"/>
      <c r="R70" s="256"/>
      <c r="S70" s="256"/>
      <c r="T70" s="256"/>
      <c r="U70" s="256"/>
      <c r="V70" s="223"/>
    </row>
    <row r="71" spans="2:22">
      <c r="B71" t="str">
        <f>MLIST!D71</f>
        <v>Parking Lighting-NR</v>
      </c>
      <c r="C71" s="256"/>
      <c r="D71" s="256"/>
      <c r="E71" s="256"/>
      <c r="F71" s="256"/>
      <c r="G71" s="256"/>
      <c r="H71" s="256"/>
      <c r="I71" s="256"/>
      <c r="J71" s="256"/>
      <c r="K71" s="256"/>
      <c r="L71" s="256"/>
      <c r="M71" s="256"/>
      <c r="N71" s="256"/>
      <c r="O71" s="256"/>
      <c r="P71" s="256"/>
      <c r="Q71" s="256"/>
      <c r="R71" s="256"/>
      <c r="S71" s="256"/>
      <c r="T71" s="256"/>
      <c r="U71" s="256"/>
      <c r="V71" s="223"/>
    </row>
    <row r="72" spans="2:22">
      <c r="B72" t="str">
        <f>MLIST!D72</f>
        <v>Bi-Level Stairwell Lighting-NR</v>
      </c>
      <c r="C72" s="256"/>
      <c r="D72" s="256"/>
      <c r="E72" s="256"/>
      <c r="F72" s="256"/>
      <c r="G72" s="256"/>
      <c r="H72" s="256"/>
      <c r="I72" s="256"/>
      <c r="J72" s="256"/>
      <c r="K72" s="256"/>
      <c r="L72" s="256"/>
      <c r="M72" s="256"/>
      <c r="N72" s="256"/>
      <c r="O72" s="256"/>
      <c r="P72" s="256"/>
      <c r="Q72" s="256"/>
      <c r="R72" s="256"/>
      <c r="S72" s="256"/>
      <c r="T72" s="256"/>
      <c r="U72" s="256"/>
      <c r="V72" s="223"/>
    </row>
    <row r="73" spans="2:22">
      <c r="B73" t="str">
        <f>MLIST!D73</f>
        <v>Low Power LF Lamps-NR</v>
      </c>
      <c r="C73" s="7"/>
      <c r="D73" s="7"/>
      <c r="E73" s="7"/>
      <c r="F73" s="7"/>
      <c r="G73" s="7"/>
      <c r="H73" s="7"/>
      <c r="I73" s="7"/>
      <c r="J73" s="7"/>
      <c r="K73" s="7"/>
      <c r="L73" s="7"/>
      <c r="M73" s="7"/>
      <c r="N73" s="7"/>
      <c r="O73" s="7"/>
      <c r="P73" s="7"/>
      <c r="Q73" s="7"/>
      <c r="R73" s="7"/>
      <c r="S73" s="7"/>
      <c r="T73" s="7"/>
    </row>
    <row r="74" spans="2:22">
      <c r="B74" t="str">
        <f>MLIST!D74</f>
        <v>LEC Exit Sign-New</v>
      </c>
      <c r="C74" s="256"/>
      <c r="D74" s="256"/>
      <c r="E74" s="256"/>
      <c r="F74" s="256"/>
      <c r="G74" s="256"/>
      <c r="H74" s="256"/>
      <c r="I74" s="256"/>
      <c r="J74" s="256"/>
      <c r="K74" s="256"/>
      <c r="L74" s="256"/>
      <c r="M74" s="256"/>
      <c r="N74" s="256"/>
      <c r="O74" s="256"/>
      <c r="P74" s="256"/>
      <c r="Q74" s="256"/>
      <c r="R74" s="256"/>
      <c r="S74" s="256"/>
      <c r="T74" s="256"/>
      <c r="U74" s="256"/>
      <c r="V74" s="223"/>
    </row>
    <row r="75" spans="2:22">
      <c r="B75" t="str">
        <f>MLIST!D75</f>
        <v>LEC Exit Sign-NR</v>
      </c>
    </row>
    <row r="76" spans="2:22">
      <c r="B76" t="str">
        <f>MLIST!D76</f>
        <v>ECM-VAV-New</v>
      </c>
      <c r="C76" s="256"/>
      <c r="D76" s="256"/>
      <c r="E76" s="256"/>
      <c r="F76" s="256"/>
      <c r="G76" s="256"/>
      <c r="H76" s="256"/>
      <c r="I76" s="256"/>
      <c r="J76" s="256"/>
      <c r="K76" s="256"/>
      <c r="L76" s="256"/>
      <c r="M76" s="256"/>
      <c r="N76" s="256"/>
      <c r="O76" s="256"/>
      <c r="P76" s="256"/>
      <c r="Q76" s="256"/>
      <c r="R76" s="256"/>
      <c r="S76" s="256"/>
      <c r="T76" s="256"/>
      <c r="U76" s="256"/>
      <c r="V76" s="223"/>
    </row>
    <row r="77" spans="2:22">
      <c r="B77" t="str">
        <f>MLIST!D77</f>
        <v>ECM-VAV-NR</v>
      </c>
      <c r="C77" s="256"/>
      <c r="D77" s="256"/>
      <c r="E77" s="256"/>
      <c r="F77" s="256"/>
      <c r="G77" s="256"/>
      <c r="H77" s="256"/>
      <c r="I77" s="256"/>
      <c r="J77" s="256"/>
      <c r="K77" s="256"/>
      <c r="L77" s="256"/>
      <c r="M77" s="256"/>
      <c r="N77" s="256"/>
      <c r="O77" s="256"/>
      <c r="P77" s="256"/>
      <c r="Q77" s="256"/>
      <c r="R77" s="256"/>
      <c r="S77" s="256"/>
      <c r="T77" s="256"/>
      <c r="U77" s="256"/>
      <c r="V77" s="223"/>
    </row>
    <row r="78" spans="2:22">
      <c r="B78" t="str">
        <f>MLIST!D78</f>
        <v>Pool pumps-Retro</v>
      </c>
      <c r="C78" s="256"/>
      <c r="D78" s="256"/>
      <c r="E78" s="256"/>
      <c r="F78" s="256"/>
      <c r="G78" s="256"/>
      <c r="H78" s="256"/>
      <c r="I78" s="256"/>
      <c r="J78" s="256"/>
      <c r="K78" s="256"/>
      <c r="L78" s="256"/>
      <c r="M78" s="256"/>
      <c r="N78" s="256"/>
      <c r="O78" s="256"/>
      <c r="P78" s="256"/>
      <c r="Q78" s="256"/>
      <c r="R78" s="256"/>
      <c r="S78" s="256"/>
      <c r="T78" s="256"/>
      <c r="U78" s="256"/>
      <c r="V78" s="223"/>
    </row>
    <row r="79" spans="2:22">
      <c r="B79" t="str">
        <f>MLIST!D79</f>
        <v>MotorsRewind-New</v>
      </c>
      <c r="C79" s="256"/>
      <c r="D79" s="256"/>
      <c r="E79" s="256"/>
      <c r="F79" s="256"/>
      <c r="G79" s="256"/>
      <c r="H79" s="256"/>
      <c r="I79" s="256"/>
      <c r="J79" s="256"/>
      <c r="K79" s="256"/>
      <c r="L79" s="256"/>
      <c r="M79" s="256"/>
      <c r="N79" s="256"/>
      <c r="O79" s="256"/>
      <c r="P79" s="256"/>
      <c r="Q79" s="256"/>
      <c r="R79" s="256"/>
      <c r="S79" s="256"/>
      <c r="T79" s="256"/>
      <c r="U79" s="256"/>
      <c r="V79" s="223"/>
    </row>
    <row r="80" spans="2:22">
      <c r="B80" t="str">
        <f>MLIST!D80</f>
        <v>MotorsRewind-NR</v>
      </c>
      <c r="C80" s="256"/>
      <c r="D80" s="256"/>
      <c r="E80" s="256"/>
      <c r="F80" s="256"/>
      <c r="G80" s="256"/>
      <c r="H80" s="256"/>
      <c r="I80" s="256"/>
      <c r="J80" s="256"/>
      <c r="K80" s="256"/>
      <c r="L80" s="256"/>
      <c r="M80" s="256"/>
      <c r="N80" s="256"/>
      <c r="O80" s="256"/>
      <c r="P80" s="256"/>
      <c r="Q80" s="256"/>
      <c r="R80" s="256"/>
      <c r="S80" s="256"/>
      <c r="T80" s="256"/>
      <c r="U80" s="256"/>
      <c r="V80" s="223"/>
    </row>
    <row r="81" spans="2:22">
      <c r="B81" t="str">
        <f>MLIST!D81</f>
        <v>Municipal Sewage Treatment-Retro</v>
      </c>
      <c r="C81" s="269">
        <v>0</v>
      </c>
      <c r="D81" s="269">
        <v>0</v>
      </c>
      <c r="E81" s="269">
        <v>0</v>
      </c>
      <c r="F81" s="269">
        <v>0</v>
      </c>
      <c r="G81" s="269">
        <v>0</v>
      </c>
      <c r="H81" s="269">
        <v>0</v>
      </c>
      <c r="I81" s="269">
        <v>0</v>
      </c>
      <c r="J81" s="269">
        <v>0</v>
      </c>
      <c r="K81" s="269">
        <v>0</v>
      </c>
      <c r="L81" s="269">
        <v>0</v>
      </c>
      <c r="M81" s="269">
        <v>0</v>
      </c>
      <c r="N81" s="269">
        <v>0</v>
      </c>
      <c r="O81" s="269">
        <v>0</v>
      </c>
      <c r="P81" s="269">
        <v>0</v>
      </c>
      <c r="Q81" s="269">
        <v>0</v>
      </c>
      <c r="R81" s="269">
        <v>0</v>
      </c>
      <c r="S81" s="269">
        <v>0</v>
      </c>
      <c r="T81" s="269">
        <v>0</v>
      </c>
      <c r="U81" s="277"/>
      <c r="V81" s="223"/>
    </row>
    <row r="82" spans="2:22">
      <c r="B82" t="str">
        <f>MLIST!D82</f>
        <v>Municipal Water Supply-Retro</v>
      </c>
      <c r="C82" s="269">
        <v>0</v>
      </c>
      <c r="D82" s="269">
        <v>0</v>
      </c>
      <c r="E82" s="269">
        <v>0</v>
      </c>
      <c r="F82" s="269">
        <v>0</v>
      </c>
      <c r="G82" s="269">
        <v>0</v>
      </c>
      <c r="H82" s="269">
        <v>0</v>
      </c>
      <c r="I82" s="269">
        <v>0</v>
      </c>
      <c r="J82" s="269">
        <v>0</v>
      </c>
      <c r="K82" s="269">
        <v>0</v>
      </c>
      <c r="L82" s="269">
        <v>0</v>
      </c>
      <c r="M82" s="269">
        <v>0</v>
      </c>
      <c r="N82" s="269">
        <v>0</v>
      </c>
      <c r="O82" s="269">
        <v>0</v>
      </c>
      <c r="P82" s="269">
        <v>0</v>
      </c>
      <c r="Q82" s="269">
        <v>0</v>
      </c>
      <c r="R82" s="269">
        <v>0</v>
      </c>
      <c r="S82" s="269">
        <v>0</v>
      </c>
      <c r="T82" s="269">
        <v>0</v>
      </c>
      <c r="U82" s="277"/>
      <c r="V82" s="223"/>
    </row>
    <row r="83" spans="2:22">
      <c r="B83" t="str">
        <f>MLIST!D83</f>
        <v>Engine Generator Block Heaters-Retro</v>
      </c>
      <c r="C83" s="256"/>
      <c r="D83" s="256"/>
      <c r="E83" s="256"/>
      <c r="F83" s="256"/>
      <c r="G83" s="256"/>
      <c r="H83" s="256"/>
      <c r="I83" s="256"/>
      <c r="J83" s="256"/>
      <c r="K83" s="256"/>
      <c r="L83" s="256"/>
      <c r="M83" s="256"/>
      <c r="N83" s="256"/>
      <c r="O83" s="256"/>
      <c r="P83" s="256"/>
      <c r="Q83" s="256"/>
      <c r="R83" s="256"/>
      <c r="S83" s="256"/>
      <c r="T83" s="256"/>
      <c r="U83" s="277"/>
      <c r="V83" s="223"/>
    </row>
    <row r="84" spans="2:22">
      <c r="B84" t="str">
        <f>MLIST!D84</f>
        <v>Grocery Refrigeration Bundle-Retro</v>
      </c>
      <c r="C84" s="256"/>
      <c r="D84" s="256"/>
      <c r="E84" s="256"/>
      <c r="F84" s="256"/>
      <c r="G84" s="256"/>
      <c r="H84" s="256"/>
      <c r="I84" s="256"/>
      <c r="J84" s="256"/>
      <c r="K84" s="256"/>
      <c r="L84" s="256"/>
      <c r="M84" s="256"/>
      <c r="N84" s="256"/>
      <c r="O84" s="256"/>
      <c r="P84" s="256"/>
      <c r="Q84" s="256"/>
      <c r="R84" s="256"/>
      <c r="S84" s="256"/>
      <c r="T84" s="256"/>
      <c r="U84" s="256"/>
      <c r="V84" s="223"/>
    </row>
    <row r="85" spans="2:22">
      <c r="B85" t="str">
        <f>MLIST!D85</f>
        <v>Packaged Refrigeration Equipment-New</v>
      </c>
      <c r="C85" s="256"/>
      <c r="D85" s="256"/>
      <c r="E85" s="256"/>
      <c r="F85" s="256"/>
      <c r="G85" s="256"/>
      <c r="H85" s="256"/>
      <c r="I85" s="256"/>
      <c r="J85" s="256"/>
      <c r="K85" s="256"/>
      <c r="L85" s="256"/>
      <c r="M85" s="256"/>
      <c r="N85" s="256"/>
      <c r="O85" s="256"/>
      <c r="P85" s="256"/>
      <c r="Q85" s="256"/>
      <c r="R85" s="256"/>
      <c r="S85" s="256"/>
      <c r="T85" s="256"/>
      <c r="U85" s="256"/>
      <c r="V85" s="223"/>
    </row>
    <row r="86" spans="2:22">
      <c r="B86" t="str">
        <f>MLIST!D86</f>
        <v>Appliances - Freezers-NR</v>
      </c>
      <c r="C86" s="256"/>
      <c r="D86" s="256"/>
      <c r="E86" s="256"/>
      <c r="F86" s="256"/>
      <c r="G86" s="256"/>
      <c r="H86" s="256"/>
      <c r="I86" s="256"/>
      <c r="J86" s="256"/>
      <c r="K86" s="256"/>
      <c r="L86" s="256"/>
      <c r="M86" s="256"/>
      <c r="N86" s="256"/>
      <c r="O86" s="256"/>
      <c r="P86" s="256"/>
      <c r="Q86" s="256"/>
      <c r="R86" s="256"/>
      <c r="S86" s="256"/>
      <c r="T86" s="256"/>
      <c r="U86" s="256"/>
      <c r="V86" s="223"/>
    </row>
    <row r="87" spans="2:22">
      <c r="B87" t="str">
        <f>MLIST!D87</f>
        <v>Appliances - Refrigerators-NR</v>
      </c>
      <c r="C87" s="256"/>
      <c r="D87" s="256"/>
      <c r="E87" s="256"/>
      <c r="F87" s="256"/>
      <c r="G87" s="256"/>
      <c r="H87" s="256"/>
      <c r="I87" s="256"/>
      <c r="J87" s="256"/>
      <c r="K87" s="256"/>
      <c r="L87" s="256"/>
      <c r="M87" s="256"/>
      <c r="N87" s="256"/>
      <c r="O87" s="256"/>
      <c r="P87" s="256"/>
      <c r="Q87" s="256"/>
      <c r="R87" s="256"/>
      <c r="S87" s="256"/>
      <c r="T87" s="256"/>
      <c r="U87" s="256"/>
      <c r="V87" s="223"/>
    </row>
    <row r="88" spans="2:22">
      <c r="B88" t="str">
        <f>MLIST!D88</f>
        <v>Water Cooler Controls-NR</v>
      </c>
      <c r="C88" s="256"/>
      <c r="D88" s="256"/>
      <c r="E88" s="256"/>
      <c r="F88" s="256"/>
      <c r="G88" s="256"/>
      <c r="H88" s="256"/>
      <c r="I88" s="256"/>
      <c r="J88" s="256"/>
      <c r="K88" s="256"/>
      <c r="L88" s="256"/>
      <c r="M88" s="256"/>
      <c r="N88" s="256"/>
      <c r="O88" s="256"/>
      <c r="P88" s="256"/>
      <c r="Q88" s="256"/>
      <c r="R88" s="256"/>
      <c r="S88" s="256"/>
      <c r="T88" s="256"/>
      <c r="U88" s="256"/>
      <c r="V88" s="223"/>
    </row>
    <row r="89" spans="2:22">
      <c r="B89" t="str">
        <f>MLIST!D89</f>
        <v>WHTanks-New</v>
      </c>
      <c r="C89" s="256"/>
      <c r="D89" s="256"/>
      <c r="E89" s="256"/>
      <c r="F89" s="256"/>
      <c r="G89" s="256"/>
      <c r="H89" s="256"/>
      <c r="I89" s="256"/>
      <c r="J89" s="256"/>
      <c r="K89" s="256"/>
      <c r="L89" s="256"/>
      <c r="M89" s="256"/>
      <c r="N89" s="256"/>
      <c r="O89" s="256"/>
      <c r="P89" s="256"/>
      <c r="Q89" s="256"/>
      <c r="R89" s="256"/>
      <c r="S89" s="256"/>
      <c r="T89" s="256"/>
      <c r="U89" s="256"/>
      <c r="V89" s="223"/>
    </row>
    <row r="90" spans="2:22">
      <c r="B90" t="str">
        <f>MLIST!D90</f>
        <v>WHTanks-NR</v>
      </c>
      <c r="C90" s="256"/>
      <c r="D90" s="256"/>
      <c r="E90" s="256"/>
      <c r="F90" s="256"/>
      <c r="G90" s="256"/>
      <c r="H90" s="256"/>
      <c r="I90" s="256"/>
      <c r="J90" s="256"/>
      <c r="K90" s="256"/>
      <c r="L90" s="256"/>
      <c r="M90" s="256"/>
      <c r="N90" s="256"/>
      <c r="O90" s="256"/>
      <c r="P90" s="256"/>
      <c r="Q90" s="256"/>
      <c r="R90" s="256"/>
      <c r="S90" s="256"/>
      <c r="T90" s="256"/>
      <c r="U90" s="256"/>
      <c r="V90" s="223"/>
    </row>
    <row r="91" spans="2:22">
      <c r="B91" t="str">
        <f>MLIST!D91</f>
        <v>Appliances - Clothes Washers-NR</v>
      </c>
      <c r="C91" s="256"/>
      <c r="D91" s="256"/>
      <c r="E91" s="256"/>
      <c r="F91" s="256"/>
      <c r="G91" s="256"/>
      <c r="H91" s="256"/>
      <c r="I91" s="256"/>
      <c r="J91" s="256"/>
      <c r="K91" s="256"/>
      <c r="L91" s="256"/>
      <c r="M91" s="256"/>
      <c r="N91" s="256"/>
      <c r="O91" s="256"/>
      <c r="P91" s="256"/>
      <c r="Q91" s="256"/>
      <c r="R91" s="256"/>
      <c r="S91" s="256"/>
      <c r="T91" s="256"/>
      <c r="U91" s="256"/>
      <c r="V91" s="223"/>
    </row>
    <row r="92" spans="2:22">
      <c r="B92" t="str">
        <f>MLIST!D92</f>
        <v>Showerheads-Retro</v>
      </c>
      <c r="C92" s="256"/>
      <c r="D92" s="256"/>
      <c r="E92" s="256"/>
      <c r="F92" s="256"/>
      <c r="G92" s="256"/>
      <c r="H92" s="256"/>
      <c r="I92" s="256"/>
      <c r="J92" s="256"/>
      <c r="K92" s="256"/>
      <c r="L92" s="256"/>
      <c r="M92" s="256"/>
      <c r="N92" s="256"/>
      <c r="O92" s="256"/>
      <c r="P92" s="256"/>
      <c r="Q92" s="256"/>
      <c r="R92" s="256"/>
      <c r="S92" s="256"/>
      <c r="T92" s="256"/>
      <c r="U92" s="256"/>
      <c r="V92" s="223"/>
    </row>
    <row r="93" spans="2:22">
      <c r="B93" t="str">
        <f>MLIST!D93</f>
        <v>Water Heating - GFHX-New</v>
      </c>
      <c r="C93" s="256"/>
      <c r="D93" s="256"/>
      <c r="E93" s="256"/>
      <c r="F93" s="256"/>
      <c r="G93" s="256"/>
      <c r="H93" s="256"/>
      <c r="I93" s="256"/>
      <c r="J93" s="256"/>
      <c r="K93" s="256"/>
      <c r="L93" s="256"/>
      <c r="M93" s="256"/>
      <c r="N93" s="256"/>
      <c r="O93" s="256"/>
      <c r="P93" s="256"/>
      <c r="Q93" s="256"/>
      <c r="R93" s="256"/>
      <c r="S93" s="256"/>
      <c r="T93" s="256"/>
      <c r="U93" s="256"/>
      <c r="V93" s="223"/>
    </row>
    <row r="94" spans="2:22">
      <c r="B94" t="str">
        <f>MLIST!D94</f>
        <v>Demand Control Circulating system DHW-Retro</v>
      </c>
      <c r="C94" s="256"/>
      <c r="D94" s="256"/>
      <c r="E94" s="256"/>
      <c r="F94" s="256"/>
      <c r="G94" s="256"/>
      <c r="H94" s="256"/>
      <c r="I94" s="256"/>
      <c r="J94" s="256"/>
      <c r="K94" s="256"/>
      <c r="L94" s="256"/>
      <c r="M94" s="256"/>
      <c r="N94" s="256"/>
      <c r="O94" s="256"/>
      <c r="P94" s="256"/>
      <c r="Q94" s="256"/>
      <c r="R94" s="256"/>
      <c r="S94" s="256"/>
      <c r="T94" s="256"/>
      <c r="U94" s="256"/>
      <c r="V94" s="223"/>
    </row>
    <row r="95" spans="2:22">
      <c r="B95" t="str">
        <f>MLIST!D95</f>
        <v>Central HPWH MF-Retro</v>
      </c>
      <c r="C95" s="256"/>
      <c r="D95" s="256"/>
      <c r="E95" s="256"/>
      <c r="F95" s="256"/>
      <c r="G95" s="256"/>
      <c r="H95" s="256"/>
      <c r="I95" s="256"/>
      <c r="J95" s="256"/>
      <c r="K95" s="256"/>
      <c r="L95" s="256"/>
      <c r="M95" s="256"/>
      <c r="N95" s="256"/>
      <c r="O95" s="256"/>
      <c r="P95" s="256"/>
      <c r="Q95" s="256"/>
      <c r="R95" s="256"/>
      <c r="S95" s="256"/>
      <c r="T95" s="256"/>
      <c r="U95" s="256"/>
      <c r="V95" s="223"/>
    </row>
    <row r="96" spans="2:22">
      <c r="B96" t="str">
        <f>MLIST!D96</f>
        <v>Ultra Low Energy Building-New</v>
      </c>
      <c r="C96" s="256"/>
      <c r="D96" s="256"/>
      <c r="E96" s="256"/>
      <c r="F96" s="256"/>
      <c r="G96" s="256"/>
      <c r="H96" s="256"/>
      <c r="I96" s="256"/>
      <c r="J96" s="256"/>
      <c r="K96" s="256"/>
      <c r="L96" s="256"/>
      <c r="M96" s="256"/>
      <c r="N96" s="256"/>
      <c r="O96" s="256"/>
      <c r="P96" s="256"/>
      <c r="Q96" s="256"/>
      <c r="R96" s="256"/>
      <c r="S96" s="256"/>
      <c r="T96" s="256"/>
      <c r="U96" s="256"/>
      <c r="V96" s="223"/>
    </row>
    <row r="98" spans="3:21">
      <c r="C98" s="7"/>
      <c r="D98" s="7"/>
      <c r="E98" s="7"/>
      <c r="F98" s="7"/>
      <c r="G98" s="7"/>
      <c r="H98" s="7"/>
      <c r="I98" s="7"/>
      <c r="J98" s="7"/>
      <c r="K98" s="7"/>
      <c r="L98" s="7"/>
      <c r="M98" s="7"/>
      <c r="N98" s="7"/>
      <c r="O98" s="7"/>
      <c r="P98" s="7"/>
      <c r="Q98" s="7"/>
      <c r="R98" s="7"/>
      <c r="S98" s="7"/>
      <c r="T98" s="7"/>
    </row>
    <row r="99" spans="3:21">
      <c r="C99" s="7"/>
      <c r="D99" s="7"/>
      <c r="E99" s="7"/>
      <c r="F99" s="7"/>
      <c r="G99" s="7"/>
      <c r="H99" s="7"/>
      <c r="I99" s="7"/>
      <c r="J99" s="7"/>
      <c r="K99" s="7"/>
      <c r="L99" s="7"/>
      <c r="M99" s="7"/>
      <c r="N99" s="7"/>
      <c r="O99" s="7"/>
      <c r="P99" s="7"/>
      <c r="Q99" s="7"/>
      <c r="R99" s="7"/>
      <c r="S99" s="7"/>
      <c r="T99" s="7"/>
    </row>
    <row r="100" spans="3:21">
      <c r="C100" s="7"/>
      <c r="D100" s="7"/>
      <c r="E100" s="7"/>
      <c r="F100" s="7"/>
      <c r="G100" s="7"/>
      <c r="H100" s="7"/>
      <c r="I100" s="25"/>
      <c r="J100" s="25"/>
      <c r="K100" s="25"/>
      <c r="L100" s="25"/>
      <c r="M100" s="25"/>
      <c r="N100" s="25"/>
      <c r="O100" s="25"/>
      <c r="P100" s="25"/>
      <c r="Q100" s="25"/>
      <c r="R100" s="25"/>
      <c r="S100" s="25"/>
      <c r="T100" s="25"/>
      <c r="U100" s="6"/>
    </row>
    <row r="101" spans="3:21">
      <c r="C101" s="7"/>
      <c r="D101" s="7"/>
      <c r="E101" s="7"/>
      <c r="F101" s="7"/>
      <c r="G101" s="7"/>
      <c r="H101" s="7"/>
      <c r="I101" s="7"/>
      <c r="J101" s="7"/>
      <c r="K101" s="7"/>
      <c r="L101" s="7"/>
      <c r="M101" s="7"/>
      <c r="N101" s="7"/>
      <c r="O101" s="7"/>
      <c r="P101" s="7"/>
      <c r="Q101" s="7"/>
      <c r="R101" s="7"/>
      <c r="S101" s="7"/>
      <c r="T101" s="7"/>
      <c r="U101" s="6"/>
    </row>
    <row r="102" spans="3:21">
      <c r="C102" s="7"/>
      <c r="D102" s="7"/>
      <c r="E102" s="7"/>
      <c r="F102" s="7"/>
      <c r="G102" s="7"/>
      <c r="H102" s="7"/>
      <c r="I102" s="7"/>
      <c r="J102" s="7"/>
      <c r="K102" s="7"/>
      <c r="L102" s="7"/>
      <c r="M102" s="7"/>
      <c r="N102" s="7"/>
      <c r="O102" s="7"/>
      <c r="P102" s="7"/>
      <c r="Q102" s="7"/>
      <c r="R102" s="7"/>
      <c r="S102" s="7"/>
      <c r="T102" s="7"/>
    </row>
    <row r="103" spans="3:21">
      <c r="C103" s="7"/>
      <c r="D103" s="7"/>
      <c r="E103" s="7"/>
      <c r="F103" s="7"/>
      <c r="G103" s="7"/>
      <c r="H103" s="7"/>
      <c r="I103" s="7"/>
      <c r="J103" s="7"/>
      <c r="K103" s="7"/>
      <c r="L103" s="7"/>
      <c r="M103" s="7"/>
      <c r="N103" s="7"/>
      <c r="O103" s="7"/>
      <c r="P103" s="7"/>
      <c r="Q103" s="7"/>
      <c r="R103" s="7"/>
      <c r="S103" s="7"/>
      <c r="T103" s="7"/>
    </row>
  </sheetData>
  <autoFilter ref="A11:T50"/>
  <mergeCells count="5">
    <mergeCell ref="Q10:R10"/>
    <mergeCell ref="C10:E10"/>
    <mergeCell ref="F10:I10"/>
    <mergeCell ref="J10:K10"/>
    <mergeCell ref="M10:N10"/>
  </mergeCells>
  <phoneticPr fontId="0" type="noConversion"/>
  <pageMargins left="0.75" right="0.75" top="1" bottom="1" header="0.5" footer="0.5"/>
  <headerFooter alignWithMargins="0"/>
</worksheet>
</file>

<file path=xl/worksheets/sheet8.xml><?xml version="1.0" encoding="utf-8"?>
<worksheet xmlns="http://schemas.openxmlformats.org/spreadsheetml/2006/main" xmlns:r="http://schemas.openxmlformats.org/officeDocument/2006/relationships">
  <sheetPr codeName="Sheet17" enableFormatConditionsCalculation="0">
    <tabColor indexed="43"/>
  </sheetPr>
  <dimension ref="A1:AC119"/>
  <sheetViews>
    <sheetView topLeftCell="B64" workbookViewId="0">
      <selection activeCell="C97" sqref="C97"/>
    </sheetView>
  </sheetViews>
  <sheetFormatPr defaultRowHeight="12.75"/>
  <cols>
    <col min="1" max="1" width="19.85546875" customWidth="1"/>
    <col min="2" max="2" width="49.85546875" customWidth="1"/>
    <col min="3" max="3" width="24.140625" customWidth="1"/>
    <col min="4" max="19" width="9.7109375" customWidth="1"/>
    <col min="20" max="20" width="7.85546875" customWidth="1"/>
    <col min="21" max="25" width="9.7109375" customWidth="1"/>
    <col min="27" max="27" width="36" customWidth="1"/>
  </cols>
  <sheetData>
    <row r="1" spans="1:29">
      <c r="A1" s="222" t="s">
        <v>96</v>
      </c>
      <c r="B1" s="236" t="s">
        <v>97</v>
      </c>
      <c r="C1" s="393" t="s">
        <v>830</v>
      </c>
      <c r="D1" s="393">
        <v>0.10937459468255628</v>
      </c>
      <c r="E1" s="393">
        <v>0.10937459468255628</v>
      </c>
      <c r="F1" s="393">
        <v>0.10937459468255628</v>
      </c>
      <c r="G1" s="393">
        <v>0.10937459468255628</v>
      </c>
      <c r="H1" s="393">
        <v>0.10937459468255628</v>
      </c>
      <c r="I1" s="393">
        <v>9.8437135214300656E-2</v>
      </c>
      <c r="J1" s="393">
        <v>7.874970817144053E-2</v>
      </c>
      <c r="K1" s="393">
        <v>6.2999766537152418E-2</v>
      </c>
      <c r="L1" s="393">
        <v>5.0399813229721938E-2</v>
      </c>
      <c r="M1" s="393">
        <v>4.0319850583777551E-2</v>
      </c>
      <c r="N1" s="393">
        <v>3.225588046702204E-2</v>
      </c>
      <c r="O1" s="393">
        <v>2.5804704373617631E-2</v>
      </c>
      <c r="P1" s="393">
        <v>2.0643763498894106E-2</v>
      </c>
      <c r="Q1" s="393">
        <v>1.6515010799115284E-2</v>
      </c>
      <c r="R1" s="393">
        <v>1.3212008639292228E-2</v>
      </c>
      <c r="S1" s="393">
        <v>1.0569606911433781E-2</v>
      </c>
      <c r="T1" s="393">
        <v>7.2092823794611682E-5</v>
      </c>
      <c r="U1" s="393">
        <v>2.5747437069512102E-5</v>
      </c>
      <c r="V1" s="393">
        <v>8.7775353646568632E-6</v>
      </c>
      <c r="W1" s="393">
        <v>2.8622397928446119E-6</v>
      </c>
      <c r="X1" s="221"/>
      <c r="Y1" s="34">
        <f>SUM(D1:W1)</f>
        <v>0.99688970187457115</v>
      </c>
      <c r="Z1" s="34">
        <f>Y1/$Y$1</f>
        <v>1</v>
      </c>
      <c r="AA1" s="34">
        <f>Y1/2000%</f>
        <v>4.9844485093728561E-2</v>
      </c>
    </row>
    <row r="2" spans="1:29">
      <c r="A2" s="281">
        <f>FILES!H4</f>
        <v>2035</v>
      </c>
      <c r="C2" s="393" t="s">
        <v>866</v>
      </c>
      <c r="D2" s="394">
        <v>4.2999999999999997E-2</v>
      </c>
      <c r="E2" s="393">
        <v>5.279714228027832E-2</v>
      </c>
      <c r="F2" s="393">
        <v>6.4608251467478173E-2</v>
      </c>
      <c r="G2" s="393">
        <v>7.4999999999999997E-2</v>
      </c>
      <c r="H2" s="393">
        <v>8.5546997470333563E-2</v>
      </c>
      <c r="I2" s="393">
        <v>0.10001472303820647</v>
      </c>
      <c r="J2" s="393">
        <v>0.10971770435235073</v>
      </c>
      <c r="K2" s="393">
        <v>0.11208438511970376</v>
      </c>
      <c r="L2" s="393">
        <v>0.10562608162722853</v>
      </c>
      <c r="M2" s="393">
        <v>9.0794563997872335E-2</v>
      </c>
      <c r="N2" s="393">
        <v>7.0260666991849297E-2</v>
      </c>
      <c r="O2" s="393">
        <v>4.8218360404944538E-2</v>
      </c>
      <c r="P2" s="393">
        <v>2.8854234614640095E-2</v>
      </c>
      <c r="Q2" s="393">
        <v>1.4773964924806759E-2</v>
      </c>
      <c r="R2" s="393">
        <v>6.3385343681182649E-3</v>
      </c>
      <c r="S2" s="393">
        <v>2.2268577196306039E-3</v>
      </c>
      <c r="T2" s="393">
        <v>6.2471001963848583E-4</v>
      </c>
      <c r="U2" s="393">
        <v>1.3615841889635938E-4</v>
      </c>
      <c r="V2" s="393">
        <v>2.2380636622298944E-5</v>
      </c>
      <c r="W2" s="393">
        <v>2.68643837586513E-6</v>
      </c>
      <c r="X2" s="221"/>
      <c r="Y2" s="34">
        <f>SUM(D2:W2)</f>
        <v>1.0106484038909742</v>
      </c>
      <c r="Z2" s="34">
        <f>Y2/$Y$1</f>
        <v>1.0138016291978249</v>
      </c>
      <c r="AA2" s="34">
        <f>Y2/2000%</f>
        <v>5.0532420194548712E-2</v>
      </c>
    </row>
    <row r="3" spans="1:29">
      <c r="C3" s="393" t="s">
        <v>867</v>
      </c>
      <c r="D3" s="393">
        <v>2.5643970768378654E-3</v>
      </c>
      <c r="E3" s="393">
        <v>5.1260615529385989E-3</v>
      </c>
      <c r="F3" s="393">
        <v>9.1015544176433795E-3</v>
      </c>
      <c r="G3" s="393">
        <v>1.4804925730045659E-2</v>
      </c>
      <c r="H3" s="393">
        <v>2.2471809420486211E-2</v>
      </c>
      <c r="I3" s="393">
        <v>3.2184432813882391E-2</v>
      </c>
      <c r="J3" s="393">
        <v>4.3779667172004086E-2</v>
      </c>
      <c r="K3" s="393">
        <v>5.675426075474499E-2</v>
      </c>
      <c r="L3" s="393">
        <v>7.0195239068707532E-2</v>
      </c>
      <c r="M3" s="393">
        <v>8.2776861842756788E-2</v>
      </c>
      <c r="N3" s="393">
        <v>9.2870259507494834E-2</v>
      </c>
      <c r="O3" s="393">
        <v>9.8796470678915727E-2</v>
      </c>
      <c r="P3" s="393">
        <v>9.9208932889988999E-2</v>
      </c>
      <c r="Q3" s="393">
        <v>9.3521150494244254E-2</v>
      </c>
      <c r="R3" s="393">
        <v>8.2226007896862296E-2</v>
      </c>
      <c r="S3" s="393">
        <v>6.6933566027365665E-2</v>
      </c>
      <c r="T3" s="393">
        <v>5.0029565143448806E-2</v>
      </c>
      <c r="U3" s="393">
        <v>3.402486521893211E-2</v>
      </c>
      <c r="V3" s="393">
        <v>2.0846059340774659E-2</v>
      </c>
      <c r="W3" s="393">
        <v>0.01</v>
      </c>
      <c r="X3" s="221"/>
      <c r="Y3" s="34">
        <f>SUM(D3:W3)</f>
        <v>0.98821608704807484</v>
      </c>
      <c r="Z3" s="34">
        <f>Y3/$Y$1</f>
        <v>0.99129932347562</v>
      </c>
      <c r="AA3" s="34">
        <f>Y3/2000%</f>
        <v>4.9410804352403741E-2</v>
      </c>
    </row>
    <row r="4" spans="1:29">
      <c r="A4" s="205" t="s">
        <v>842</v>
      </c>
      <c r="B4" s="220"/>
      <c r="C4" s="393" t="s">
        <v>829</v>
      </c>
      <c r="D4" s="393">
        <v>0.45</v>
      </c>
      <c r="E4" s="393">
        <v>0.21</v>
      </c>
      <c r="F4" s="393">
        <v>0.14000000000000001</v>
      </c>
      <c r="G4" s="393">
        <v>0.09</v>
      </c>
      <c r="H4" s="393">
        <v>5.9540362609726505E-2</v>
      </c>
      <c r="I4" s="393">
        <v>2.9770181304863419E-2</v>
      </c>
      <c r="J4" s="393">
        <v>1.3231191691050248E-2</v>
      </c>
      <c r="K4" s="393">
        <v>5.2924766764202991E-3</v>
      </c>
      <c r="L4" s="393">
        <v>1.9245369732436846E-3</v>
      </c>
      <c r="M4" s="393">
        <v>6.415123244144505E-4</v>
      </c>
      <c r="N4" s="393">
        <v>1.9738840751215569E-4</v>
      </c>
      <c r="O4" s="393">
        <v>5.6396687860615913E-5</v>
      </c>
      <c r="P4" s="393">
        <v>1.5039116763038152E-5</v>
      </c>
      <c r="Q4" s="393">
        <v>3.7597791905374933E-6</v>
      </c>
      <c r="R4" s="393">
        <v>8.8465392733549919E-7</v>
      </c>
      <c r="S4" s="393">
        <v>1.9658976146974538E-7</v>
      </c>
      <c r="T4" s="393">
        <v>4.13873183502389E-8</v>
      </c>
      <c r="U4" s="393">
        <v>8.2774636034343985E-9</v>
      </c>
      <c r="V4" s="393">
        <v>1.5766598027155965E-9</v>
      </c>
      <c r="W4" s="393">
        <v>2.8666535811794347E-10</v>
      </c>
      <c r="X4" s="221"/>
      <c r="Y4" s="34">
        <f>SUM(D4:W4)</f>
        <v>1.0006739783428409</v>
      </c>
      <c r="Z4" s="34">
        <f>Y4/$Y$1</f>
        <v>1.0037960834194131</v>
      </c>
      <c r="AA4" s="34">
        <f>Y4/2000%</f>
        <v>5.0033698917142044E-2</v>
      </c>
    </row>
    <row r="5" spans="1:29">
      <c r="A5" s="205" t="s">
        <v>841</v>
      </c>
      <c r="B5" s="220"/>
      <c r="C5" s="393" t="s">
        <v>831</v>
      </c>
      <c r="D5" s="393">
        <v>0.22119921692859512</v>
      </c>
      <c r="E5" s="393">
        <v>0.15504311102289431</v>
      </c>
      <c r="F5" s="393">
        <v>0.10733128557729499</v>
      </c>
      <c r="G5" s="393">
        <v>8.3589689255657879E-2</v>
      </c>
      <c r="H5" s="393">
        <v>7.3237179880126971E-2</v>
      </c>
      <c r="I5" s="393">
        <v>6.3374636711760357E-2</v>
      </c>
      <c r="J5" s="393">
        <v>5.4291838367783084E-2</v>
      </c>
      <c r="K5" s="393">
        <v>4.612639225659896E-2</v>
      </c>
      <c r="L5" s="393">
        <v>3.8916876277172864E-2</v>
      </c>
      <c r="M5" s="393">
        <v>3.2639916313151704E-2</v>
      </c>
      <c r="N5" s="393">
        <v>2.7235706125786907E-2</v>
      </c>
      <c r="O5" s="393">
        <v>2.1211189258265428E-2</v>
      </c>
      <c r="P5" s="393">
        <v>1.6519290804212883E-2</v>
      </c>
      <c r="Q5" s="393">
        <v>1.2865236614105324E-2</v>
      </c>
      <c r="R5" s="393">
        <v>1.0019456349464106E-2</v>
      </c>
      <c r="S5" s="393">
        <v>7.8031604509122832E-3</v>
      </c>
      <c r="T5" s="393">
        <v>6.077107469602494E-3</v>
      </c>
      <c r="U5" s="393">
        <v>4.7328560561354371E-3</v>
      </c>
      <c r="V5" s="393">
        <v>3.6859520026825132E-3</v>
      </c>
      <c r="W5" s="393">
        <v>2.8706223060526725E-3</v>
      </c>
      <c r="X5" s="221"/>
      <c r="Y5" s="34"/>
      <c r="Z5" s="34"/>
      <c r="AA5" s="34"/>
    </row>
    <row r="6" spans="1:29">
      <c r="A6" s="205"/>
      <c r="B6" s="220"/>
      <c r="C6" s="393" t="s">
        <v>832</v>
      </c>
      <c r="D6" s="393">
        <v>0.05</v>
      </c>
      <c r="E6" s="393">
        <v>0.05</v>
      </c>
      <c r="F6" s="393">
        <v>0.05</v>
      </c>
      <c r="G6" s="393">
        <v>0.05</v>
      </c>
      <c r="H6" s="393">
        <v>0.05</v>
      </c>
      <c r="I6" s="393">
        <v>0.05</v>
      </c>
      <c r="J6" s="393">
        <v>0.05</v>
      </c>
      <c r="K6" s="393">
        <v>0.05</v>
      </c>
      <c r="L6" s="393">
        <v>0.05</v>
      </c>
      <c r="M6" s="393">
        <v>0.05</v>
      </c>
      <c r="N6" s="393">
        <v>0.05</v>
      </c>
      <c r="O6" s="393">
        <v>0.05</v>
      </c>
      <c r="P6" s="393">
        <v>0.05</v>
      </c>
      <c r="Q6" s="393">
        <v>0.05</v>
      </c>
      <c r="R6" s="393">
        <v>0.05</v>
      </c>
      <c r="S6" s="393">
        <v>0.05</v>
      </c>
      <c r="T6" s="393">
        <v>0.05</v>
      </c>
      <c r="U6" s="393">
        <v>0.05</v>
      </c>
      <c r="V6" s="393">
        <v>0.05</v>
      </c>
      <c r="W6" s="393">
        <v>0.05</v>
      </c>
      <c r="X6" s="221"/>
      <c r="Y6" s="34"/>
      <c r="Z6" s="34"/>
      <c r="AA6" s="34"/>
    </row>
    <row r="7" spans="1:29">
      <c r="A7" s="205"/>
      <c r="B7" s="220"/>
      <c r="C7" s="393" t="s">
        <v>833</v>
      </c>
      <c r="D7" s="393">
        <v>0.01</v>
      </c>
      <c r="E7" s="393">
        <v>1.9799999999999998E-2</v>
      </c>
      <c r="F7" s="393">
        <v>2.9106E-2</v>
      </c>
      <c r="G7" s="393">
        <v>3.7643759999999998E-2</v>
      </c>
      <c r="H7" s="393">
        <v>4.5172511999999984E-2</v>
      </c>
      <c r="I7" s="393">
        <v>4.8635737920000005E-2</v>
      </c>
      <c r="J7" s="393">
        <v>4.587971277120001E-2</v>
      </c>
      <c r="K7" s="393">
        <v>4.3279862380832007E-2</v>
      </c>
      <c r="L7" s="393">
        <v>4.0827336845918161E-2</v>
      </c>
      <c r="M7" s="393">
        <v>3.8513787757982809E-2</v>
      </c>
      <c r="N7" s="393">
        <v>3.6331339785030448E-2</v>
      </c>
      <c r="O7" s="393">
        <v>3.4272563863878724E-2</v>
      </c>
      <c r="P7" s="393">
        <v>3.2330451911592284E-2</v>
      </c>
      <c r="Q7" s="393">
        <v>3.0498392969935395E-2</v>
      </c>
      <c r="R7" s="393">
        <v>2.8770150701639075E-2</v>
      </c>
      <c r="S7" s="393">
        <v>2.7139842161879479E-2</v>
      </c>
      <c r="T7" s="393">
        <v>2.5601917772706373E-2</v>
      </c>
      <c r="U7" s="393">
        <v>2.4151142432252914E-2</v>
      </c>
      <c r="V7" s="393">
        <v>2.2782577694425266E-2</v>
      </c>
      <c r="W7" s="393">
        <v>2.1491564958407872E-2</v>
      </c>
      <c r="X7" s="221"/>
      <c r="Y7" s="34"/>
      <c r="Z7" s="34"/>
      <c r="AA7" s="34"/>
    </row>
    <row r="8" spans="1:29">
      <c r="A8" s="205"/>
      <c r="B8" s="220"/>
      <c r="C8" s="393" t="s">
        <v>865</v>
      </c>
      <c r="D8" s="393">
        <v>5.5320496977002724E-3</v>
      </c>
      <c r="E8" s="393">
        <v>8.6958686465615706E-3</v>
      </c>
      <c r="F8" s="393">
        <v>1.7391737293123145E-2</v>
      </c>
      <c r="G8" s="393">
        <v>3.0435540262965514E-2</v>
      </c>
      <c r="H8" s="393">
        <v>4.7344173742390784E-2</v>
      </c>
      <c r="I8" s="393">
        <v>6.6281843239347063E-2</v>
      </c>
      <c r="J8" s="393">
        <v>8.4358709577350838E-2</v>
      </c>
      <c r="K8" s="393">
        <v>9.8418494506909315E-2</v>
      </c>
      <c r="L8" s="393">
        <v>0.10598914793051767</v>
      </c>
      <c r="M8" s="393">
        <v>0.10598914793051767</v>
      </c>
      <c r="N8" s="393">
        <v>9.8923204735149928E-2</v>
      </c>
      <c r="O8" s="393">
        <v>8.655780414325609E-2</v>
      </c>
      <c r="P8" s="393">
        <v>7.1282897529740263E-2</v>
      </c>
      <c r="Q8" s="393">
        <v>5.5442253634242489E-2</v>
      </c>
      <c r="R8" s="393">
        <v>4.0852186888389319E-2</v>
      </c>
      <c r="S8" s="393">
        <v>2.8596530821872412E-2</v>
      </c>
      <c r="T8" s="393">
        <v>1.9064353881248275E-2</v>
      </c>
      <c r="U8" s="393">
        <v>1.2131861560794377E-2</v>
      </c>
      <c r="V8" s="393">
        <v>7.3846113848314854E-3</v>
      </c>
      <c r="W8" s="393">
        <v>4.3076899744848296E-3</v>
      </c>
      <c r="X8" s="221"/>
      <c r="Y8" s="34"/>
      <c r="Z8" s="34"/>
      <c r="AA8" s="34"/>
    </row>
    <row r="9" spans="1:29">
      <c r="A9" s="401"/>
      <c r="C9" s="395" t="s">
        <v>825</v>
      </c>
      <c r="D9" s="396">
        <v>0.10937459468255628</v>
      </c>
      <c r="E9" s="396">
        <v>0.21874918936511256</v>
      </c>
      <c r="F9" s="396">
        <v>0.32812378404766884</v>
      </c>
      <c r="G9" s="396">
        <v>0.43749837873022512</v>
      </c>
      <c r="H9" s="396">
        <v>0.5468729734127814</v>
      </c>
      <c r="I9" s="396">
        <v>0.64531010862708205</v>
      </c>
      <c r="J9" s="396">
        <v>0.7240598167985226</v>
      </c>
      <c r="K9" s="396">
        <v>0.78705958333567505</v>
      </c>
      <c r="L9" s="396">
        <v>0.83745939656539703</v>
      </c>
      <c r="M9" s="396">
        <v>0.87777924714917455</v>
      </c>
      <c r="N9" s="396">
        <v>0.91003512761619654</v>
      </c>
      <c r="O9" s="396">
        <v>0.93583983198981413</v>
      </c>
      <c r="P9" s="396">
        <v>0.9564835954887082</v>
      </c>
      <c r="Q9" s="396">
        <v>0.97299860628782353</v>
      </c>
      <c r="R9" s="396">
        <v>0.9862106149271157</v>
      </c>
      <c r="S9" s="396">
        <v>0.99678022183854953</v>
      </c>
      <c r="T9" s="396">
        <v>0.99685231466234414</v>
      </c>
      <c r="U9" s="396">
        <v>0.99687806209941365</v>
      </c>
      <c r="V9" s="396">
        <v>0.99688683963477831</v>
      </c>
      <c r="W9" s="396">
        <v>0.99688970187457115</v>
      </c>
      <c r="X9" s="25"/>
      <c r="Y9" s="34"/>
    </row>
    <row r="10" spans="1:29">
      <c r="C10" s="395" t="s">
        <v>869</v>
      </c>
      <c r="D10" s="396">
        <v>4.2999999999999997E-2</v>
      </c>
      <c r="E10" s="396">
        <v>9.5797142280278316E-2</v>
      </c>
      <c r="F10" s="396">
        <v>0.16040539374775648</v>
      </c>
      <c r="G10" s="396">
        <v>0.23540539374775649</v>
      </c>
      <c r="H10" s="396">
        <v>0.32095239121809005</v>
      </c>
      <c r="I10" s="396">
        <v>0.42096711425629652</v>
      </c>
      <c r="J10" s="396">
        <v>0.53068481860864725</v>
      </c>
      <c r="K10" s="396">
        <v>0.642769203728351</v>
      </c>
      <c r="L10" s="396">
        <v>0.74839528535557953</v>
      </c>
      <c r="M10" s="396">
        <v>0.83918984935345187</v>
      </c>
      <c r="N10" s="396">
        <v>0.90945051634530116</v>
      </c>
      <c r="O10" s="396">
        <v>0.9576688767502457</v>
      </c>
      <c r="P10" s="396">
        <v>0.9865231113648858</v>
      </c>
      <c r="Q10" s="396">
        <v>1.0012970762896924</v>
      </c>
      <c r="R10" s="396">
        <v>1.0076356106578106</v>
      </c>
      <c r="S10" s="396">
        <v>1.0098624683774413</v>
      </c>
      <c r="T10" s="396">
        <v>1.0104871783970797</v>
      </c>
      <c r="U10" s="396">
        <v>1.010623336815976</v>
      </c>
      <c r="V10" s="396">
        <v>1.0106457174525985</v>
      </c>
      <c r="W10" s="396">
        <v>1.0106484038909742</v>
      </c>
      <c r="X10" s="25"/>
      <c r="Y10" s="34"/>
      <c r="AC10" t="s">
        <v>413</v>
      </c>
    </row>
    <row r="11" spans="1:29">
      <c r="C11" s="395" t="s">
        <v>870</v>
      </c>
      <c r="D11" s="396">
        <v>2.5643970768378654E-3</v>
      </c>
      <c r="E11" s="396">
        <v>7.6904586297764643E-3</v>
      </c>
      <c r="F11" s="396">
        <v>1.6792013047419844E-2</v>
      </c>
      <c r="G11" s="396">
        <v>3.15969387774655E-2</v>
      </c>
      <c r="H11" s="396">
        <v>5.406874819795171E-2</v>
      </c>
      <c r="I11" s="396">
        <v>8.6253181011834101E-2</v>
      </c>
      <c r="J11" s="396">
        <v>0.1300328481838382</v>
      </c>
      <c r="K11" s="396">
        <v>0.18678710893858319</v>
      </c>
      <c r="L11" s="396">
        <v>0.2569823480072907</v>
      </c>
      <c r="M11" s="396">
        <v>0.33975920985004748</v>
      </c>
      <c r="N11" s="396">
        <v>0.43262946935754232</v>
      </c>
      <c r="O11" s="396">
        <v>0.53142594003645804</v>
      </c>
      <c r="P11" s="396">
        <v>0.63063487292644704</v>
      </c>
      <c r="Q11" s="396">
        <v>0.7241560234206913</v>
      </c>
      <c r="R11" s="396">
        <v>0.80638203131755359</v>
      </c>
      <c r="S11" s="396">
        <v>0.87331559734491926</v>
      </c>
      <c r="T11" s="396">
        <v>0.92334516248836807</v>
      </c>
      <c r="U11" s="396">
        <v>0.95737002770730018</v>
      </c>
      <c r="V11" s="396">
        <v>0.97821608704807483</v>
      </c>
      <c r="W11" s="396">
        <v>0.98821608704807484</v>
      </c>
      <c r="X11" s="234"/>
      <c r="Y11" s="34"/>
    </row>
    <row r="12" spans="1:29">
      <c r="C12" s="395" t="s">
        <v>824</v>
      </c>
      <c r="D12" s="396">
        <v>0.45</v>
      </c>
      <c r="E12" s="396">
        <v>0.66</v>
      </c>
      <c r="F12" s="396">
        <v>0.8</v>
      </c>
      <c r="G12" s="396">
        <v>0.89</v>
      </c>
      <c r="H12" s="396">
        <v>0.94954036260972652</v>
      </c>
      <c r="I12" s="396">
        <v>0.97931054391458994</v>
      </c>
      <c r="J12" s="396">
        <v>0.99254173560564019</v>
      </c>
      <c r="K12" s="396">
        <v>0.99783421228206048</v>
      </c>
      <c r="L12" s="396">
        <v>0.99975874925530417</v>
      </c>
      <c r="M12" s="396">
        <v>1.0004002615797187</v>
      </c>
      <c r="N12" s="396">
        <v>1.0005976499872309</v>
      </c>
      <c r="O12" s="396">
        <v>1.0006540466750915</v>
      </c>
      <c r="P12" s="396">
        <v>1.0006690857918545</v>
      </c>
      <c r="Q12" s="396">
        <v>1.000672845571045</v>
      </c>
      <c r="R12" s="396">
        <v>1.0006737302249724</v>
      </c>
      <c r="S12" s="396">
        <v>1.0006739268147338</v>
      </c>
      <c r="T12" s="396">
        <v>1.0006739682020522</v>
      </c>
      <c r="U12" s="396">
        <v>1.0006739764795158</v>
      </c>
      <c r="V12" s="396">
        <v>1.0006739780561755</v>
      </c>
      <c r="W12" s="396">
        <v>1.0006739783428409</v>
      </c>
      <c r="X12" s="234"/>
      <c r="Y12" s="34"/>
    </row>
    <row r="13" spans="1:29">
      <c r="C13" s="395" t="s">
        <v>826</v>
      </c>
      <c r="D13" s="406">
        <v>0.22119921692859512</v>
      </c>
      <c r="E13" s="406">
        <v>0.37624232795148943</v>
      </c>
      <c r="F13" s="406">
        <v>0.48357361352878442</v>
      </c>
      <c r="G13" s="406">
        <v>0.56716330278444227</v>
      </c>
      <c r="H13" s="406">
        <v>0.64040048266456928</v>
      </c>
      <c r="I13" s="396">
        <v>0.70377511937632964</v>
      </c>
      <c r="J13" s="396">
        <v>0.7580669577441127</v>
      </c>
      <c r="K13" s="396">
        <v>0.80419335000071168</v>
      </c>
      <c r="L13" s="396">
        <v>0.84311022627788457</v>
      </c>
      <c r="M13" s="396">
        <v>0.87575014259103623</v>
      </c>
      <c r="N13" s="396">
        <v>0.90298584871682319</v>
      </c>
      <c r="O13" s="396">
        <v>0.92419703797508856</v>
      </c>
      <c r="P13" s="396">
        <v>0.94071632877930145</v>
      </c>
      <c r="Q13" s="396">
        <v>0.95358156539340677</v>
      </c>
      <c r="R13" s="396">
        <v>0.96360102174287088</v>
      </c>
      <c r="S13" s="396">
        <v>0.97140418219378311</v>
      </c>
      <c r="T13" s="396">
        <v>0.97748128966338554</v>
      </c>
      <c r="U13" s="396">
        <v>0.98221414571952104</v>
      </c>
      <c r="V13" s="396">
        <v>0.98590009772220355</v>
      </c>
      <c r="W13" s="396">
        <v>0.98877072002825628</v>
      </c>
      <c r="X13" s="234"/>
      <c r="Y13" s="34"/>
    </row>
    <row r="14" spans="1:29">
      <c r="C14" s="395" t="s">
        <v>827</v>
      </c>
      <c r="D14" s="397">
        <v>0.05</v>
      </c>
      <c r="E14" s="397">
        <v>0.1</v>
      </c>
      <c r="F14" s="397">
        <v>0.15000000000000002</v>
      </c>
      <c r="G14" s="397">
        <v>0.2</v>
      </c>
      <c r="H14" s="397">
        <v>0.25</v>
      </c>
      <c r="I14" s="396">
        <v>0.3</v>
      </c>
      <c r="J14" s="396">
        <v>0.35</v>
      </c>
      <c r="K14" s="396">
        <v>0.39999999999999997</v>
      </c>
      <c r="L14" s="396">
        <v>0.44999999999999996</v>
      </c>
      <c r="M14" s="396">
        <v>0.49999999999999994</v>
      </c>
      <c r="N14" s="396">
        <v>0.54999999999999993</v>
      </c>
      <c r="O14" s="396">
        <v>0.6</v>
      </c>
      <c r="P14" s="396">
        <v>0.65</v>
      </c>
      <c r="Q14" s="396">
        <v>0.70000000000000007</v>
      </c>
      <c r="R14" s="396">
        <v>0.75000000000000011</v>
      </c>
      <c r="S14" s="396">
        <v>0.80000000000000016</v>
      </c>
      <c r="T14" s="396">
        <v>0.8500000000000002</v>
      </c>
      <c r="U14" s="396">
        <v>0.90000000000000024</v>
      </c>
      <c r="V14" s="396">
        <v>0.95000000000000029</v>
      </c>
      <c r="W14" s="396">
        <v>1.0000000000000002</v>
      </c>
      <c r="X14" s="234"/>
      <c r="Y14" s="34"/>
    </row>
    <row r="15" spans="1:29" ht="13.5" customHeight="1">
      <c r="C15" s="395" t="s">
        <v>828</v>
      </c>
      <c r="D15" s="397">
        <v>0.01</v>
      </c>
      <c r="E15" s="397">
        <v>2.98E-2</v>
      </c>
      <c r="F15" s="397">
        <v>5.8906E-2</v>
      </c>
      <c r="G15" s="397">
        <v>9.6549759999999998E-2</v>
      </c>
      <c r="H15" s="397">
        <v>0.14172227199999998</v>
      </c>
      <c r="I15" s="396">
        <v>0.19035800991999999</v>
      </c>
      <c r="J15" s="396">
        <v>0.2362377226912</v>
      </c>
      <c r="K15" s="396">
        <v>0.279517585072032</v>
      </c>
      <c r="L15" s="396">
        <v>0.32034492191795017</v>
      </c>
      <c r="M15" s="396">
        <v>0.35885870967593297</v>
      </c>
      <c r="N15" s="396">
        <v>0.39519004946096342</v>
      </c>
      <c r="O15" s="396">
        <v>0.42946261332484215</v>
      </c>
      <c r="P15" s="396">
        <v>0.46179306523643443</v>
      </c>
      <c r="Q15" s="396">
        <v>0.49229145820636983</v>
      </c>
      <c r="R15" s="396">
        <v>0.5210616089080089</v>
      </c>
      <c r="S15" s="396">
        <v>0.54820145106988838</v>
      </c>
      <c r="T15" s="396">
        <v>0.57380336884259475</v>
      </c>
      <c r="U15" s="396">
        <v>0.59795451127484767</v>
      </c>
      <c r="V15" s="396">
        <v>0.62073708896927293</v>
      </c>
      <c r="W15" s="396">
        <v>0.6422286539276808</v>
      </c>
      <c r="X15" s="234"/>
      <c r="Y15" s="34"/>
    </row>
    <row r="16" spans="1:29" ht="13.5" customHeight="1">
      <c r="C16" s="395" t="s">
        <v>868</v>
      </c>
      <c r="D16" s="397">
        <v>5.5320496977002724E-3</v>
      </c>
      <c r="E16" s="397">
        <v>1.4227918344261844E-2</v>
      </c>
      <c r="F16" s="397">
        <v>3.1619655637384989E-2</v>
      </c>
      <c r="G16" s="397">
        <v>6.2055195900350503E-2</v>
      </c>
      <c r="H16" s="397">
        <v>0.10939936964274129</v>
      </c>
      <c r="I16" s="396">
        <v>0.17568121288208835</v>
      </c>
      <c r="J16" s="396">
        <v>0.26003992245943919</v>
      </c>
      <c r="K16" s="396">
        <v>0.3584584169663485</v>
      </c>
      <c r="L16" s="396">
        <v>0.46444756489686617</v>
      </c>
      <c r="M16" s="396">
        <v>0.57043671282738384</v>
      </c>
      <c r="N16" s="396">
        <v>0.66935991756253377</v>
      </c>
      <c r="O16" s="396">
        <v>0.75591772170578986</v>
      </c>
      <c r="P16" s="396">
        <v>0.82720061923553012</v>
      </c>
      <c r="Q16" s="396">
        <v>0.88264287286977261</v>
      </c>
      <c r="R16" s="396">
        <v>0.92349505975816193</v>
      </c>
      <c r="S16" s="396">
        <v>0.95209159058003434</v>
      </c>
      <c r="T16" s="396">
        <v>0.97115594446128262</v>
      </c>
      <c r="U16" s="396">
        <v>0.98328780602207699</v>
      </c>
      <c r="V16" s="396">
        <v>0.99067241740690848</v>
      </c>
      <c r="W16" s="396">
        <v>0.99498010738139331</v>
      </c>
      <c r="X16" s="234"/>
      <c r="Y16" s="34"/>
    </row>
    <row r="17" spans="1:27">
      <c r="A17" s="196"/>
      <c r="B17" s="196"/>
      <c r="C17" s="196"/>
      <c r="D17" s="196"/>
      <c r="E17" s="196"/>
      <c r="F17" s="196"/>
      <c r="G17" s="196"/>
      <c r="H17" s="196"/>
      <c r="I17" s="196"/>
      <c r="J17" s="196"/>
      <c r="K17" s="196"/>
      <c r="L17" s="196"/>
      <c r="M17" s="196"/>
      <c r="N17" s="196"/>
      <c r="O17" s="196"/>
      <c r="P17" s="196"/>
      <c r="Q17" s="196"/>
      <c r="R17" s="196"/>
      <c r="S17" s="196"/>
      <c r="T17" s="196"/>
      <c r="U17" s="196"/>
      <c r="V17" s="196"/>
      <c r="W17" s="196"/>
      <c r="X17" s="196"/>
      <c r="Y17" s="196"/>
    </row>
    <row r="18" spans="1:27">
      <c r="A18" s="254" t="s">
        <v>254</v>
      </c>
      <c r="B18" s="196" t="s">
        <v>284</v>
      </c>
      <c r="C18" s="196" t="s">
        <v>428</v>
      </c>
      <c r="D18" s="196">
        <f>A2-20+1</f>
        <v>2016</v>
      </c>
      <c r="E18" s="196">
        <f>D18+1</f>
        <v>2017</v>
      </c>
      <c r="F18" s="196">
        <f t="shared" ref="F18:W18" si="0">E18+1</f>
        <v>2018</v>
      </c>
      <c r="G18" s="196">
        <f t="shared" si="0"/>
        <v>2019</v>
      </c>
      <c r="H18" s="196">
        <f t="shared" si="0"/>
        <v>2020</v>
      </c>
      <c r="I18" s="196">
        <f t="shared" si="0"/>
        <v>2021</v>
      </c>
      <c r="J18" s="196">
        <f t="shared" si="0"/>
        <v>2022</v>
      </c>
      <c r="K18" s="196">
        <f t="shared" si="0"/>
        <v>2023</v>
      </c>
      <c r="L18" s="196">
        <f t="shared" si="0"/>
        <v>2024</v>
      </c>
      <c r="M18" s="196">
        <f t="shared" si="0"/>
        <v>2025</v>
      </c>
      <c r="N18" s="196">
        <f t="shared" si="0"/>
        <v>2026</v>
      </c>
      <c r="O18" s="196">
        <f t="shared" si="0"/>
        <v>2027</v>
      </c>
      <c r="P18" s="196">
        <f t="shared" si="0"/>
        <v>2028</v>
      </c>
      <c r="Q18" s="196">
        <f t="shared" si="0"/>
        <v>2029</v>
      </c>
      <c r="R18" s="196">
        <f t="shared" si="0"/>
        <v>2030</v>
      </c>
      <c r="S18" s="196">
        <f t="shared" si="0"/>
        <v>2031</v>
      </c>
      <c r="T18" s="196">
        <f t="shared" si="0"/>
        <v>2032</v>
      </c>
      <c r="U18" s="196">
        <f t="shared" si="0"/>
        <v>2033</v>
      </c>
      <c r="V18" s="196">
        <f t="shared" si="0"/>
        <v>2034</v>
      </c>
      <c r="W18" s="196">
        <f t="shared" si="0"/>
        <v>2035</v>
      </c>
      <c r="X18" s="196"/>
      <c r="Y18" s="196"/>
      <c r="AA18" s="255" t="s">
        <v>95</v>
      </c>
    </row>
    <row r="19" spans="1:27">
      <c r="A19" t="str">
        <f>MLIST!A12</f>
        <v>Compressed Air</v>
      </c>
      <c r="B19" t="str">
        <f>MLIST!D12</f>
        <v>Compressed Air-Retro</v>
      </c>
      <c r="C19" t="s">
        <v>832</v>
      </c>
      <c r="D19" s="32">
        <f t="shared" ref="D19:D50" si="1">IF(ISBLANK($C19),"",VLOOKUP($C19,$C$1:$X$16,D$18-$D$18+2,FALSE))</f>
        <v>0.05</v>
      </c>
      <c r="E19" s="32">
        <f t="shared" ref="E19:W33" si="2">IF(ISBLANK($C19),"",VLOOKUP($C19,$C$1:$X$16,E$18-$D$18+2,FALSE))</f>
        <v>0.05</v>
      </c>
      <c r="F19" s="32">
        <f t="shared" si="2"/>
        <v>0.05</v>
      </c>
      <c r="G19" s="32">
        <f t="shared" si="2"/>
        <v>0.05</v>
      </c>
      <c r="H19" s="32">
        <f t="shared" si="2"/>
        <v>0.05</v>
      </c>
      <c r="I19" s="32">
        <f t="shared" si="2"/>
        <v>0.05</v>
      </c>
      <c r="J19" s="32">
        <f t="shared" si="2"/>
        <v>0.05</v>
      </c>
      <c r="K19" s="32">
        <f t="shared" si="2"/>
        <v>0.05</v>
      </c>
      <c r="L19" s="32">
        <f t="shared" si="2"/>
        <v>0.05</v>
      </c>
      <c r="M19" s="32">
        <f t="shared" si="2"/>
        <v>0.05</v>
      </c>
      <c r="N19" s="32">
        <f t="shared" si="2"/>
        <v>0.05</v>
      </c>
      <c r="O19" s="32">
        <f t="shared" si="2"/>
        <v>0.05</v>
      </c>
      <c r="P19" s="32">
        <f t="shared" si="2"/>
        <v>0.05</v>
      </c>
      <c r="Q19" s="32">
        <f t="shared" si="2"/>
        <v>0.05</v>
      </c>
      <c r="R19" s="32">
        <f t="shared" si="2"/>
        <v>0.05</v>
      </c>
      <c r="S19" s="32">
        <f t="shared" si="2"/>
        <v>0.05</v>
      </c>
      <c r="T19" s="32">
        <f t="shared" si="2"/>
        <v>0.05</v>
      </c>
      <c r="U19" s="32">
        <f t="shared" si="2"/>
        <v>0.05</v>
      </c>
      <c r="V19" s="32">
        <f t="shared" si="2"/>
        <v>0.05</v>
      </c>
      <c r="W19" s="32">
        <f t="shared" si="2"/>
        <v>0.05</v>
      </c>
      <c r="X19" s="32"/>
    </row>
    <row r="20" spans="1:27">
      <c r="A20" t="str">
        <f>MLIST!A13</f>
        <v>Compressed Air</v>
      </c>
      <c r="B20" t="str">
        <f>MLIST!D13</f>
        <v>Compressed Air-NR</v>
      </c>
      <c r="C20" t="s">
        <v>827</v>
      </c>
      <c r="D20" s="32">
        <f t="shared" si="1"/>
        <v>0.05</v>
      </c>
      <c r="E20" s="32">
        <f t="shared" ref="E20:S20" si="3">IF(ISBLANK($C20),"",VLOOKUP($C20,$C$1:$X$16,E$18-$D$18+2,FALSE))</f>
        <v>0.1</v>
      </c>
      <c r="F20" s="32">
        <f t="shared" si="3"/>
        <v>0.15000000000000002</v>
      </c>
      <c r="G20" s="32">
        <f t="shared" si="3"/>
        <v>0.2</v>
      </c>
      <c r="H20" s="32">
        <f t="shared" si="3"/>
        <v>0.25</v>
      </c>
      <c r="I20" s="32">
        <f t="shared" si="3"/>
        <v>0.3</v>
      </c>
      <c r="J20" s="32">
        <f t="shared" si="3"/>
        <v>0.35</v>
      </c>
      <c r="K20" s="32">
        <f t="shared" si="3"/>
        <v>0.39999999999999997</v>
      </c>
      <c r="L20" s="32">
        <f t="shared" si="3"/>
        <v>0.44999999999999996</v>
      </c>
      <c r="M20" s="32">
        <f t="shared" si="3"/>
        <v>0.49999999999999994</v>
      </c>
      <c r="N20" s="32">
        <f t="shared" si="3"/>
        <v>0.54999999999999993</v>
      </c>
      <c r="O20" s="32">
        <f t="shared" si="3"/>
        <v>0.6</v>
      </c>
      <c r="P20" s="32">
        <f t="shared" si="3"/>
        <v>0.65</v>
      </c>
      <c r="Q20" s="32">
        <f t="shared" si="3"/>
        <v>0.70000000000000007</v>
      </c>
      <c r="R20" s="32">
        <f t="shared" si="3"/>
        <v>0.75000000000000011</v>
      </c>
      <c r="S20" s="32">
        <f t="shared" si="3"/>
        <v>0.80000000000000016</v>
      </c>
      <c r="T20" s="32">
        <f t="shared" si="2"/>
        <v>0.8500000000000002</v>
      </c>
      <c r="U20" s="32">
        <f t="shared" si="2"/>
        <v>0.90000000000000024</v>
      </c>
      <c r="V20" s="32">
        <f t="shared" si="2"/>
        <v>0.95000000000000029</v>
      </c>
      <c r="W20" s="32">
        <f t="shared" si="2"/>
        <v>1.0000000000000002</v>
      </c>
      <c r="X20" s="32"/>
    </row>
    <row r="21" spans="1:27">
      <c r="A21" s="210" t="str">
        <f>MLIST!A14</f>
        <v>Electronics</v>
      </c>
      <c r="B21" s="210" t="str">
        <f>MLIST!D14</f>
        <v>Network PC Power Management-Retro</v>
      </c>
      <c r="C21" s="210" t="s">
        <v>831</v>
      </c>
      <c r="D21" s="32">
        <f t="shared" si="1"/>
        <v>0.22119921692859512</v>
      </c>
      <c r="E21" s="32">
        <f t="shared" si="2"/>
        <v>0.15504311102289431</v>
      </c>
      <c r="F21" s="32">
        <f t="shared" si="2"/>
        <v>0.10733128557729499</v>
      </c>
      <c r="G21" s="32">
        <f t="shared" si="2"/>
        <v>8.3589689255657879E-2</v>
      </c>
      <c r="H21" s="32">
        <f t="shared" si="2"/>
        <v>7.3237179880126971E-2</v>
      </c>
      <c r="I21" s="32">
        <f t="shared" si="2"/>
        <v>6.3374636711760357E-2</v>
      </c>
      <c r="J21" s="32">
        <f t="shared" si="2"/>
        <v>5.4291838367783084E-2</v>
      </c>
      <c r="K21" s="32">
        <f t="shared" si="2"/>
        <v>4.612639225659896E-2</v>
      </c>
      <c r="L21" s="32">
        <f t="shared" si="2"/>
        <v>3.8916876277172864E-2</v>
      </c>
      <c r="M21" s="32">
        <f t="shared" si="2"/>
        <v>3.2639916313151704E-2</v>
      </c>
      <c r="N21" s="32">
        <f t="shared" si="2"/>
        <v>2.7235706125786907E-2</v>
      </c>
      <c r="O21" s="32">
        <f t="shared" si="2"/>
        <v>2.1211189258265428E-2</v>
      </c>
      <c r="P21" s="32">
        <f t="shared" si="2"/>
        <v>1.6519290804212883E-2</v>
      </c>
      <c r="Q21" s="32">
        <f t="shared" si="2"/>
        <v>1.2865236614105324E-2</v>
      </c>
      <c r="R21" s="32">
        <f t="shared" si="2"/>
        <v>1.0019456349464106E-2</v>
      </c>
      <c r="S21" s="32">
        <f t="shared" si="2"/>
        <v>7.8031604509122832E-3</v>
      </c>
      <c r="T21" s="32">
        <f t="shared" si="2"/>
        <v>6.077107469602494E-3</v>
      </c>
      <c r="U21" s="32">
        <f t="shared" si="2"/>
        <v>4.7328560561354371E-3</v>
      </c>
      <c r="V21" s="32">
        <f t="shared" si="2"/>
        <v>3.6859520026825132E-3</v>
      </c>
      <c r="W21" s="32">
        <f t="shared" si="2"/>
        <v>2.8706223060526725E-3</v>
      </c>
      <c r="X21" s="32"/>
    </row>
    <row r="22" spans="1:27">
      <c r="A22" t="str">
        <f>MLIST!A15</f>
        <v>Electronics</v>
      </c>
      <c r="B22" t="str">
        <f>MLIST!D15</f>
        <v>Laptop-NR</v>
      </c>
      <c r="C22" s="221" t="s">
        <v>869</v>
      </c>
      <c r="D22" s="32">
        <f t="shared" si="1"/>
        <v>4.2999999999999997E-2</v>
      </c>
      <c r="E22" s="32">
        <f t="shared" si="2"/>
        <v>9.5797142280278316E-2</v>
      </c>
      <c r="F22" s="32">
        <f t="shared" si="2"/>
        <v>0.16040539374775648</v>
      </c>
      <c r="G22" s="32">
        <f t="shared" si="2"/>
        <v>0.23540539374775649</v>
      </c>
      <c r="H22" s="32">
        <f t="shared" si="2"/>
        <v>0.32095239121809005</v>
      </c>
      <c r="I22" s="32">
        <f t="shared" si="2"/>
        <v>0.42096711425629652</v>
      </c>
      <c r="J22" s="32">
        <f t="shared" si="2"/>
        <v>0.53068481860864725</v>
      </c>
      <c r="K22" s="32">
        <f t="shared" si="2"/>
        <v>0.642769203728351</v>
      </c>
      <c r="L22" s="32">
        <f t="shared" si="2"/>
        <v>0.74839528535557953</v>
      </c>
      <c r="M22" s="32">
        <f t="shared" si="2"/>
        <v>0.83918984935345187</v>
      </c>
      <c r="N22" s="32">
        <f t="shared" si="2"/>
        <v>0.90945051634530116</v>
      </c>
      <c r="O22" s="32">
        <f t="shared" si="2"/>
        <v>0.9576688767502457</v>
      </c>
      <c r="P22" s="32">
        <f t="shared" si="2"/>
        <v>0.9865231113648858</v>
      </c>
      <c r="Q22" s="32">
        <f t="shared" si="2"/>
        <v>1.0012970762896924</v>
      </c>
      <c r="R22" s="32">
        <f t="shared" si="2"/>
        <v>1.0076356106578106</v>
      </c>
      <c r="S22" s="32">
        <f t="shared" si="2"/>
        <v>1.0098624683774413</v>
      </c>
      <c r="T22" s="32">
        <f t="shared" si="2"/>
        <v>1.0104871783970797</v>
      </c>
      <c r="U22" s="32">
        <f t="shared" si="2"/>
        <v>1.010623336815976</v>
      </c>
      <c r="V22" s="32">
        <f t="shared" si="2"/>
        <v>1.0106457174525985</v>
      </c>
      <c r="W22" s="32">
        <f t="shared" si="2"/>
        <v>1.0106484038909742</v>
      </c>
      <c r="X22" s="32"/>
    </row>
    <row r="23" spans="1:27">
      <c r="A23" t="str">
        <f>MLIST!A16</f>
        <v>Electronics</v>
      </c>
      <c r="B23" t="str">
        <f>MLIST!D16</f>
        <v>Smart Plug Power Strips-Retro</v>
      </c>
      <c r="C23" s="221" t="s">
        <v>830</v>
      </c>
      <c r="D23" s="32">
        <f t="shared" si="1"/>
        <v>0.10937459468255628</v>
      </c>
      <c r="E23" s="32">
        <f t="shared" si="2"/>
        <v>0.10937459468255628</v>
      </c>
      <c r="F23" s="32">
        <f t="shared" si="2"/>
        <v>0.10937459468255628</v>
      </c>
      <c r="G23" s="32">
        <f t="shared" si="2"/>
        <v>0.10937459468255628</v>
      </c>
      <c r="H23" s="32">
        <f t="shared" si="2"/>
        <v>0.10937459468255628</v>
      </c>
      <c r="I23" s="32">
        <f t="shared" si="2"/>
        <v>9.8437135214300656E-2</v>
      </c>
      <c r="J23" s="32">
        <f t="shared" si="2"/>
        <v>7.874970817144053E-2</v>
      </c>
      <c r="K23" s="32">
        <f t="shared" si="2"/>
        <v>6.2999766537152418E-2</v>
      </c>
      <c r="L23" s="32">
        <f t="shared" si="2"/>
        <v>5.0399813229721938E-2</v>
      </c>
      <c r="M23" s="32">
        <f t="shared" si="2"/>
        <v>4.0319850583777551E-2</v>
      </c>
      <c r="N23" s="32">
        <f t="shared" si="2"/>
        <v>3.225588046702204E-2</v>
      </c>
      <c r="O23" s="32">
        <f t="shared" si="2"/>
        <v>2.5804704373617631E-2</v>
      </c>
      <c r="P23" s="32">
        <f t="shared" si="2"/>
        <v>2.0643763498894106E-2</v>
      </c>
      <c r="Q23" s="32">
        <f t="shared" si="2"/>
        <v>1.6515010799115284E-2</v>
      </c>
      <c r="R23" s="32">
        <f t="shared" si="2"/>
        <v>1.3212008639292228E-2</v>
      </c>
      <c r="S23" s="32">
        <f t="shared" si="2"/>
        <v>1.0569606911433781E-2</v>
      </c>
      <c r="T23" s="32">
        <f t="shared" si="2"/>
        <v>7.2092823794611682E-5</v>
      </c>
      <c r="U23" s="32">
        <f t="shared" si="2"/>
        <v>2.5747437069512102E-5</v>
      </c>
      <c r="V23" s="32">
        <f t="shared" si="2"/>
        <v>8.7775353646568632E-6</v>
      </c>
      <c r="W23" s="32">
        <f t="shared" si="2"/>
        <v>2.8622397928446119E-6</v>
      </c>
      <c r="X23" s="32"/>
    </row>
    <row r="24" spans="1:27">
      <c r="A24" t="str">
        <f>MLIST!A17</f>
        <v>Electronics</v>
      </c>
      <c r="B24" t="str">
        <f>MLIST!D17</f>
        <v>Data Centers-NR</v>
      </c>
      <c r="C24" s="407" t="s">
        <v>869</v>
      </c>
      <c r="D24" s="32">
        <f t="shared" si="1"/>
        <v>4.2999999999999997E-2</v>
      </c>
      <c r="E24" s="32">
        <f t="shared" si="2"/>
        <v>9.5797142280278316E-2</v>
      </c>
      <c r="F24" s="32">
        <f t="shared" si="2"/>
        <v>0.16040539374775648</v>
      </c>
      <c r="G24" s="32">
        <f t="shared" si="2"/>
        <v>0.23540539374775649</v>
      </c>
      <c r="H24" s="32">
        <f t="shared" si="2"/>
        <v>0.32095239121809005</v>
      </c>
      <c r="I24" s="32">
        <f t="shared" si="2"/>
        <v>0.42096711425629652</v>
      </c>
      <c r="J24" s="32">
        <f t="shared" si="2"/>
        <v>0.53068481860864725</v>
      </c>
      <c r="K24" s="32">
        <f t="shared" si="2"/>
        <v>0.642769203728351</v>
      </c>
      <c r="L24" s="32">
        <f t="shared" si="2"/>
        <v>0.74839528535557953</v>
      </c>
      <c r="M24" s="32">
        <f t="shared" si="2"/>
        <v>0.83918984935345187</v>
      </c>
      <c r="N24" s="32">
        <f t="shared" si="2"/>
        <v>0.90945051634530116</v>
      </c>
      <c r="O24" s="32">
        <f t="shared" si="2"/>
        <v>0.9576688767502457</v>
      </c>
      <c r="P24" s="32">
        <f t="shared" si="2"/>
        <v>0.9865231113648858</v>
      </c>
      <c r="Q24" s="32">
        <f t="shared" si="2"/>
        <v>1.0012970762896924</v>
      </c>
      <c r="R24" s="32">
        <f t="shared" si="2"/>
        <v>1.0076356106578106</v>
      </c>
      <c r="S24" s="32">
        <f t="shared" si="2"/>
        <v>1.0098624683774413</v>
      </c>
      <c r="T24" s="32">
        <f t="shared" si="2"/>
        <v>1.0104871783970797</v>
      </c>
      <c r="U24" s="32">
        <f t="shared" si="2"/>
        <v>1.010623336815976</v>
      </c>
      <c r="V24" s="32">
        <f t="shared" si="2"/>
        <v>1.0106457174525985</v>
      </c>
      <c r="W24" s="32">
        <f t="shared" si="2"/>
        <v>1.0106484038909742</v>
      </c>
      <c r="X24" s="32"/>
    </row>
    <row r="25" spans="1:27">
      <c r="A25" t="str">
        <f>MLIST!A18</f>
        <v>Electronics</v>
      </c>
      <c r="B25" t="str">
        <f>MLIST!D18</f>
        <v>Monitor-NR</v>
      </c>
      <c r="C25" s="407" t="s">
        <v>824</v>
      </c>
      <c r="D25" s="32">
        <f t="shared" si="1"/>
        <v>0.45</v>
      </c>
      <c r="E25" s="32">
        <f t="shared" si="2"/>
        <v>0.66</v>
      </c>
      <c r="F25" s="32">
        <f t="shared" si="2"/>
        <v>0.8</v>
      </c>
      <c r="G25" s="32">
        <f t="shared" si="2"/>
        <v>0.89</v>
      </c>
      <c r="H25" s="32">
        <f t="shared" si="2"/>
        <v>0.94954036260972652</v>
      </c>
      <c r="I25" s="32">
        <f t="shared" si="2"/>
        <v>0.97931054391458994</v>
      </c>
      <c r="J25" s="32">
        <f t="shared" si="2"/>
        <v>0.99254173560564019</v>
      </c>
      <c r="K25" s="32">
        <f t="shared" si="2"/>
        <v>0.99783421228206048</v>
      </c>
      <c r="L25" s="32">
        <f t="shared" si="2"/>
        <v>0.99975874925530417</v>
      </c>
      <c r="M25" s="32">
        <f t="shared" si="2"/>
        <v>1.0004002615797187</v>
      </c>
      <c r="N25" s="32">
        <f t="shared" si="2"/>
        <v>1.0005976499872309</v>
      </c>
      <c r="O25" s="32">
        <f t="shared" si="2"/>
        <v>1.0006540466750915</v>
      </c>
      <c r="P25" s="32">
        <f t="shared" si="2"/>
        <v>1.0006690857918545</v>
      </c>
      <c r="Q25" s="32">
        <f t="shared" si="2"/>
        <v>1.000672845571045</v>
      </c>
      <c r="R25" s="32">
        <f t="shared" si="2"/>
        <v>1.0006737302249724</v>
      </c>
      <c r="S25" s="32">
        <f t="shared" si="2"/>
        <v>1.0006739268147338</v>
      </c>
      <c r="T25" s="32">
        <f t="shared" si="2"/>
        <v>1.0006739682020522</v>
      </c>
      <c r="U25" s="32">
        <f t="shared" si="2"/>
        <v>1.0006739764795158</v>
      </c>
      <c r="V25" s="32">
        <f t="shared" si="2"/>
        <v>1.0006739780561755</v>
      </c>
      <c r="W25" s="32">
        <f t="shared" si="2"/>
        <v>1.0006739783428409</v>
      </c>
      <c r="X25" s="32"/>
    </row>
    <row r="26" spans="1:27">
      <c r="A26" t="str">
        <f>MLIST!A19</f>
        <v>Electronics</v>
      </c>
      <c r="B26" t="str">
        <f>MLIST!D19</f>
        <v>Desktop-NR</v>
      </c>
      <c r="C26" s="407" t="s">
        <v>824</v>
      </c>
      <c r="D26" s="32">
        <f t="shared" si="1"/>
        <v>0.45</v>
      </c>
      <c r="E26" s="32">
        <f t="shared" si="2"/>
        <v>0.66</v>
      </c>
      <c r="F26" s="32">
        <f t="shared" si="2"/>
        <v>0.8</v>
      </c>
      <c r="G26" s="32">
        <f t="shared" si="2"/>
        <v>0.89</v>
      </c>
      <c r="H26" s="32">
        <f t="shared" si="2"/>
        <v>0.94954036260972652</v>
      </c>
      <c r="I26" s="32">
        <f t="shared" si="2"/>
        <v>0.97931054391458994</v>
      </c>
      <c r="J26" s="32">
        <f t="shared" si="2"/>
        <v>0.99254173560564019</v>
      </c>
      <c r="K26" s="32">
        <f t="shared" si="2"/>
        <v>0.99783421228206048</v>
      </c>
      <c r="L26" s="32">
        <f t="shared" si="2"/>
        <v>0.99975874925530417</v>
      </c>
      <c r="M26" s="32">
        <f t="shared" si="2"/>
        <v>1.0004002615797187</v>
      </c>
      <c r="N26" s="32">
        <f t="shared" si="2"/>
        <v>1.0005976499872309</v>
      </c>
      <c r="O26" s="32">
        <f t="shared" si="2"/>
        <v>1.0006540466750915</v>
      </c>
      <c r="P26" s="32">
        <f t="shared" si="2"/>
        <v>1.0006690857918545</v>
      </c>
      <c r="Q26" s="32">
        <f t="shared" si="2"/>
        <v>1.000672845571045</v>
      </c>
      <c r="R26" s="32">
        <f t="shared" si="2"/>
        <v>1.0006737302249724</v>
      </c>
      <c r="S26" s="32">
        <f t="shared" si="2"/>
        <v>1.0006739268147338</v>
      </c>
      <c r="T26" s="32">
        <f t="shared" si="2"/>
        <v>1.0006739682020522</v>
      </c>
      <c r="U26" s="32">
        <f t="shared" si="2"/>
        <v>1.0006739764795158</v>
      </c>
      <c r="V26" s="32">
        <f t="shared" si="2"/>
        <v>1.0006739780561755</v>
      </c>
      <c r="W26" s="32">
        <f t="shared" si="2"/>
        <v>1.0006739783428409</v>
      </c>
      <c r="X26" s="32"/>
    </row>
    <row r="27" spans="1:27">
      <c r="A27" t="str">
        <f>MLIST!A20</f>
        <v>Food Preparation</v>
      </c>
      <c r="B27" t="str">
        <f>MLIST!D20</f>
        <v>Pre-Rinse Spray Valve-Retro</v>
      </c>
      <c r="C27" s="407" t="s">
        <v>830</v>
      </c>
      <c r="D27" s="32">
        <f t="shared" si="1"/>
        <v>0.10937459468255628</v>
      </c>
      <c r="E27" s="32">
        <f t="shared" si="2"/>
        <v>0.10937459468255628</v>
      </c>
      <c r="F27" s="32">
        <f t="shared" si="2"/>
        <v>0.10937459468255628</v>
      </c>
      <c r="G27" s="32">
        <f t="shared" si="2"/>
        <v>0.10937459468255628</v>
      </c>
      <c r="H27" s="32">
        <f t="shared" si="2"/>
        <v>0.10937459468255628</v>
      </c>
      <c r="I27" s="32">
        <f t="shared" si="2"/>
        <v>9.8437135214300656E-2</v>
      </c>
      <c r="J27" s="32">
        <f t="shared" si="2"/>
        <v>7.874970817144053E-2</v>
      </c>
      <c r="K27" s="32">
        <f t="shared" si="2"/>
        <v>6.2999766537152418E-2</v>
      </c>
      <c r="L27" s="32">
        <f t="shared" si="2"/>
        <v>5.0399813229721938E-2</v>
      </c>
      <c r="M27" s="32">
        <f t="shared" si="2"/>
        <v>4.0319850583777551E-2</v>
      </c>
      <c r="N27" s="32">
        <f t="shared" si="2"/>
        <v>3.225588046702204E-2</v>
      </c>
      <c r="O27" s="32">
        <f t="shared" si="2"/>
        <v>2.5804704373617631E-2</v>
      </c>
      <c r="P27" s="32">
        <f t="shared" si="2"/>
        <v>2.0643763498894106E-2</v>
      </c>
      <c r="Q27" s="32">
        <f t="shared" si="2"/>
        <v>1.6515010799115284E-2</v>
      </c>
      <c r="R27" s="32">
        <f t="shared" si="2"/>
        <v>1.3212008639292228E-2</v>
      </c>
      <c r="S27" s="32">
        <f t="shared" si="2"/>
        <v>1.0569606911433781E-2</v>
      </c>
      <c r="T27" s="32">
        <f t="shared" si="2"/>
        <v>7.2092823794611682E-5</v>
      </c>
      <c r="U27" s="32">
        <f t="shared" si="2"/>
        <v>2.5747437069512102E-5</v>
      </c>
      <c r="V27" s="32">
        <f t="shared" si="2"/>
        <v>8.7775353646568632E-6</v>
      </c>
      <c r="W27" s="32">
        <f t="shared" si="2"/>
        <v>2.8622397928446119E-6</v>
      </c>
      <c r="X27" s="32"/>
    </row>
    <row r="28" spans="1:27">
      <c r="A28" t="str">
        <f>MLIST!A21</f>
        <v>Food Preparation</v>
      </c>
      <c r="B28" t="str">
        <f>MLIST!D21</f>
        <v>Cooking Equipment-NR</v>
      </c>
      <c r="C28" s="407" t="s">
        <v>869</v>
      </c>
      <c r="D28" s="32">
        <f t="shared" si="1"/>
        <v>4.2999999999999997E-2</v>
      </c>
      <c r="E28" s="32">
        <f t="shared" si="2"/>
        <v>9.5797142280278316E-2</v>
      </c>
      <c r="F28" s="32">
        <f t="shared" si="2"/>
        <v>0.16040539374775648</v>
      </c>
      <c r="G28" s="32">
        <f t="shared" si="2"/>
        <v>0.23540539374775649</v>
      </c>
      <c r="H28" s="32">
        <f t="shared" si="2"/>
        <v>0.32095239121809005</v>
      </c>
      <c r="I28" s="32">
        <f t="shared" si="2"/>
        <v>0.42096711425629652</v>
      </c>
      <c r="J28" s="32">
        <f t="shared" si="2"/>
        <v>0.53068481860864725</v>
      </c>
      <c r="K28" s="32">
        <f t="shared" si="2"/>
        <v>0.642769203728351</v>
      </c>
      <c r="L28" s="32">
        <f t="shared" si="2"/>
        <v>0.74839528535557953</v>
      </c>
      <c r="M28" s="32">
        <f t="shared" si="2"/>
        <v>0.83918984935345187</v>
      </c>
      <c r="N28" s="32">
        <f t="shared" si="2"/>
        <v>0.90945051634530116</v>
      </c>
      <c r="O28" s="32">
        <f t="shared" si="2"/>
        <v>0.9576688767502457</v>
      </c>
      <c r="P28" s="32">
        <f t="shared" si="2"/>
        <v>0.9865231113648858</v>
      </c>
      <c r="Q28" s="32">
        <f t="shared" si="2"/>
        <v>1.0012970762896924</v>
      </c>
      <c r="R28" s="32">
        <f t="shared" si="2"/>
        <v>1.0076356106578106</v>
      </c>
      <c r="S28" s="32">
        <f t="shared" si="2"/>
        <v>1.0098624683774413</v>
      </c>
      <c r="T28" s="32">
        <f t="shared" si="2"/>
        <v>1.0104871783970797</v>
      </c>
      <c r="U28" s="32">
        <f t="shared" si="2"/>
        <v>1.010623336815976</v>
      </c>
      <c r="V28" s="32">
        <f t="shared" si="2"/>
        <v>1.0106457174525985</v>
      </c>
      <c r="W28" s="32">
        <f t="shared" si="2"/>
        <v>1.0106484038909742</v>
      </c>
      <c r="X28" s="32"/>
    </row>
    <row r="29" spans="1:27" s="218" customFormat="1">
      <c r="A29" s="218" t="str">
        <f>MLIST!A22</f>
        <v>HVAC</v>
      </c>
      <c r="B29" s="218" t="str">
        <f>MLIST!D22</f>
        <v>DHP-New</v>
      </c>
      <c r="C29" s="407" t="s">
        <v>827</v>
      </c>
      <c r="D29" s="277">
        <f t="shared" si="1"/>
        <v>0.05</v>
      </c>
      <c r="E29" s="277">
        <f t="shared" si="2"/>
        <v>0.1</v>
      </c>
      <c r="F29" s="277">
        <f t="shared" si="2"/>
        <v>0.15000000000000002</v>
      </c>
      <c r="G29" s="277">
        <f t="shared" si="2"/>
        <v>0.2</v>
      </c>
      <c r="H29" s="277">
        <f t="shared" si="2"/>
        <v>0.25</v>
      </c>
      <c r="I29" s="277">
        <f t="shared" si="2"/>
        <v>0.3</v>
      </c>
      <c r="J29" s="277">
        <f t="shared" si="2"/>
        <v>0.35</v>
      </c>
      <c r="K29" s="277">
        <f t="shared" si="2"/>
        <v>0.39999999999999997</v>
      </c>
      <c r="L29" s="277">
        <f t="shared" si="2"/>
        <v>0.44999999999999996</v>
      </c>
      <c r="M29" s="277">
        <f t="shared" si="2"/>
        <v>0.49999999999999994</v>
      </c>
      <c r="N29" s="277">
        <f t="shared" si="2"/>
        <v>0.54999999999999993</v>
      </c>
      <c r="O29" s="277">
        <f t="shared" si="2"/>
        <v>0.6</v>
      </c>
      <c r="P29" s="277">
        <f t="shared" si="2"/>
        <v>0.65</v>
      </c>
      <c r="Q29" s="277">
        <f t="shared" si="2"/>
        <v>0.70000000000000007</v>
      </c>
      <c r="R29" s="277">
        <f t="shared" si="2"/>
        <v>0.75000000000000011</v>
      </c>
      <c r="S29" s="277">
        <f t="shared" si="2"/>
        <v>0.80000000000000016</v>
      </c>
      <c r="T29" s="277">
        <f t="shared" si="2"/>
        <v>0.8500000000000002</v>
      </c>
      <c r="U29" s="277">
        <f t="shared" si="2"/>
        <v>0.90000000000000024</v>
      </c>
      <c r="V29" s="277">
        <f t="shared" si="2"/>
        <v>0.95000000000000029</v>
      </c>
      <c r="W29" s="277">
        <f t="shared" si="2"/>
        <v>1.0000000000000002</v>
      </c>
      <c r="X29" s="277"/>
    </row>
    <row r="30" spans="1:27" s="218" customFormat="1">
      <c r="A30" s="218" t="str">
        <f>MLIST!A23</f>
        <v>HVAC</v>
      </c>
      <c r="B30" s="218" t="str">
        <f>MLIST!D23</f>
        <v>DHP-Retro</v>
      </c>
      <c r="C30" s="407" t="s">
        <v>866</v>
      </c>
      <c r="D30" s="277">
        <f t="shared" si="1"/>
        <v>4.2999999999999997E-2</v>
      </c>
      <c r="E30" s="277">
        <f t="shared" si="2"/>
        <v>5.279714228027832E-2</v>
      </c>
      <c r="F30" s="277">
        <f t="shared" si="2"/>
        <v>6.4608251467478173E-2</v>
      </c>
      <c r="G30" s="277">
        <f t="shared" si="2"/>
        <v>7.4999999999999997E-2</v>
      </c>
      <c r="H30" s="277">
        <f t="shared" si="2"/>
        <v>8.5546997470333563E-2</v>
      </c>
      <c r="I30" s="277">
        <f t="shared" si="2"/>
        <v>0.10001472303820647</v>
      </c>
      <c r="J30" s="277">
        <f t="shared" si="2"/>
        <v>0.10971770435235073</v>
      </c>
      <c r="K30" s="277">
        <f t="shared" si="2"/>
        <v>0.11208438511970376</v>
      </c>
      <c r="L30" s="277">
        <f t="shared" si="2"/>
        <v>0.10562608162722853</v>
      </c>
      <c r="M30" s="277">
        <f t="shared" si="2"/>
        <v>9.0794563997872335E-2</v>
      </c>
      <c r="N30" s="277">
        <f t="shared" si="2"/>
        <v>7.0260666991849297E-2</v>
      </c>
      <c r="O30" s="277">
        <f t="shared" si="2"/>
        <v>4.8218360404944538E-2</v>
      </c>
      <c r="P30" s="277">
        <f t="shared" si="2"/>
        <v>2.8854234614640095E-2</v>
      </c>
      <c r="Q30" s="277">
        <f t="shared" si="2"/>
        <v>1.4773964924806759E-2</v>
      </c>
      <c r="R30" s="277">
        <f t="shared" si="2"/>
        <v>6.3385343681182649E-3</v>
      </c>
      <c r="S30" s="277">
        <f t="shared" si="2"/>
        <v>2.2268577196306039E-3</v>
      </c>
      <c r="T30" s="277">
        <f t="shared" si="2"/>
        <v>6.2471001963848583E-4</v>
      </c>
      <c r="U30" s="277">
        <f t="shared" si="2"/>
        <v>1.3615841889635938E-4</v>
      </c>
      <c r="V30" s="277">
        <f t="shared" si="2"/>
        <v>2.2380636622298944E-5</v>
      </c>
      <c r="W30" s="277">
        <f t="shared" si="2"/>
        <v>2.68643837586513E-6</v>
      </c>
      <c r="X30" s="277"/>
    </row>
    <row r="31" spans="1:27">
      <c r="A31" s="210" t="str">
        <f>MLIST!A24</f>
        <v>HVAC</v>
      </c>
      <c r="B31" s="210" t="str">
        <f>MLIST!D24</f>
        <v>Glass-New</v>
      </c>
      <c r="C31" s="408" t="s">
        <v>869</v>
      </c>
      <c r="D31" s="32">
        <f t="shared" si="1"/>
        <v>4.2999999999999997E-2</v>
      </c>
      <c r="E31" s="32">
        <f t="shared" si="2"/>
        <v>9.5797142280278316E-2</v>
      </c>
      <c r="F31" s="32">
        <f t="shared" si="2"/>
        <v>0.16040539374775648</v>
      </c>
      <c r="G31" s="32">
        <f t="shared" si="2"/>
        <v>0.23540539374775649</v>
      </c>
      <c r="H31" s="32">
        <f t="shared" si="2"/>
        <v>0.32095239121809005</v>
      </c>
      <c r="I31" s="32">
        <f t="shared" si="2"/>
        <v>0.42096711425629652</v>
      </c>
      <c r="J31" s="32">
        <f t="shared" si="2"/>
        <v>0.53068481860864725</v>
      </c>
      <c r="K31" s="32">
        <f t="shared" si="2"/>
        <v>0.642769203728351</v>
      </c>
      <c r="L31" s="32">
        <f t="shared" si="2"/>
        <v>0.74839528535557953</v>
      </c>
      <c r="M31" s="32">
        <f t="shared" si="2"/>
        <v>0.83918984935345187</v>
      </c>
      <c r="N31" s="32">
        <f t="shared" si="2"/>
        <v>0.90945051634530116</v>
      </c>
      <c r="O31" s="32">
        <f t="shared" si="2"/>
        <v>0.9576688767502457</v>
      </c>
      <c r="P31" s="32">
        <f t="shared" si="2"/>
        <v>0.9865231113648858</v>
      </c>
      <c r="Q31" s="32">
        <f t="shared" si="2"/>
        <v>1.0012970762896924</v>
      </c>
      <c r="R31" s="32">
        <f t="shared" si="2"/>
        <v>1.0076356106578106</v>
      </c>
      <c r="S31" s="32">
        <f t="shared" si="2"/>
        <v>1.0098624683774413</v>
      </c>
      <c r="T31" s="32">
        <f t="shared" si="2"/>
        <v>1.0104871783970797</v>
      </c>
      <c r="U31" s="32">
        <f t="shared" si="2"/>
        <v>1.010623336815976</v>
      </c>
      <c r="V31" s="32">
        <f t="shared" si="2"/>
        <v>1.0106457174525985</v>
      </c>
      <c r="W31" s="32">
        <f t="shared" si="2"/>
        <v>1.0106484038909742</v>
      </c>
      <c r="X31" s="32"/>
    </row>
    <row r="32" spans="1:27">
      <c r="A32" s="210" t="str">
        <f>MLIST!A25</f>
        <v>HVAC</v>
      </c>
      <c r="B32" s="210" t="str">
        <f>MLIST!D25</f>
        <v>Glass-NR</v>
      </c>
      <c r="C32" s="408" t="s">
        <v>869</v>
      </c>
      <c r="D32" s="32">
        <f t="shared" si="1"/>
        <v>4.2999999999999997E-2</v>
      </c>
      <c r="E32" s="32">
        <f t="shared" si="2"/>
        <v>9.5797142280278316E-2</v>
      </c>
      <c r="F32" s="32">
        <f t="shared" si="2"/>
        <v>0.16040539374775648</v>
      </c>
      <c r="G32" s="32">
        <f t="shared" si="2"/>
        <v>0.23540539374775649</v>
      </c>
      <c r="H32" s="32">
        <f t="shared" si="2"/>
        <v>0.32095239121809005</v>
      </c>
      <c r="I32" s="32">
        <f t="shared" si="2"/>
        <v>0.42096711425629652</v>
      </c>
      <c r="J32" s="32">
        <f t="shared" si="2"/>
        <v>0.53068481860864725</v>
      </c>
      <c r="K32" s="32">
        <f t="shared" si="2"/>
        <v>0.642769203728351</v>
      </c>
      <c r="L32" s="32">
        <f t="shared" si="2"/>
        <v>0.74839528535557953</v>
      </c>
      <c r="M32" s="32">
        <f t="shared" si="2"/>
        <v>0.83918984935345187</v>
      </c>
      <c r="N32" s="32">
        <f t="shared" si="2"/>
        <v>0.90945051634530116</v>
      </c>
      <c r="O32" s="32">
        <f t="shared" si="2"/>
        <v>0.9576688767502457</v>
      </c>
      <c r="P32" s="32">
        <f t="shared" si="2"/>
        <v>0.9865231113648858</v>
      </c>
      <c r="Q32" s="32">
        <f t="shared" si="2"/>
        <v>1.0012970762896924</v>
      </c>
      <c r="R32" s="32">
        <f t="shared" si="2"/>
        <v>1.0076356106578106</v>
      </c>
      <c r="S32" s="32">
        <f t="shared" si="2"/>
        <v>1.0098624683774413</v>
      </c>
      <c r="T32" s="32">
        <f t="shared" si="2"/>
        <v>1.0104871783970797</v>
      </c>
      <c r="U32" s="32">
        <f t="shared" si="2"/>
        <v>1.010623336815976</v>
      </c>
      <c r="V32" s="32">
        <f t="shared" si="2"/>
        <v>1.0106457174525985</v>
      </c>
      <c r="W32" s="32">
        <f t="shared" si="2"/>
        <v>1.0106484038909742</v>
      </c>
      <c r="X32" s="32"/>
    </row>
    <row r="33" spans="1:24" s="218" customFormat="1">
      <c r="A33" s="218" t="str">
        <f>MLIST!A26</f>
        <v>HVAC</v>
      </c>
      <c r="B33" s="218" t="str">
        <f>MLIST!D26</f>
        <v>ControllerLite-Retro</v>
      </c>
      <c r="C33" s="218" t="s">
        <v>866</v>
      </c>
      <c r="D33" s="277">
        <f t="shared" si="1"/>
        <v>4.2999999999999997E-2</v>
      </c>
      <c r="E33" s="277">
        <f t="shared" si="2"/>
        <v>5.279714228027832E-2</v>
      </c>
      <c r="F33" s="277">
        <f t="shared" si="2"/>
        <v>6.4608251467478173E-2</v>
      </c>
      <c r="G33" s="277">
        <f t="shared" si="2"/>
        <v>7.4999999999999997E-2</v>
      </c>
      <c r="H33" s="277">
        <f t="shared" si="2"/>
        <v>8.5546997470333563E-2</v>
      </c>
      <c r="I33" s="277">
        <f t="shared" ref="E33:W46" si="4">IF(ISBLANK($C33),"",VLOOKUP($C33,$C$1:$X$16,I$18-$D$18+2,FALSE))</f>
        <v>0.10001472303820647</v>
      </c>
      <c r="J33" s="277">
        <f t="shared" si="4"/>
        <v>0.10971770435235073</v>
      </c>
      <c r="K33" s="277">
        <f t="shared" si="4"/>
        <v>0.11208438511970376</v>
      </c>
      <c r="L33" s="277">
        <f t="shared" si="4"/>
        <v>0.10562608162722853</v>
      </c>
      <c r="M33" s="277">
        <f t="shared" si="4"/>
        <v>9.0794563997872335E-2</v>
      </c>
      <c r="N33" s="277">
        <f t="shared" si="4"/>
        <v>7.0260666991849297E-2</v>
      </c>
      <c r="O33" s="277">
        <f t="shared" si="4"/>
        <v>4.8218360404944538E-2</v>
      </c>
      <c r="P33" s="277">
        <f t="shared" si="4"/>
        <v>2.8854234614640095E-2</v>
      </c>
      <c r="Q33" s="277">
        <f t="shared" si="4"/>
        <v>1.4773964924806759E-2</v>
      </c>
      <c r="R33" s="277">
        <f t="shared" si="4"/>
        <v>6.3385343681182649E-3</v>
      </c>
      <c r="S33" s="277">
        <f t="shared" si="4"/>
        <v>2.2268577196306039E-3</v>
      </c>
      <c r="T33" s="277">
        <f t="shared" si="4"/>
        <v>6.2471001963848583E-4</v>
      </c>
      <c r="U33" s="277">
        <f t="shared" si="4"/>
        <v>1.3615841889635938E-4</v>
      </c>
      <c r="V33" s="277">
        <f t="shared" si="4"/>
        <v>2.2380636622298944E-5</v>
      </c>
      <c r="W33" s="277">
        <f t="shared" si="4"/>
        <v>2.68643837586513E-6</v>
      </c>
      <c r="X33" s="277"/>
    </row>
    <row r="34" spans="1:24">
      <c r="A34" t="str">
        <f>MLIST!A27</f>
        <v>HVAC</v>
      </c>
      <c r="B34" t="str">
        <f>MLIST!D27</f>
        <v>Advanced Rooftop Controller-New</v>
      </c>
      <c r="C34" s="407" t="s">
        <v>868</v>
      </c>
      <c r="D34" s="32">
        <f t="shared" si="1"/>
        <v>5.5320496977002724E-3</v>
      </c>
      <c r="E34" s="32">
        <f t="shared" si="4"/>
        <v>1.4227918344261844E-2</v>
      </c>
      <c r="F34" s="32">
        <f t="shared" si="4"/>
        <v>3.1619655637384989E-2</v>
      </c>
      <c r="G34" s="32">
        <f t="shared" si="4"/>
        <v>6.2055195900350503E-2</v>
      </c>
      <c r="H34" s="32">
        <f t="shared" si="4"/>
        <v>0.10939936964274129</v>
      </c>
      <c r="I34" s="32">
        <f t="shared" si="4"/>
        <v>0.17568121288208835</v>
      </c>
      <c r="J34" s="32">
        <f t="shared" si="4"/>
        <v>0.26003992245943919</v>
      </c>
      <c r="K34" s="32">
        <f t="shared" si="4"/>
        <v>0.3584584169663485</v>
      </c>
      <c r="L34" s="32">
        <f t="shared" si="4"/>
        <v>0.46444756489686617</v>
      </c>
      <c r="M34" s="32">
        <f t="shared" si="4"/>
        <v>0.57043671282738384</v>
      </c>
      <c r="N34" s="32">
        <f t="shared" si="4"/>
        <v>0.66935991756253377</v>
      </c>
      <c r="O34" s="32">
        <f t="shared" si="4"/>
        <v>0.75591772170578986</v>
      </c>
      <c r="P34" s="32">
        <f t="shared" si="4"/>
        <v>0.82720061923553012</v>
      </c>
      <c r="Q34" s="32">
        <f t="shared" si="4"/>
        <v>0.88264287286977261</v>
      </c>
      <c r="R34" s="32">
        <f t="shared" si="4"/>
        <v>0.92349505975816193</v>
      </c>
      <c r="S34" s="32">
        <f t="shared" si="4"/>
        <v>0.95209159058003434</v>
      </c>
      <c r="T34" s="32">
        <f t="shared" si="4"/>
        <v>0.97115594446128262</v>
      </c>
      <c r="U34" s="32">
        <f t="shared" si="4"/>
        <v>0.98328780602207699</v>
      </c>
      <c r="V34" s="32">
        <f t="shared" si="4"/>
        <v>0.99067241740690848</v>
      </c>
      <c r="W34" s="32">
        <f t="shared" si="4"/>
        <v>0.99498010738139331</v>
      </c>
      <c r="X34" s="32"/>
    </row>
    <row r="35" spans="1:24">
      <c r="A35" t="str">
        <f>MLIST!A28</f>
        <v>HVAC</v>
      </c>
      <c r="B35" t="str">
        <f>MLIST!D28</f>
        <v>Advanced Rooftop Controller-NR</v>
      </c>
      <c r="C35" s="407" t="s">
        <v>868</v>
      </c>
      <c r="D35" s="32">
        <f t="shared" si="1"/>
        <v>5.5320496977002724E-3</v>
      </c>
      <c r="E35" s="32">
        <f t="shared" si="4"/>
        <v>1.4227918344261844E-2</v>
      </c>
      <c r="F35" s="32">
        <f t="shared" si="4"/>
        <v>3.1619655637384989E-2</v>
      </c>
      <c r="G35" s="32">
        <f t="shared" si="4"/>
        <v>6.2055195900350503E-2</v>
      </c>
      <c r="H35" s="32">
        <f t="shared" si="4"/>
        <v>0.10939936964274129</v>
      </c>
      <c r="I35" s="32">
        <f t="shared" si="4"/>
        <v>0.17568121288208835</v>
      </c>
      <c r="J35" s="32">
        <f t="shared" si="4"/>
        <v>0.26003992245943919</v>
      </c>
      <c r="K35" s="32">
        <f t="shared" si="4"/>
        <v>0.3584584169663485</v>
      </c>
      <c r="L35" s="32">
        <f t="shared" si="4"/>
        <v>0.46444756489686617</v>
      </c>
      <c r="M35" s="32">
        <f t="shared" si="4"/>
        <v>0.57043671282738384</v>
      </c>
      <c r="N35" s="32">
        <f t="shared" si="4"/>
        <v>0.66935991756253377</v>
      </c>
      <c r="O35" s="32">
        <f t="shared" si="4"/>
        <v>0.75591772170578986</v>
      </c>
      <c r="P35" s="32">
        <f t="shared" si="4"/>
        <v>0.82720061923553012</v>
      </c>
      <c r="Q35" s="32">
        <f t="shared" si="4"/>
        <v>0.88264287286977261</v>
      </c>
      <c r="R35" s="32">
        <f t="shared" si="4"/>
        <v>0.92349505975816193</v>
      </c>
      <c r="S35" s="32">
        <f t="shared" si="4"/>
        <v>0.95209159058003434</v>
      </c>
      <c r="T35" s="32">
        <f t="shared" si="4"/>
        <v>0.97115594446128262</v>
      </c>
      <c r="U35" s="32">
        <f t="shared" si="4"/>
        <v>0.98328780602207699</v>
      </c>
      <c r="V35" s="32">
        <f t="shared" si="4"/>
        <v>0.99067241740690848</v>
      </c>
      <c r="W35" s="32">
        <f t="shared" si="4"/>
        <v>0.99498010738139331</v>
      </c>
      <c r="X35" s="32"/>
    </row>
    <row r="36" spans="1:24">
      <c r="A36" t="str">
        <f>MLIST!A29</f>
        <v>HVAC</v>
      </c>
      <c r="B36" t="str">
        <f>MLIST!D29</f>
        <v>Advanced Rooftop Controller-Retro</v>
      </c>
      <c r="C36" s="407" t="s">
        <v>865</v>
      </c>
      <c r="D36" s="32">
        <f t="shared" si="1"/>
        <v>5.5320496977002724E-3</v>
      </c>
      <c r="E36" s="32">
        <f t="shared" si="4"/>
        <v>8.6958686465615706E-3</v>
      </c>
      <c r="F36" s="32">
        <f t="shared" si="4"/>
        <v>1.7391737293123145E-2</v>
      </c>
      <c r="G36" s="32">
        <f t="shared" si="4"/>
        <v>3.0435540262965514E-2</v>
      </c>
      <c r="H36" s="32">
        <f t="shared" si="4"/>
        <v>4.7344173742390784E-2</v>
      </c>
      <c r="I36" s="32">
        <f t="shared" si="4"/>
        <v>6.6281843239347063E-2</v>
      </c>
      <c r="J36" s="32">
        <f t="shared" si="4"/>
        <v>8.4358709577350838E-2</v>
      </c>
      <c r="K36" s="32">
        <f t="shared" si="4"/>
        <v>9.8418494506909315E-2</v>
      </c>
      <c r="L36" s="32">
        <f t="shared" si="4"/>
        <v>0.10598914793051767</v>
      </c>
      <c r="M36" s="32">
        <f t="shared" si="4"/>
        <v>0.10598914793051767</v>
      </c>
      <c r="N36" s="32">
        <f t="shared" si="4"/>
        <v>9.8923204735149928E-2</v>
      </c>
      <c r="O36" s="32">
        <f t="shared" si="4"/>
        <v>8.655780414325609E-2</v>
      </c>
      <c r="P36" s="32">
        <f t="shared" si="4"/>
        <v>7.1282897529740263E-2</v>
      </c>
      <c r="Q36" s="32">
        <f t="shared" si="4"/>
        <v>5.5442253634242489E-2</v>
      </c>
      <c r="R36" s="32">
        <f t="shared" si="4"/>
        <v>4.0852186888389319E-2</v>
      </c>
      <c r="S36" s="32">
        <f t="shared" si="4"/>
        <v>2.8596530821872412E-2</v>
      </c>
      <c r="T36" s="32">
        <f t="shared" si="4"/>
        <v>1.9064353881248275E-2</v>
      </c>
      <c r="U36" s="32">
        <f t="shared" si="4"/>
        <v>1.2131861560794377E-2</v>
      </c>
      <c r="V36" s="32">
        <f t="shared" si="4"/>
        <v>7.3846113848314854E-3</v>
      </c>
      <c r="W36" s="32">
        <f t="shared" si="4"/>
        <v>4.3076899744848296E-3</v>
      </c>
      <c r="X36" s="32"/>
    </row>
    <row r="37" spans="1:24">
      <c r="A37" t="str">
        <f>MLIST!A30</f>
        <v>HVAC</v>
      </c>
      <c r="B37" t="str">
        <f>MLIST!D30</f>
        <v>Variable Speed Chiller-New</v>
      </c>
      <c r="C37" s="221" t="s">
        <v>824</v>
      </c>
      <c r="D37" s="32">
        <f t="shared" si="1"/>
        <v>0.45</v>
      </c>
      <c r="E37" s="32">
        <f t="shared" si="4"/>
        <v>0.66</v>
      </c>
      <c r="F37" s="32">
        <f t="shared" si="4"/>
        <v>0.8</v>
      </c>
      <c r="G37" s="32">
        <f t="shared" si="4"/>
        <v>0.89</v>
      </c>
      <c r="H37" s="32">
        <f t="shared" si="4"/>
        <v>0.94954036260972652</v>
      </c>
      <c r="I37" s="32">
        <f t="shared" si="4"/>
        <v>0.97931054391458994</v>
      </c>
      <c r="J37" s="32">
        <f t="shared" si="4"/>
        <v>0.99254173560564019</v>
      </c>
      <c r="K37" s="32">
        <f t="shared" si="4"/>
        <v>0.99783421228206048</v>
      </c>
      <c r="L37" s="32">
        <f t="shared" si="4"/>
        <v>0.99975874925530417</v>
      </c>
      <c r="M37" s="32">
        <f t="shared" si="4"/>
        <v>1.0004002615797187</v>
      </c>
      <c r="N37" s="32">
        <f t="shared" si="4"/>
        <v>1.0005976499872309</v>
      </c>
      <c r="O37" s="32">
        <f t="shared" si="4"/>
        <v>1.0006540466750915</v>
      </c>
      <c r="P37" s="32">
        <f t="shared" si="4"/>
        <v>1.0006690857918545</v>
      </c>
      <c r="Q37" s="32">
        <f t="shared" si="4"/>
        <v>1.000672845571045</v>
      </c>
      <c r="R37" s="32">
        <f t="shared" si="4"/>
        <v>1.0006737302249724</v>
      </c>
      <c r="S37" s="32">
        <f t="shared" si="4"/>
        <v>1.0006739268147338</v>
      </c>
      <c r="T37" s="32">
        <f t="shared" si="4"/>
        <v>1.0006739682020522</v>
      </c>
      <c r="U37" s="32">
        <f t="shared" si="4"/>
        <v>1.0006739764795158</v>
      </c>
      <c r="V37" s="32">
        <f t="shared" si="4"/>
        <v>1.0006739780561755</v>
      </c>
      <c r="W37" s="32">
        <f t="shared" si="4"/>
        <v>1.0006739783428409</v>
      </c>
      <c r="X37" s="32"/>
    </row>
    <row r="38" spans="1:24">
      <c r="A38" t="str">
        <f>MLIST!A31</f>
        <v>HVAC</v>
      </c>
      <c r="B38" t="str">
        <f>MLIST!D31</f>
        <v>Variable Speed Chiller-NR</v>
      </c>
      <c r="C38" s="221" t="s">
        <v>824</v>
      </c>
      <c r="D38" s="32">
        <f t="shared" si="1"/>
        <v>0.45</v>
      </c>
      <c r="E38" s="32">
        <f t="shared" si="4"/>
        <v>0.66</v>
      </c>
      <c r="F38" s="32">
        <f t="shared" si="4"/>
        <v>0.8</v>
      </c>
      <c r="G38" s="32">
        <f t="shared" si="4"/>
        <v>0.89</v>
      </c>
      <c r="H38" s="32">
        <f t="shared" si="4"/>
        <v>0.94954036260972652</v>
      </c>
      <c r="I38" s="32">
        <f t="shared" si="4"/>
        <v>0.97931054391458994</v>
      </c>
      <c r="J38" s="32">
        <f t="shared" si="4"/>
        <v>0.99254173560564019</v>
      </c>
      <c r="K38" s="32">
        <f t="shared" si="4"/>
        <v>0.99783421228206048</v>
      </c>
      <c r="L38" s="32">
        <f t="shared" si="4"/>
        <v>0.99975874925530417</v>
      </c>
      <c r="M38" s="32">
        <f t="shared" si="4"/>
        <v>1.0004002615797187</v>
      </c>
      <c r="N38" s="32">
        <f t="shared" si="4"/>
        <v>1.0005976499872309</v>
      </c>
      <c r="O38" s="32">
        <f t="shared" si="4"/>
        <v>1.0006540466750915</v>
      </c>
      <c r="P38" s="32">
        <f t="shared" si="4"/>
        <v>1.0006690857918545</v>
      </c>
      <c r="Q38" s="32">
        <f t="shared" si="4"/>
        <v>1.000672845571045</v>
      </c>
      <c r="R38" s="32">
        <f t="shared" si="4"/>
        <v>1.0006737302249724</v>
      </c>
      <c r="S38" s="32">
        <f t="shared" si="4"/>
        <v>1.0006739268147338</v>
      </c>
      <c r="T38" s="32">
        <f t="shared" si="4"/>
        <v>1.0006739682020522</v>
      </c>
      <c r="U38" s="32">
        <f t="shared" si="4"/>
        <v>1.0006739764795158</v>
      </c>
      <c r="V38" s="32">
        <f t="shared" si="4"/>
        <v>1.0006739780561755</v>
      </c>
      <c r="W38" s="32">
        <f t="shared" si="4"/>
        <v>1.0006739783428409</v>
      </c>
      <c r="X38" s="32"/>
    </row>
    <row r="39" spans="1:24">
      <c r="A39" t="str">
        <f>MLIST!A32</f>
        <v>HVAC</v>
      </c>
      <c r="B39" t="str">
        <f>MLIST!D32</f>
        <v>Commercial EM-New</v>
      </c>
      <c r="C39" s="407" t="s">
        <v>870</v>
      </c>
      <c r="D39" s="32">
        <f t="shared" si="1"/>
        <v>2.5643970768378654E-3</v>
      </c>
      <c r="E39" s="32">
        <f t="shared" si="4"/>
        <v>7.6904586297764643E-3</v>
      </c>
      <c r="F39" s="32">
        <f t="shared" si="4"/>
        <v>1.6792013047419844E-2</v>
      </c>
      <c r="G39" s="32">
        <f t="shared" si="4"/>
        <v>3.15969387774655E-2</v>
      </c>
      <c r="H39" s="32">
        <f t="shared" si="4"/>
        <v>5.406874819795171E-2</v>
      </c>
      <c r="I39" s="32">
        <f t="shared" si="4"/>
        <v>8.6253181011834101E-2</v>
      </c>
      <c r="J39" s="32">
        <f t="shared" si="4"/>
        <v>0.1300328481838382</v>
      </c>
      <c r="K39" s="32">
        <f t="shared" si="4"/>
        <v>0.18678710893858319</v>
      </c>
      <c r="L39" s="32">
        <f t="shared" si="4"/>
        <v>0.2569823480072907</v>
      </c>
      <c r="M39" s="32">
        <f t="shared" si="4"/>
        <v>0.33975920985004748</v>
      </c>
      <c r="N39" s="32">
        <f t="shared" si="4"/>
        <v>0.43262946935754232</v>
      </c>
      <c r="O39" s="32">
        <f t="shared" si="4"/>
        <v>0.53142594003645804</v>
      </c>
      <c r="P39" s="32">
        <f t="shared" si="4"/>
        <v>0.63063487292644704</v>
      </c>
      <c r="Q39" s="32">
        <f t="shared" si="4"/>
        <v>0.7241560234206913</v>
      </c>
      <c r="R39" s="32">
        <f t="shared" si="4"/>
        <v>0.80638203131755359</v>
      </c>
      <c r="S39" s="32">
        <f t="shared" si="4"/>
        <v>0.87331559734491926</v>
      </c>
      <c r="T39" s="32">
        <f t="shared" si="4"/>
        <v>0.92334516248836807</v>
      </c>
      <c r="U39" s="32">
        <f t="shared" si="4"/>
        <v>0.95737002770730018</v>
      </c>
      <c r="V39" s="32">
        <f t="shared" si="4"/>
        <v>0.97821608704807483</v>
      </c>
      <c r="W39" s="32">
        <f t="shared" si="4"/>
        <v>0.98821608704807484</v>
      </c>
      <c r="X39" s="32"/>
    </row>
    <row r="40" spans="1:24">
      <c r="A40" t="str">
        <f>MLIST!A33</f>
        <v>HVAC</v>
      </c>
      <c r="B40" t="str">
        <f>MLIST!D33</f>
        <v>Commercial EM-NR</v>
      </c>
      <c r="C40" s="221" t="s">
        <v>825</v>
      </c>
      <c r="D40" s="32">
        <f t="shared" si="1"/>
        <v>0.10937459468255628</v>
      </c>
      <c r="E40" s="32">
        <f t="shared" si="4"/>
        <v>0.21874918936511256</v>
      </c>
      <c r="F40" s="32">
        <f t="shared" si="4"/>
        <v>0.32812378404766884</v>
      </c>
      <c r="G40" s="32">
        <f t="shared" si="4"/>
        <v>0.43749837873022512</v>
      </c>
      <c r="H40" s="32">
        <f t="shared" si="4"/>
        <v>0.5468729734127814</v>
      </c>
      <c r="I40" s="32">
        <f t="shared" si="4"/>
        <v>0.64531010862708205</v>
      </c>
      <c r="J40" s="32">
        <f t="shared" si="4"/>
        <v>0.7240598167985226</v>
      </c>
      <c r="K40" s="32">
        <f t="shared" si="4"/>
        <v>0.78705958333567505</v>
      </c>
      <c r="L40" s="32">
        <f t="shared" si="4"/>
        <v>0.83745939656539703</v>
      </c>
      <c r="M40" s="32">
        <f t="shared" si="4"/>
        <v>0.87777924714917455</v>
      </c>
      <c r="N40" s="32">
        <f t="shared" si="4"/>
        <v>0.91003512761619654</v>
      </c>
      <c r="O40" s="32">
        <f t="shared" si="4"/>
        <v>0.93583983198981413</v>
      </c>
      <c r="P40" s="32">
        <f t="shared" si="4"/>
        <v>0.9564835954887082</v>
      </c>
      <c r="Q40" s="32">
        <f t="shared" si="4"/>
        <v>0.97299860628782353</v>
      </c>
      <c r="R40" s="32">
        <f t="shared" si="4"/>
        <v>0.9862106149271157</v>
      </c>
      <c r="S40" s="32">
        <f t="shared" si="4"/>
        <v>0.99678022183854953</v>
      </c>
      <c r="T40" s="32">
        <f t="shared" si="4"/>
        <v>0.99685231466234414</v>
      </c>
      <c r="U40" s="32">
        <f t="shared" si="4"/>
        <v>0.99687806209941365</v>
      </c>
      <c r="V40" s="32">
        <f t="shared" si="4"/>
        <v>0.99688683963477831</v>
      </c>
      <c r="W40" s="32">
        <f t="shared" si="4"/>
        <v>0.99688970187457115</v>
      </c>
      <c r="X40" s="32"/>
    </row>
    <row r="41" spans="1:24">
      <c r="A41" t="str">
        <f>MLIST!A34</f>
        <v>HVAC</v>
      </c>
      <c r="B41" t="str">
        <f>MLIST!D34</f>
        <v>Commercial EM-Retro</v>
      </c>
      <c r="C41" s="407" t="s">
        <v>830</v>
      </c>
      <c r="D41" s="32">
        <f t="shared" si="1"/>
        <v>0.10937459468255628</v>
      </c>
      <c r="E41" s="32">
        <f t="shared" si="4"/>
        <v>0.10937459468255628</v>
      </c>
      <c r="F41" s="32">
        <f t="shared" si="4"/>
        <v>0.10937459468255628</v>
      </c>
      <c r="G41" s="32">
        <f t="shared" si="4"/>
        <v>0.10937459468255628</v>
      </c>
      <c r="H41" s="32">
        <f t="shared" si="4"/>
        <v>0.10937459468255628</v>
      </c>
      <c r="I41" s="32">
        <f t="shared" si="4"/>
        <v>9.8437135214300656E-2</v>
      </c>
      <c r="J41" s="32">
        <f t="shared" si="4"/>
        <v>7.874970817144053E-2</v>
      </c>
      <c r="K41" s="32">
        <f t="shared" si="4"/>
        <v>6.2999766537152418E-2</v>
      </c>
      <c r="L41" s="32">
        <f t="shared" si="4"/>
        <v>5.0399813229721938E-2</v>
      </c>
      <c r="M41" s="32">
        <f t="shared" si="4"/>
        <v>4.0319850583777551E-2</v>
      </c>
      <c r="N41" s="32">
        <f t="shared" si="4"/>
        <v>3.225588046702204E-2</v>
      </c>
      <c r="O41" s="32">
        <f t="shared" si="4"/>
        <v>2.5804704373617631E-2</v>
      </c>
      <c r="P41" s="32">
        <f t="shared" si="4"/>
        <v>2.0643763498894106E-2</v>
      </c>
      <c r="Q41" s="32">
        <f t="shared" si="4"/>
        <v>1.6515010799115284E-2</v>
      </c>
      <c r="R41" s="32">
        <f t="shared" si="4"/>
        <v>1.3212008639292228E-2</v>
      </c>
      <c r="S41" s="32">
        <f t="shared" si="4"/>
        <v>1.0569606911433781E-2</v>
      </c>
      <c r="T41" s="32">
        <f t="shared" si="4"/>
        <v>7.2092823794611682E-5</v>
      </c>
      <c r="U41" s="32">
        <f t="shared" si="4"/>
        <v>2.5747437069512102E-5</v>
      </c>
      <c r="V41" s="32">
        <f t="shared" si="4"/>
        <v>8.7775353646568632E-6</v>
      </c>
      <c r="W41" s="32">
        <f t="shared" si="4"/>
        <v>2.8622397928446119E-6</v>
      </c>
      <c r="X41" s="32"/>
    </row>
    <row r="42" spans="1:24">
      <c r="A42" s="415" t="str">
        <f>MLIST!A35</f>
        <v>HVAC</v>
      </c>
      <c r="B42" s="415" t="str">
        <f>MLIST!D35</f>
        <v>Evaporative Assist Cooling-New</v>
      </c>
      <c r="C42" s="425" t="s">
        <v>870</v>
      </c>
      <c r="D42" s="32">
        <f t="shared" si="1"/>
        <v>2.5643970768378654E-3</v>
      </c>
      <c r="E42" s="32">
        <f t="shared" si="4"/>
        <v>7.6904586297764643E-3</v>
      </c>
      <c r="F42" s="32">
        <f t="shared" si="4"/>
        <v>1.6792013047419844E-2</v>
      </c>
      <c r="G42" s="32">
        <f t="shared" si="4"/>
        <v>3.15969387774655E-2</v>
      </c>
      <c r="H42" s="32">
        <f t="shared" si="4"/>
        <v>5.406874819795171E-2</v>
      </c>
      <c r="I42" s="32">
        <f t="shared" si="4"/>
        <v>8.6253181011834101E-2</v>
      </c>
      <c r="J42" s="32">
        <f t="shared" si="4"/>
        <v>0.1300328481838382</v>
      </c>
      <c r="K42" s="32">
        <f t="shared" si="4"/>
        <v>0.18678710893858319</v>
      </c>
      <c r="L42" s="32">
        <f t="shared" si="4"/>
        <v>0.2569823480072907</v>
      </c>
      <c r="M42" s="32">
        <f t="shared" si="4"/>
        <v>0.33975920985004748</v>
      </c>
      <c r="N42" s="32">
        <f t="shared" si="4"/>
        <v>0.43262946935754232</v>
      </c>
      <c r="O42" s="32">
        <f t="shared" si="4"/>
        <v>0.53142594003645804</v>
      </c>
      <c r="P42" s="32">
        <f t="shared" si="4"/>
        <v>0.63063487292644704</v>
      </c>
      <c r="Q42" s="32">
        <f t="shared" si="4"/>
        <v>0.7241560234206913</v>
      </c>
      <c r="R42" s="32">
        <f t="shared" si="4"/>
        <v>0.80638203131755359</v>
      </c>
      <c r="S42" s="32">
        <f t="shared" si="4"/>
        <v>0.87331559734491926</v>
      </c>
      <c r="T42" s="32">
        <f t="shared" si="4"/>
        <v>0.92334516248836807</v>
      </c>
      <c r="U42" s="32">
        <f t="shared" si="4"/>
        <v>0.95737002770730018</v>
      </c>
      <c r="V42" s="32">
        <f t="shared" si="4"/>
        <v>0.97821608704807483</v>
      </c>
      <c r="W42" s="32">
        <f t="shared" si="4"/>
        <v>0.98821608704807484</v>
      </c>
      <c r="X42" s="32"/>
    </row>
    <row r="43" spans="1:24">
      <c r="A43" s="415" t="str">
        <f>MLIST!A36</f>
        <v>HVAC</v>
      </c>
      <c r="B43" s="415" t="str">
        <f>MLIST!D36</f>
        <v>Evaporative Assist Cooling-NR</v>
      </c>
      <c r="C43" s="425" t="s">
        <v>870</v>
      </c>
      <c r="D43" s="32">
        <f t="shared" si="1"/>
        <v>2.5643970768378654E-3</v>
      </c>
      <c r="E43" s="32">
        <f t="shared" si="4"/>
        <v>7.6904586297764643E-3</v>
      </c>
      <c r="F43" s="32">
        <f t="shared" si="4"/>
        <v>1.6792013047419844E-2</v>
      </c>
      <c r="G43" s="32">
        <f t="shared" si="4"/>
        <v>3.15969387774655E-2</v>
      </c>
      <c r="H43" s="32">
        <f t="shared" si="4"/>
        <v>5.406874819795171E-2</v>
      </c>
      <c r="I43" s="32">
        <f t="shared" si="4"/>
        <v>8.6253181011834101E-2</v>
      </c>
      <c r="J43" s="32">
        <f t="shared" si="4"/>
        <v>0.1300328481838382</v>
      </c>
      <c r="K43" s="32">
        <f t="shared" si="4"/>
        <v>0.18678710893858319</v>
      </c>
      <c r="L43" s="32">
        <f t="shared" si="4"/>
        <v>0.2569823480072907</v>
      </c>
      <c r="M43" s="32">
        <f t="shared" si="4"/>
        <v>0.33975920985004748</v>
      </c>
      <c r="N43" s="32">
        <f t="shared" si="4"/>
        <v>0.43262946935754232</v>
      </c>
      <c r="O43" s="32">
        <f t="shared" si="4"/>
        <v>0.53142594003645804</v>
      </c>
      <c r="P43" s="32">
        <f t="shared" si="4"/>
        <v>0.63063487292644704</v>
      </c>
      <c r="Q43" s="32">
        <f t="shared" si="4"/>
        <v>0.7241560234206913</v>
      </c>
      <c r="R43" s="32">
        <f t="shared" si="4"/>
        <v>0.80638203131755359</v>
      </c>
      <c r="S43" s="32">
        <f t="shared" si="4"/>
        <v>0.87331559734491926</v>
      </c>
      <c r="T43" s="32">
        <f t="shared" si="4"/>
        <v>0.92334516248836807</v>
      </c>
      <c r="U43" s="32">
        <f t="shared" si="4"/>
        <v>0.95737002770730018</v>
      </c>
      <c r="V43" s="32">
        <f t="shared" si="4"/>
        <v>0.97821608704807483</v>
      </c>
      <c r="W43" s="32">
        <f t="shared" si="4"/>
        <v>0.98821608704807484</v>
      </c>
      <c r="X43" s="32"/>
    </row>
    <row r="44" spans="1:24">
      <c r="A44" t="str">
        <f>MLIST!A37</f>
        <v>HVAC</v>
      </c>
      <c r="B44" t="str">
        <f>MLIST!D37</f>
        <v>Economizer-Retro</v>
      </c>
      <c r="C44" s="407" t="s">
        <v>830</v>
      </c>
      <c r="D44" s="32">
        <f t="shared" si="1"/>
        <v>0.10937459468255628</v>
      </c>
      <c r="E44" s="32">
        <f t="shared" si="4"/>
        <v>0.10937459468255628</v>
      </c>
      <c r="F44" s="32">
        <f t="shared" si="4"/>
        <v>0.10937459468255628</v>
      </c>
      <c r="G44" s="32">
        <f t="shared" si="4"/>
        <v>0.10937459468255628</v>
      </c>
      <c r="H44" s="32">
        <f t="shared" si="4"/>
        <v>0.10937459468255628</v>
      </c>
      <c r="I44" s="32">
        <f t="shared" si="4"/>
        <v>9.8437135214300656E-2</v>
      </c>
      <c r="J44" s="32">
        <f t="shared" si="4"/>
        <v>7.874970817144053E-2</v>
      </c>
      <c r="K44" s="32">
        <f t="shared" si="4"/>
        <v>6.2999766537152418E-2</v>
      </c>
      <c r="L44" s="32">
        <f t="shared" si="4"/>
        <v>5.0399813229721938E-2</v>
      </c>
      <c r="M44" s="32">
        <f t="shared" si="4"/>
        <v>4.0319850583777551E-2</v>
      </c>
      <c r="N44" s="32">
        <f t="shared" si="4"/>
        <v>3.225588046702204E-2</v>
      </c>
      <c r="O44" s="32">
        <f t="shared" si="4"/>
        <v>2.5804704373617631E-2</v>
      </c>
      <c r="P44" s="32">
        <f t="shared" si="4"/>
        <v>2.0643763498894106E-2</v>
      </c>
      <c r="Q44" s="32">
        <f t="shared" si="4"/>
        <v>1.6515010799115284E-2</v>
      </c>
      <c r="R44" s="32">
        <f t="shared" si="4"/>
        <v>1.3212008639292228E-2</v>
      </c>
      <c r="S44" s="32">
        <f t="shared" si="4"/>
        <v>1.0569606911433781E-2</v>
      </c>
      <c r="T44" s="32">
        <f t="shared" si="4"/>
        <v>7.2092823794611682E-5</v>
      </c>
      <c r="U44" s="32">
        <f t="shared" si="4"/>
        <v>2.5747437069512102E-5</v>
      </c>
      <c r="V44" s="32">
        <f t="shared" si="4"/>
        <v>8.7775353646568632E-6</v>
      </c>
      <c r="W44" s="32">
        <f t="shared" si="4"/>
        <v>2.8622397928446119E-6</v>
      </c>
      <c r="X44" s="32"/>
    </row>
    <row r="45" spans="1:24">
      <c r="A45" t="str">
        <f>MLIST!A38</f>
        <v>HVAC</v>
      </c>
      <c r="B45" t="str">
        <f>MLIST!D38</f>
        <v>Demand Control Ventilation-New</v>
      </c>
      <c r="C45" s="407" t="s">
        <v>827</v>
      </c>
      <c r="D45" s="32">
        <f t="shared" si="1"/>
        <v>0.05</v>
      </c>
      <c r="E45" s="32">
        <f t="shared" si="4"/>
        <v>0.1</v>
      </c>
      <c r="F45" s="32">
        <f t="shared" si="4"/>
        <v>0.15000000000000002</v>
      </c>
      <c r="G45" s="32">
        <f t="shared" si="4"/>
        <v>0.2</v>
      </c>
      <c r="H45" s="32">
        <f t="shared" si="4"/>
        <v>0.25</v>
      </c>
      <c r="I45" s="32">
        <f t="shared" si="4"/>
        <v>0.3</v>
      </c>
      <c r="J45" s="32">
        <f t="shared" si="4"/>
        <v>0.35</v>
      </c>
      <c r="K45" s="32">
        <f t="shared" si="4"/>
        <v>0.39999999999999997</v>
      </c>
      <c r="L45" s="32">
        <f t="shared" si="4"/>
        <v>0.44999999999999996</v>
      </c>
      <c r="M45" s="32">
        <f t="shared" si="4"/>
        <v>0.49999999999999994</v>
      </c>
      <c r="N45" s="32">
        <f t="shared" si="4"/>
        <v>0.54999999999999993</v>
      </c>
      <c r="O45" s="32">
        <f t="shared" si="4"/>
        <v>0.6</v>
      </c>
      <c r="P45" s="32">
        <f t="shared" si="4"/>
        <v>0.65</v>
      </c>
      <c r="Q45" s="32">
        <f t="shared" si="4"/>
        <v>0.70000000000000007</v>
      </c>
      <c r="R45" s="32">
        <f t="shared" si="4"/>
        <v>0.75000000000000011</v>
      </c>
      <c r="S45" s="32">
        <f t="shared" si="4"/>
        <v>0.80000000000000016</v>
      </c>
      <c r="T45" s="32">
        <f t="shared" si="4"/>
        <v>0.8500000000000002</v>
      </c>
      <c r="U45" s="32">
        <f t="shared" si="4"/>
        <v>0.90000000000000024</v>
      </c>
      <c r="V45" s="32">
        <f t="shared" si="4"/>
        <v>0.95000000000000029</v>
      </c>
      <c r="W45" s="32">
        <f t="shared" si="4"/>
        <v>1.0000000000000002</v>
      </c>
      <c r="X45" s="32"/>
    </row>
    <row r="46" spans="1:24">
      <c r="A46" t="str">
        <f>MLIST!A39</f>
        <v>HVAC</v>
      </c>
      <c r="B46" t="str">
        <f>MLIST!D39</f>
        <v>Demand Control Ventilation-NR</v>
      </c>
      <c r="C46" s="407" t="s">
        <v>827</v>
      </c>
      <c r="D46" s="32">
        <f t="shared" si="1"/>
        <v>0.05</v>
      </c>
      <c r="E46" s="32">
        <f t="shared" si="4"/>
        <v>0.1</v>
      </c>
      <c r="F46" s="32">
        <f t="shared" si="4"/>
        <v>0.15000000000000002</v>
      </c>
      <c r="G46" s="32">
        <f t="shared" si="4"/>
        <v>0.2</v>
      </c>
      <c r="H46" s="32">
        <f t="shared" si="4"/>
        <v>0.25</v>
      </c>
      <c r="I46" s="32">
        <f t="shared" si="4"/>
        <v>0.3</v>
      </c>
      <c r="J46" s="32">
        <f t="shared" si="4"/>
        <v>0.35</v>
      </c>
      <c r="K46" s="32">
        <f t="shared" si="4"/>
        <v>0.39999999999999997</v>
      </c>
      <c r="L46" s="32">
        <f t="shared" si="4"/>
        <v>0.44999999999999996</v>
      </c>
      <c r="M46" s="32">
        <f t="shared" si="4"/>
        <v>0.49999999999999994</v>
      </c>
      <c r="N46" s="32">
        <f t="shared" si="4"/>
        <v>0.54999999999999993</v>
      </c>
      <c r="O46" s="32">
        <f t="shared" si="4"/>
        <v>0.6</v>
      </c>
      <c r="P46" s="32">
        <f t="shared" si="4"/>
        <v>0.65</v>
      </c>
      <c r="Q46" s="32">
        <f t="shared" ref="E46:W60" si="5">IF(ISBLANK($C46),"",VLOOKUP($C46,$C$1:$X$16,Q$18-$D$18+2,FALSE))</f>
        <v>0.70000000000000007</v>
      </c>
      <c r="R46" s="32">
        <f t="shared" si="5"/>
        <v>0.75000000000000011</v>
      </c>
      <c r="S46" s="32">
        <f t="shared" si="5"/>
        <v>0.80000000000000016</v>
      </c>
      <c r="T46" s="32">
        <f t="shared" si="5"/>
        <v>0.8500000000000002</v>
      </c>
      <c r="U46" s="32">
        <f t="shared" si="5"/>
        <v>0.90000000000000024</v>
      </c>
      <c r="V46" s="32">
        <f t="shared" si="5"/>
        <v>0.95000000000000029</v>
      </c>
      <c r="W46" s="32">
        <f t="shared" si="5"/>
        <v>1.0000000000000002</v>
      </c>
      <c r="X46" s="32"/>
    </row>
    <row r="47" spans="1:24">
      <c r="A47" t="str">
        <f>MLIST!A40</f>
        <v>HVAC</v>
      </c>
      <c r="B47" t="str">
        <f>MLIST!D40</f>
        <v>Demand Control Ventilation-Retro</v>
      </c>
      <c r="C47" s="218" t="s">
        <v>830</v>
      </c>
      <c r="D47" s="32">
        <f t="shared" si="1"/>
        <v>0.10937459468255628</v>
      </c>
      <c r="E47" s="32">
        <f t="shared" si="5"/>
        <v>0.10937459468255628</v>
      </c>
      <c r="F47" s="32">
        <f t="shared" si="5"/>
        <v>0.10937459468255628</v>
      </c>
      <c r="G47" s="32">
        <f t="shared" si="5"/>
        <v>0.10937459468255628</v>
      </c>
      <c r="H47" s="32">
        <f t="shared" si="5"/>
        <v>0.10937459468255628</v>
      </c>
      <c r="I47" s="32">
        <f t="shared" si="5"/>
        <v>9.8437135214300656E-2</v>
      </c>
      <c r="J47" s="32">
        <f t="shared" si="5"/>
        <v>7.874970817144053E-2</v>
      </c>
      <c r="K47" s="32">
        <f t="shared" si="5"/>
        <v>6.2999766537152418E-2</v>
      </c>
      <c r="L47" s="32">
        <f t="shared" si="5"/>
        <v>5.0399813229721938E-2</v>
      </c>
      <c r="M47" s="32">
        <f t="shared" si="5"/>
        <v>4.0319850583777551E-2</v>
      </c>
      <c r="N47" s="32">
        <f t="shared" si="5"/>
        <v>3.225588046702204E-2</v>
      </c>
      <c r="O47" s="32">
        <f t="shared" si="5"/>
        <v>2.5804704373617631E-2</v>
      </c>
      <c r="P47" s="32">
        <f t="shared" si="5"/>
        <v>2.0643763498894106E-2</v>
      </c>
      <c r="Q47" s="32">
        <f t="shared" si="5"/>
        <v>1.6515010799115284E-2</v>
      </c>
      <c r="R47" s="32">
        <f t="shared" si="5"/>
        <v>1.3212008639292228E-2</v>
      </c>
      <c r="S47" s="32">
        <f t="shared" si="5"/>
        <v>1.0569606911433781E-2</v>
      </c>
      <c r="T47" s="32">
        <f t="shared" si="5"/>
        <v>7.2092823794611682E-5</v>
      </c>
      <c r="U47" s="32">
        <f t="shared" si="5"/>
        <v>2.5747437069512102E-5</v>
      </c>
      <c r="V47" s="32">
        <f t="shared" si="5"/>
        <v>8.7775353646568632E-6</v>
      </c>
      <c r="W47" s="32">
        <f t="shared" si="5"/>
        <v>2.8622397928446119E-6</v>
      </c>
      <c r="X47" s="32"/>
    </row>
    <row r="48" spans="1:24">
      <c r="A48" t="str">
        <f>MLIST!A41</f>
        <v>HVAC</v>
      </c>
      <c r="B48" t="str">
        <f>MLIST!D41</f>
        <v>Premium Fume Hood-NR</v>
      </c>
      <c r="C48" s="221" t="s">
        <v>827</v>
      </c>
      <c r="D48" s="32">
        <f t="shared" si="1"/>
        <v>0.05</v>
      </c>
      <c r="E48" s="32">
        <f t="shared" si="5"/>
        <v>0.1</v>
      </c>
      <c r="F48" s="32">
        <f t="shared" si="5"/>
        <v>0.15000000000000002</v>
      </c>
      <c r="G48" s="32">
        <f t="shared" si="5"/>
        <v>0.2</v>
      </c>
      <c r="H48" s="32">
        <f t="shared" si="5"/>
        <v>0.25</v>
      </c>
      <c r="I48" s="32">
        <f t="shared" si="5"/>
        <v>0.3</v>
      </c>
      <c r="J48" s="32">
        <f t="shared" si="5"/>
        <v>0.35</v>
      </c>
      <c r="K48" s="32">
        <f t="shared" si="5"/>
        <v>0.39999999999999997</v>
      </c>
      <c r="L48" s="32">
        <f t="shared" si="5"/>
        <v>0.44999999999999996</v>
      </c>
      <c r="M48" s="32">
        <f t="shared" si="5"/>
        <v>0.49999999999999994</v>
      </c>
      <c r="N48" s="32">
        <f t="shared" si="5"/>
        <v>0.54999999999999993</v>
      </c>
      <c r="O48" s="32">
        <f t="shared" si="5"/>
        <v>0.6</v>
      </c>
      <c r="P48" s="32">
        <f t="shared" si="5"/>
        <v>0.65</v>
      </c>
      <c r="Q48" s="32">
        <f t="shared" si="5"/>
        <v>0.70000000000000007</v>
      </c>
      <c r="R48" s="32">
        <f t="shared" si="5"/>
        <v>0.75000000000000011</v>
      </c>
      <c r="S48" s="32">
        <f t="shared" si="5"/>
        <v>0.80000000000000016</v>
      </c>
      <c r="T48" s="32">
        <f t="shared" si="5"/>
        <v>0.8500000000000002</v>
      </c>
      <c r="U48" s="32">
        <f t="shared" si="5"/>
        <v>0.90000000000000024</v>
      </c>
      <c r="V48" s="32">
        <f t="shared" si="5"/>
        <v>0.95000000000000029</v>
      </c>
      <c r="W48" s="32">
        <f t="shared" si="5"/>
        <v>1.0000000000000002</v>
      </c>
      <c r="X48" s="32"/>
    </row>
    <row r="49" spans="1:24">
      <c r="A49" t="str">
        <f>MLIST!A42</f>
        <v>HVAC</v>
      </c>
      <c r="B49" t="str">
        <f>MLIST!D42</f>
        <v>DCV Restaurant Hood-Retro</v>
      </c>
      <c r="C49" s="221" t="s">
        <v>831</v>
      </c>
      <c r="D49" s="32">
        <f t="shared" si="1"/>
        <v>0.22119921692859512</v>
      </c>
      <c r="E49" s="32">
        <f t="shared" si="5"/>
        <v>0.15504311102289431</v>
      </c>
      <c r="F49" s="32">
        <f t="shared" si="5"/>
        <v>0.10733128557729499</v>
      </c>
      <c r="G49" s="32">
        <f t="shared" si="5"/>
        <v>8.3589689255657879E-2</v>
      </c>
      <c r="H49" s="32">
        <f t="shared" si="5"/>
        <v>7.3237179880126971E-2</v>
      </c>
      <c r="I49" s="32">
        <f t="shared" si="5"/>
        <v>6.3374636711760357E-2</v>
      </c>
      <c r="J49" s="32">
        <f t="shared" si="5"/>
        <v>5.4291838367783084E-2</v>
      </c>
      <c r="K49" s="32">
        <f t="shared" si="5"/>
        <v>4.612639225659896E-2</v>
      </c>
      <c r="L49" s="32">
        <f t="shared" si="5"/>
        <v>3.8916876277172864E-2</v>
      </c>
      <c r="M49" s="32">
        <f t="shared" si="5"/>
        <v>3.2639916313151704E-2</v>
      </c>
      <c r="N49" s="32">
        <f t="shared" si="5"/>
        <v>2.7235706125786907E-2</v>
      </c>
      <c r="O49" s="32">
        <f t="shared" si="5"/>
        <v>2.1211189258265428E-2</v>
      </c>
      <c r="P49" s="32">
        <f t="shared" si="5"/>
        <v>1.6519290804212883E-2</v>
      </c>
      <c r="Q49" s="32">
        <f t="shared" si="5"/>
        <v>1.2865236614105324E-2</v>
      </c>
      <c r="R49" s="32">
        <f t="shared" si="5"/>
        <v>1.0019456349464106E-2</v>
      </c>
      <c r="S49" s="32">
        <f t="shared" si="5"/>
        <v>7.8031604509122832E-3</v>
      </c>
      <c r="T49" s="32">
        <f t="shared" si="5"/>
        <v>6.077107469602494E-3</v>
      </c>
      <c r="U49" s="32">
        <f t="shared" si="5"/>
        <v>4.7328560561354371E-3</v>
      </c>
      <c r="V49" s="32">
        <f t="shared" si="5"/>
        <v>3.6859520026825132E-3</v>
      </c>
      <c r="W49" s="32">
        <f t="shared" si="5"/>
        <v>2.8706223060526725E-3</v>
      </c>
      <c r="X49" s="32"/>
    </row>
    <row r="50" spans="1:24">
      <c r="A50" t="str">
        <f>MLIST!A43</f>
        <v>HVAC</v>
      </c>
      <c r="B50" t="str">
        <f>MLIST!D43</f>
        <v>DCV Parking Garage-Retro</v>
      </c>
      <c r="C50" s="221" t="s">
        <v>830</v>
      </c>
      <c r="D50" s="32">
        <f t="shared" si="1"/>
        <v>0.10937459468255628</v>
      </c>
      <c r="E50" s="32">
        <f t="shared" si="5"/>
        <v>0.10937459468255628</v>
      </c>
      <c r="F50" s="32">
        <f t="shared" si="5"/>
        <v>0.10937459468255628</v>
      </c>
      <c r="G50" s="32">
        <f t="shared" si="5"/>
        <v>0.10937459468255628</v>
      </c>
      <c r="H50" s="32">
        <f t="shared" si="5"/>
        <v>0.10937459468255628</v>
      </c>
      <c r="I50" s="32">
        <f t="shared" si="5"/>
        <v>9.8437135214300656E-2</v>
      </c>
      <c r="J50" s="32">
        <f t="shared" si="5"/>
        <v>7.874970817144053E-2</v>
      </c>
      <c r="K50" s="32">
        <f t="shared" si="5"/>
        <v>6.2999766537152418E-2</v>
      </c>
      <c r="L50" s="32">
        <f t="shared" si="5"/>
        <v>5.0399813229721938E-2</v>
      </c>
      <c r="M50" s="32">
        <f t="shared" si="5"/>
        <v>4.0319850583777551E-2</v>
      </c>
      <c r="N50" s="32">
        <f t="shared" si="5"/>
        <v>3.225588046702204E-2</v>
      </c>
      <c r="O50" s="32">
        <f t="shared" si="5"/>
        <v>2.5804704373617631E-2</v>
      </c>
      <c r="P50" s="32">
        <f t="shared" si="5"/>
        <v>2.0643763498894106E-2</v>
      </c>
      <c r="Q50" s="32">
        <f t="shared" si="5"/>
        <v>1.6515010799115284E-2</v>
      </c>
      <c r="R50" s="32">
        <f t="shared" si="5"/>
        <v>1.3212008639292228E-2</v>
      </c>
      <c r="S50" s="32">
        <f t="shared" si="5"/>
        <v>1.0569606911433781E-2</v>
      </c>
      <c r="T50" s="32">
        <f t="shared" si="5"/>
        <v>7.2092823794611682E-5</v>
      </c>
      <c r="U50" s="32">
        <f t="shared" si="5"/>
        <v>2.5747437069512102E-5</v>
      </c>
      <c r="V50" s="32">
        <f t="shared" si="5"/>
        <v>8.7775353646568632E-6</v>
      </c>
      <c r="W50" s="32">
        <f t="shared" si="5"/>
        <v>2.8622397928446119E-6</v>
      </c>
      <c r="X50" s="32"/>
    </row>
    <row r="51" spans="1:24">
      <c r="A51" t="str">
        <f>MLIST!A44</f>
        <v>HVAC</v>
      </c>
      <c r="B51" t="str">
        <f>MLIST!D44</f>
        <v>Weatherization - School-Retro</v>
      </c>
      <c r="C51" t="s">
        <v>832</v>
      </c>
      <c r="D51" s="32">
        <f t="shared" ref="D51:D85" si="6">IF(ISBLANK($C51),"",VLOOKUP($C51,$C$1:$X$16,D$18-$D$18+2,FALSE))</f>
        <v>0.05</v>
      </c>
      <c r="E51" s="32">
        <f t="shared" si="5"/>
        <v>0.05</v>
      </c>
      <c r="F51" s="32">
        <f t="shared" si="5"/>
        <v>0.05</v>
      </c>
      <c r="G51" s="32">
        <f t="shared" si="5"/>
        <v>0.05</v>
      </c>
      <c r="H51" s="32">
        <f t="shared" si="5"/>
        <v>0.05</v>
      </c>
      <c r="I51" s="32">
        <f t="shared" si="5"/>
        <v>0.05</v>
      </c>
      <c r="J51" s="32">
        <f t="shared" si="5"/>
        <v>0.05</v>
      </c>
      <c r="K51" s="32">
        <f t="shared" si="5"/>
        <v>0.05</v>
      </c>
      <c r="L51" s="32">
        <f t="shared" si="5"/>
        <v>0.05</v>
      </c>
      <c r="M51" s="32">
        <f t="shared" si="5"/>
        <v>0.05</v>
      </c>
      <c r="N51" s="32">
        <f t="shared" si="5"/>
        <v>0.05</v>
      </c>
      <c r="O51" s="32">
        <f t="shared" si="5"/>
        <v>0.05</v>
      </c>
      <c r="P51" s="32">
        <f t="shared" si="5"/>
        <v>0.05</v>
      </c>
      <c r="Q51" s="32">
        <f t="shared" si="5"/>
        <v>0.05</v>
      </c>
      <c r="R51" s="32">
        <f t="shared" si="5"/>
        <v>0.05</v>
      </c>
      <c r="S51" s="32">
        <f t="shared" si="5"/>
        <v>0.05</v>
      </c>
      <c r="T51" s="32">
        <f t="shared" si="5"/>
        <v>0.05</v>
      </c>
      <c r="U51" s="32">
        <f t="shared" si="5"/>
        <v>0.05</v>
      </c>
      <c r="V51" s="32">
        <f t="shared" si="5"/>
        <v>0.05</v>
      </c>
      <c r="W51" s="32">
        <f t="shared" si="5"/>
        <v>0.05</v>
      </c>
      <c r="X51" s="32"/>
    </row>
    <row r="52" spans="1:24">
      <c r="A52" s="210" t="str">
        <f>MLIST!A45</f>
        <v>HVAC</v>
      </c>
      <c r="B52" s="210" t="str">
        <f>MLIST!D45</f>
        <v>Energy Recovery Ventilator-NR</v>
      </c>
      <c r="C52" s="408" t="s">
        <v>869</v>
      </c>
      <c r="D52" s="32">
        <f t="shared" si="6"/>
        <v>4.2999999999999997E-2</v>
      </c>
      <c r="E52" s="32">
        <f t="shared" si="5"/>
        <v>9.5797142280278316E-2</v>
      </c>
      <c r="F52" s="32">
        <f t="shared" si="5"/>
        <v>0.16040539374775648</v>
      </c>
      <c r="G52" s="32">
        <f t="shared" si="5"/>
        <v>0.23540539374775649</v>
      </c>
      <c r="H52" s="32">
        <f t="shared" si="5"/>
        <v>0.32095239121809005</v>
      </c>
      <c r="I52" s="32">
        <f t="shared" si="5"/>
        <v>0.42096711425629652</v>
      </c>
      <c r="J52" s="32">
        <f t="shared" si="5"/>
        <v>0.53068481860864725</v>
      </c>
      <c r="K52" s="32">
        <f t="shared" si="5"/>
        <v>0.642769203728351</v>
      </c>
      <c r="L52" s="32">
        <f t="shared" si="5"/>
        <v>0.74839528535557953</v>
      </c>
      <c r="M52" s="32">
        <f t="shared" si="5"/>
        <v>0.83918984935345187</v>
      </c>
      <c r="N52" s="32">
        <f t="shared" si="5"/>
        <v>0.90945051634530116</v>
      </c>
      <c r="O52" s="32">
        <f t="shared" si="5"/>
        <v>0.9576688767502457</v>
      </c>
      <c r="P52" s="32">
        <f t="shared" si="5"/>
        <v>0.9865231113648858</v>
      </c>
      <c r="Q52" s="32">
        <f t="shared" si="5"/>
        <v>1.0012970762896924</v>
      </c>
      <c r="R52" s="32">
        <f t="shared" si="5"/>
        <v>1.0076356106578106</v>
      </c>
      <c r="S52" s="32">
        <f t="shared" si="5"/>
        <v>1.0098624683774413</v>
      </c>
      <c r="T52" s="32">
        <f t="shared" si="5"/>
        <v>1.0104871783970797</v>
      </c>
      <c r="U52" s="32">
        <f t="shared" si="5"/>
        <v>1.010623336815976</v>
      </c>
      <c r="V52" s="32">
        <f t="shared" si="5"/>
        <v>1.0106457174525985</v>
      </c>
      <c r="W52" s="32">
        <f t="shared" si="5"/>
        <v>1.0106484038909742</v>
      </c>
      <c r="X52" s="32"/>
    </row>
    <row r="53" spans="1:24">
      <c r="A53" s="210" t="str">
        <f>MLIST!A46</f>
        <v>HVAC</v>
      </c>
      <c r="B53" s="210" t="str">
        <f>MLIST!D46</f>
        <v>AC Heat Recovery for Water Heating-NR</v>
      </c>
      <c r="C53" s="408" t="s">
        <v>869</v>
      </c>
      <c r="D53" s="32">
        <f t="shared" si="6"/>
        <v>4.2999999999999997E-2</v>
      </c>
      <c r="E53" s="32">
        <f t="shared" si="5"/>
        <v>9.5797142280278316E-2</v>
      </c>
      <c r="F53" s="32">
        <f t="shared" si="5"/>
        <v>0.16040539374775648</v>
      </c>
      <c r="G53" s="32">
        <f t="shared" si="5"/>
        <v>0.23540539374775649</v>
      </c>
      <c r="H53" s="32">
        <f t="shared" si="5"/>
        <v>0.32095239121809005</v>
      </c>
      <c r="I53" s="32">
        <f t="shared" si="5"/>
        <v>0.42096711425629652</v>
      </c>
      <c r="J53" s="32">
        <f t="shared" si="5"/>
        <v>0.53068481860864725</v>
      </c>
      <c r="K53" s="32">
        <f t="shared" si="5"/>
        <v>0.642769203728351</v>
      </c>
      <c r="L53" s="32">
        <f t="shared" si="5"/>
        <v>0.74839528535557953</v>
      </c>
      <c r="M53" s="32">
        <f t="shared" si="5"/>
        <v>0.83918984935345187</v>
      </c>
      <c r="N53" s="32">
        <f t="shared" si="5"/>
        <v>0.90945051634530116</v>
      </c>
      <c r="O53" s="32">
        <f t="shared" si="5"/>
        <v>0.9576688767502457</v>
      </c>
      <c r="P53" s="32">
        <f t="shared" si="5"/>
        <v>0.9865231113648858</v>
      </c>
      <c r="Q53" s="32">
        <f t="shared" si="5"/>
        <v>1.0012970762896924</v>
      </c>
      <c r="R53" s="32">
        <f t="shared" si="5"/>
        <v>1.0076356106578106</v>
      </c>
      <c r="S53" s="32">
        <f t="shared" si="5"/>
        <v>1.0098624683774413</v>
      </c>
      <c r="T53" s="32">
        <f t="shared" si="5"/>
        <v>1.0104871783970797</v>
      </c>
      <c r="U53" s="32">
        <f t="shared" si="5"/>
        <v>1.010623336815976</v>
      </c>
      <c r="V53" s="32">
        <f t="shared" si="5"/>
        <v>1.0106457174525985</v>
      </c>
      <c r="W53" s="32">
        <f t="shared" si="5"/>
        <v>1.0106484038909742</v>
      </c>
      <c r="X53" s="32"/>
    </row>
    <row r="54" spans="1:24">
      <c r="A54" s="210" t="str">
        <f>MLIST!A47</f>
        <v>HVAC</v>
      </c>
      <c r="B54" s="210" t="str">
        <f>MLIST!D47</f>
        <v>Room Occupancy Sensors in Lodging-Retro</v>
      </c>
      <c r="C54" s="408" t="s">
        <v>869</v>
      </c>
      <c r="D54" s="32">
        <f t="shared" si="6"/>
        <v>4.2999999999999997E-2</v>
      </c>
      <c r="E54" s="32">
        <f t="shared" si="5"/>
        <v>9.5797142280278316E-2</v>
      </c>
      <c r="F54" s="32">
        <f t="shared" si="5"/>
        <v>0.16040539374775648</v>
      </c>
      <c r="G54" s="32">
        <f t="shared" si="5"/>
        <v>0.23540539374775649</v>
      </c>
      <c r="H54" s="32">
        <f t="shared" si="5"/>
        <v>0.32095239121809005</v>
      </c>
      <c r="I54" s="32">
        <f t="shared" si="5"/>
        <v>0.42096711425629652</v>
      </c>
      <c r="J54" s="32">
        <f t="shared" si="5"/>
        <v>0.53068481860864725</v>
      </c>
      <c r="K54" s="32">
        <f t="shared" si="5"/>
        <v>0.642769203728351</v>
      </c>
      <c r="L54" s="32">
        <f t="shared" si="5"/>
        <v>0.74839528535557953</v>
      </c>
      <c r="M54" s="32">
        <f t="shared" si="5"/>
        <v>0.83918984935345187</v>
      </c>
      <c r="N54" s="32">
        <f t="shared" si="5"/>
        <v>0.90945051634530116</v>
      </c>
      <c r="O54" s="32">
        <f t="shared" si="5"/>
        <v>0.9576688767502457</v>
      </c>
      <c r="P54" s="32">
        <f t="shared" si="5"/>
        <v>0.9865231113648858</v>
      </c>
      <c r="Q54" s="32">
        <f t="shared" si="5"/>
        <v>1.0012970762896924</v>
      </c>
      <c r="R54" s="32">
        <f t="shared" si="5"/>
        <v>1.0076356106578106</v>
      </c>
      <c r="S54" s="32">
        <f t="shared" si="5"/>
        <v>1.0098624683774413</v>
      </c>
      <c r="T54" s="32">
        <f t="shared" si="5"/>
        <v>1.0104871783970797</v>
      </c>
      <c r="U54" s="32">
        <f t="shared" si="5"/>
        <v>1.010623336815976</v>
      </c>
      <c r="V54" s="32">
        <f t="shared" si="5"/>
        <v>1.0106457174525985</v>
      </c>
      <c r="W54" s="32">
        <f t="shared" si="5"/>
        <v>1.0106484038909742</v>
      </c>
      <c r="X54" s="32"/>
    </row>
    <row r="55" spans="1:24">
      <c r="A55" t="str">
        <f>MLIST!A48</f>
        <v>HVAC</v>
      </c>
      <c r="B55" t="str">
        <f>MLIST!D48</f>
        <v>Chiller - chilled water retrofit-Retro</v>
      </c>
      <c r="C55" s="218" t="s">
        <v>830</v>
      </c>
      <c r="D55" s="32">
        <f t="shared" si="6"/>
        <v>0.10937459468255628</v>
      </c>
      <c r="E55" s="32">
        <f t="shared" si="5"/>
        <v>0.10937459468255628</v>
      </c>
      <c r="F55" s="32">
        <f t="shared" si="5"/>
        <v>0.10937459468255628</v>
      </c>
      <c r="G55" s="32">
        <f t="shared" si="5"/>
        <v>0.10937459468255628</v>
      </c>
      <c r="H55" s="32">
        <f t="shared" si="5"/>
        <v>0.10937459468255628</v>
      </c>
      <c r="I55" s="32">
        <f t="shared" si="5"/>
        <v>9.8437135214300656E-2</v>
      </c>
      <c r="J55" s="32">
        <f t="shared" si="5"/>
        <v>7.874970817144053E-2</v>
      </c>
      <c r="K55" s="32">
        <f t="shared" si="5"/>
        <v>6.2999766537152418E-2</v>
      </c>
      <c r="L55" s="32">
        <f t="shared" si="5"/>
        <v>5.0399813229721938E-2</v>
      </c>
      <c r="M55" s="32">
        <f t="shared" si="5"/>
        <v>4.0319850583777551E-2</v>
      </c>
      <c r="N55" s="32">
        <f t="shared" si="5"/>
        <v>3.225588046702204E-2</v>
      </c>
      <c r="O55" s="32">
        <f t="shared" si="5"/>
        <v>2.5804704373617631E-2</v>
      </c>
      <c r="P55" s="32">
        <f t="shared" si="5"/>
        <v>2.0643763498894106E-2</v>
      </c>
      <c r="Q55" s="32">
        <f t="shared" si="5"/>
        <v>1.6515010799115284E-2</v>
      </c>
      <c r="R55" s="32">
        <f t="shared" si="5"/>
        <v>1.3212008639292228E-2</v>
      </c>
      <c r="S55" s="32">
        <f t="shared" si="5"/>
        <v>1.0569606911433781E-2</v>
      </c>
      <c r="T55" s="32">
        <f t="shared" si="5"/>
        <v>7.2092823794611682E-5</v>
      </c>
      <c r="U55" s="32">
        <f t="shared" si="5"/>
        <v>2.5747437069512102E-5</v>
      </c>
      <c r="V55" s="32">
        <f t="shared" si="5"/>
        <v>8.7775353646568632E-6</v>
      </c>
      <c r="W55" s="32">
        <f t="shared" si="5"/>
        <v>2.8622397928446119E-6</v>
      </c>
      <c r="X55" s="32"/>
    </row>
    <row r="56" spans="1:24">
      <c r="A56" t="str">
        <f>MLIST!A49</f>
        <v>HVAC</v>
      </c>
      <c r="B56" t="str">
        <f>MLIST!D49</f>
        <v>Chiller - equip retrofits-Retro</v>
      </c>
      <c r="C56" s="218" t="s">
        <v>830</v>
      </c>
      <c r="D56" s="32">
        <f t="shared" si="6"/>
        <v>0.10937459468255628</v>
      </c>
      <c r="E56" s="32">
        <f t="shared" si="5"/>
        <v>0.10937459468255628</v>
      </c>
      <c r="F56" s="32">
        <f t="shared" si="5"/>
        <v>0.10937459468255628</v>
      </c>
      <c r="G56" s="32">
        <f t="shared" si="5"/>
        <v>0.10937459468255628</v>
      </c>
      <c r="H56" s="32">
        <f t="shared" si="5"/>
        <v>0.10937459468255628</v>
      </c>
      <c r="I56" s="32">
        <f t="shared" si="5"/>
        <v>9.8437135214300656E-2</v>
      </c>
      <c r="J56" s="32">
        <f t="shared" si="5"/>
        <v>7.874970817144053E-2</v>
      </c>
      <c r="K56" s="32">
        <f t="shared" si="5"/>
        <v>6.2999766537152418E-2</v>
      </c>
      <c r="L56" s="32">
        <f t="shared" si="5"/>
        <v>5.0399813229721938E-2</v>
      </c>
      <c r="M56" s="32">
        <f t="shared" si="5"/>
        <v>4.0319850583777551E-2</v>
      </c>
      <c r="N56" s="32">
        <f t="shared" si="5"/>
        <v>3.225588046702204E-2</v>
      </c>
      <c r="O56" s="32">
        <f t="shared" si="5"/>
        <v>2.5804704373617631E-2</v>
      </c>
      <c r="P56" s="32">
        <f t="shared" si="5"/>
        <v>2.0643763498894106E-2</v>
      </c>
      <c r="Q56" s="32">
        <f t="shared" si="5"/>
        <v>1.6515010799115284E-2</v>
      </c>
      <c r="R56" s="32">
        <f t="shared" si="5"/>
        <v>1.3212008639292228E-2</v>
      </c>
      <c r="S56" s="32">
        <f t="shared" si="5"/>
        <v>1.0569606911433781E-2</v>
      </c>
      <c r="T56" s="32">
        <f t="shared" si="5"/>
        <v>7.2092823794611682E-5</v>
      </c>
      <c r="U56" s="32">
        <f t="shared" si="5"/>
        <v>2.5747437069512102E-5</v>
      </c>
      <c r="V56" s="32">
        <f t="shared" si="5"/>
        <v>8.7775353646568632E-6</v>
      </c>
      <c r="W56" s="32">
        <f t="shared" si="5"/>
        <v>2.8622397928446119E-6</v>
      </c>
      <c r="X56" s="32"/>
    </row>
    <row r="57" spans="1:24">
      <c r="A57" t="str">
        <f>MLIST!A50</f>
        <v>HVAC</v>
      </c>
      <c r="B57" s="210" t="str">
        <f>MLIST!D50</f>
        <v>Pool Blankets-Retro</v>
      </c>
      <c r="C57" s="210" t="s">
        <v>831</v>
      </c>
      <c r="D57" s="32">
        <f t="shared" si="6"/>
        <v>0.22119921692859512</v>
      </c>
      <c r="E57" s="32">
        <f t="shared" si="5"/>
        <v>0.15504311102289431</v>
      </c>
      <c r="F57" s="32">
        <f t="shared" si="5"/>
        <v>0.10733128557729499</v>
      </c>
      <c r="G57" s="32">
        <f t="shared" si="5"/>
        <v>8.3589689255657879E-2</v>
      </c>
      <c r="H57" s="32">
        <f t="shared" si="5"/>
        <v>7.3237179880126971E-2</v>
      </c>
      <c r="I57" s="32">
        <f t="shared" si="5"/>
        <v>6.3374636711760357E-2</v>
      </c>
      <c r="J57" s="32">
        <f t="shared" si="5"/>
        <v>5.4291838367783084E-2</v>
      </c>
      <c r="K57" s="32">
        <f t="shared" si="5"/>
        <v>4.612639225659896E-2</v>
      </c>
      <c r="L57" s="32">
        <f t="shared" si="5"/>
        <v>3.8916876277172864E-2</v>
      </c>
      <c r="M57" s="32">
        <f t="shared" si="5"/>
        <v>3.2639916313151704E-2</v>
      </c>
      <c r="N57" s="32">
        <f t="shared" si="5"/>
        <v>2.7235706125786907E-2</v>
      </c>
      <c r="O57" s="32">
        <f t="shared" si="5"/>
        <v>2.1211189258265428E-2</v>
      </c>
      <c r="P57" s="32">
        <f t="shared" si="5"/>
        <v>1.6519290804212883E-2</v>
      </c>
      <c r="Q57" s="32">
        <f t="shared" si="5"/>
        <v>1.2865236614105324E-2</v>
      </c>
      <c r="R57" s="32">
        <f t="shared" si="5"/>
        <v>1.0019456349464106E-2</v>
      </c>
      <c r="S57" s="32">
        <f t="shared" si="5"/>
        <v>7.8031604509122832E-3</v>
      </c>
      <c r="T57" s="32">
        <f t="shared" si="5"/>
        <v>6.077107469602494E-3</v>
      </c>
      <c r="U57" s="32">
        <f t="shared" si="5"/>
        <v>4.7328560561354371E-3</v>
      </c>
      <c r="V57" s="32">
        <f t="shared" si="5"/>
        <v>3.6859520026825132E-3</v>
      </c>
      <c r="W57" s="32">
        <f t="shared" si="5"/>
        <v>2.8706223060526725E-3</v>
      </c>
      <c r="X57" s="32"/>
    </row>
    <row r="58" spans="1:24">
      <c r="A58" t="str">
        <f>MLIST!A51</f>
        <v>HVAC</v>
      </c>
      <c r="B58" s="210" t="str">
        <f>MLIST!D51</f>
        <v>Web-Enabled Thermostats-Retro</v>
      </c>
      <c r="C58" s="210" t="s">
        <v>831</v>
      </c>
      <c r="D58" s="32">
        <f t="shared" si="6"/>
        <v>0.22119921692859512</v>
      </c>
      <c r="E58" s="32">
        <f t="shared" si="5"/>
        <v>0.15504311102289431</v>
      </c>
      <c r="F58" s="32">
        <f t="shared" si="5"/>
        <v>0.10733128557729499</v>
      </c>
      <c r="G58" s="32">
        <f t="shared" si="5"/>
        <v>8.3589689255657879E-2</v>
      </c>
      <c r="H58" s="32">
        <f t="shared" si="5"/>
        <v>7.3237179880126971E-2</v>
      </c>
      <c r="I58" s="32">
        <f t="shared" si="5"/>
        <v>6.3374636711760357E-2</v>
      </c>
      <c r="J58" s="32">
        <f t="shared" si="5"/>
        <v>5.4291838367783084E-2</v>
      </c>
      <c r="K58" s="32">
        <f t="shared" si="5"/>
        <v>4.612639225659896E-2</v>
      </c>
      <c r="L58" s="32">
        <f t="shared" si="5"/>
        <v>3.8916876277172864E-2</v>
      </c>
      <c r="M58" s="32">
        <f t="shared" si="5"/>
        <v>3.2639916313151704E-2</v>
      </c>
      <c r="N58" s="32">
        <f t="shared" si="5"/>
        <v>2.7235706125786907E-2</v>
      </c>
      <c r="O58" s="32">
        <f t="shared" si="5"/>
        <v>2.1211189258265428E-2</v>
      </c>
      <c r="P58" s="32">
        <f t="shared" si="5"/>
        <v>1.6519290804212883E-2</v>
      </c>
      <c r="Q58" s="32">
        <f t="shared" si="5"/>
        <v>1.2865236614105324E-2</v>
      </c>
      <c r="R58" s="32">
        <f t="shared" si="5"/>
        <v>1.0019456349464106E-2</v>
      </c>
      <c r="S58" s="32">
        <f t="shared" si="5"/>
        <v>7.8031604509122832E-3</v>
      </c>
      <c r="T58" s="32">
        <f t="shared" si="5"/>
        <v>6.077107469602494E-3</v>
      </c>
      <c r="U58" s="32">
        <f t="shared" si="5"/>
        <v>4.7328560561354371E-3</v>
      </c>
      <c r="V58" s="32">
        <f t="shared" si="5"/>
        <v>3.6859520026825132E-3</v>
      </c>
      <c r="W58" s="32">
        <f t="shared" si="5"/>
        <v>2.8706223060526725E-3</v>
      </c>
      <c r="X58" s="32"/>
    </row>
    <row r="59" spans="1:24">
      <c r="A59" s="210" t="str">
        <f>MLIST!A52</f>
        <v>HVAC</v>
      </c>
      <c r="B59" s="210" t="str">
        <f>MLIST!D52</f>
        <v>Garage CO2 ventilation-Retro</v>
      </c>
      <c r="C59" s="210" t="s">
        <v>831</v>
      </c>
      <c r="D59" s="32">
        <f t="shared" si="6"/>
        <v>0.22119921692859512</v>
      </c>
      <c r="E59" s="32">
        <f t="shared" si="5"/>
        <v>0.15504311102289431</v>
      </c>
      <c r="F59" s="32">
        <f t="shared" si="5"/>
        <v>0.10733128557729499</v>
      </c>
      <c r="G59" s="32">
        <f t="shared" si="5"/>
        <v>8.3589689255657879E-2</v>
      </c>
      <c r="H59" s="32">
        <f t="shared" si="5"/>
        <v>7.3237179880126971E-2</v>
      </c>
      <c r="I59" s="32">
        <f t="shared" si="5"/>
        <v>6.3374636711760357E-2</v>
      </c>
      <c r="J59" s="32">
        <f t="shared" si="5"/>
        <v>5.4291838367783084E-2</v>
      </c>
      <c r="K59" s="32">
        <f t="shared" si="5"/>
        <v>4.612639225659896E-2</v>
      </c>
      <c r="L59" s="32">
        <f t="shared" si="5"/>
        <v>3.8916876277172864E-2</v>
      </c>
      <c r="M59" s="32">
        <f t="shared" si="5"/>
        <v>3.2639916313151704E-2</v>
      </c>
      <c r="N59" s="32">
        <f t="shared" si="5"/>
        <v>2.7235706125786907E-2</v>
      </c>
      <c r="O59" s="32">
        <f t="shared" si="5"/>
        <v>2.1211189258265428E-2</v>
      </c>
      <c r="P59" s="32">
        <f t="shared" si="5"/>
        <v>1.6519290804212883E-2</v>
      </c>
      <c r="Q59" s="32">
        <f t="shared" si="5"/>
        <v>1.2865236614105324E-2</v>
      </c>
      <c r="R59" s="32">
        <f t="shared" si="5"/>
        <v>1.0019456349464106E-2</v>
      </c>
      <c r="S59" s="32">
        <f t="shared" si="5"/>
        <v>7.8031604509122832E-3</v>
      </c>
      <c r="T59" s="32">
        <f t="shared" si="5"/>
        <v>6.077107469602494E-3</v>
      </c>
      <c r="U59" s="32">
        <f t="shared" si="5"/>
        <v>4.7328560561354371E-3</v>
      </c>
      <c r="V59" s="32">
        <f t="shared" si="5"/>
        <v>3.6859520026825132E-3</v>
      </c>
      <c r="W59" s="32">
        <f t="shared" si="5"/>
        <v>2.8706223060526725E-3</v>
      </c>
      <c r="X59" s="32"/>
    </row>
    <row r="60" spans="1:24">
      <c r="A60" t="str">
        <f>MLIST!A53</f>
        <v>HVAC</v>
      </c>
      <c r="B60" s="210" t="str">
        <f>MLIST!D53</f>
        <v>Circ Pump ECM and drive-Retro</v>
      </c>
      <c r="C60" s="210" t="s">
        <v>831</v>
      </c>
      <c r="D60" s="32">
        <f t="shared" si="6"/>
        <v>0.22119921692859512</v>
      </c>
      <c r="E60" s="32">
        <f t="shared" si="5"/>
        <v>0.15504311102289431</v>
      </c>
      <c r="F60" s="32">
        <f t="shared" ref="E60:W73" si="7">IF(ISBLANK($C60),"",VLOOKUP($C60,$C$1:$X$16,F$18-$D$18+2,FALSE))</f>
        <v>0.10733128557729499</v>
      </c>
      <c r="G60" s="32">
        <f t="shared" si="7"/>
        <v>8.3589689255657879E-2</v>
      </c>
      <c r="H60" s="32">
        <f t="shared" si="7"/>
        <v>7.3237179880126971E-2</v>
      </c>
      <c r="I60" s="32">
        <f t="shared" si="7"/>
        <v>6.3374636711760357E-2</v>
      </c>
      <c r="J60" s="32">
        <f t="shared" si="7"/>
        <v>5.4291838367783084E-2</v>
      </c>
      <c r="K60" s="32">
        <f t="shared" si="7"/>
        <v>4.612639225659896E-2</v>
      </c>
      <c r="L60" s="32">
        <f t="shared" si="7"/>
        <v>3.8916876277172864E-2</v>
      </c>
      <c r="M60" s="32">
        <f t="shared" si="7"/>
        <v>3.2639916313151704E-2</v>
      </c>
      <c r="N60" s="32">
        <f t="shared" si="7"/>
        <v>2.7235706125786907E-2</v>
      </c>
      <c r="O60" s="32">
        <f t="shared" si="7"/>
        <v>2.1211189258265428E-2</v>
      </c>
      <c r="P60" s="32">
        <f t="shared" si="7"/>
        <v>1.6519290804212883E-2</v>
      </c>
      <c r="Q60" s="32">
        <f t="shared" si="7"/>
        <v>1.2865236614105324E-2</v>
      </c>
      <c r="R60" s="32">
        <f t="shared" si="7"/>
        <v>1.0019456349464106E-2</v>
      </c>
      <c r="S60" s="32">
        <f t="shared" si="7"/>
        <v>7.8031604509122832E-3</v>
      </c>
      <c r="T60" s="32">
        <f t="shared" si="7"/>
        <v>6.077107469602494E-3</v>
      </c>
      <c r="U60" s="32">
        <f t="shared" si="7"/>
        <v>4.7328560561354371E-3</v>
      </c>
      <c r="V60" s="32">
        <f t="shared" si="7"/>
        <v>3.6859520026825132E-3</v>
      </c>
      <c r="W60" s="32">
        <f t="shared" si="7"/>
        <v>2.8706223060526725E-3</v>
      </c>
      <c r="X60" s="32"/>
    </row>
    <row r="61" spans="1:24">
      <c r="A61" t="str">
        <f>MLIST!A54</f>
        <v>HVAC</v>
      </c>
      <c r="B61" t="str">
        <f>MLIST!D54</f>
        <v>VRF-New</v>
      </c>
      <c r="C61" s="407" t="s">
        <v>870</v>
      </c>
      <c r="D61" s="32">
        <f t="shared" si="6"/>
        <v>2.5643970768378654E-3</v>
      </c>
      <c r="E61" s="32">
        <f t="shared" si="7"/>
        <v>7.6904586297764643E-3</v>
      </c>
      <c r="F61" s="32">
        <f t="shared" si="7"/>
        <v>1.6792013047419844E-2</v>
      </c>
      <c r="G61" s="32">
        <f t="shared" si="7"/>
        <v>3.15969387774655E-2</v>
      </c>
      <c r="H61" s="32">
        <f t="shared" si="7"/>
        <v>5.406874819795171E-2</v>
      </c>
      <c r="I61" s="32">
        <f t="shared" si="7"/>
        <v>8.6253181011834101E-2</v>
      </c>
      <c r="J61" s="32">
        <f t="shared" si="7"/>
        <v>0.1300328481838382</v>
      </c>
      <c r="K61" s="32">
        <f t="shared" si="7"/>
        <v>0.18678710893858319</v>
      </c>
      <c r="L61" s="32">
        <f t="shared" si="7"/>
        <v>0.2569823480072907</v>
      </c>
      <c r="M61" s="32">
        <f t="shared" si="7"/>
        <v>0.33975920985004748</v>
      </c>
      <c r="N61" s="32">
        <f t="shared" si="7"/>
        <v>0.43262946935754232</v>
      </c>
      <c r="O61" s="32">
        <f t="shared" si="7"/>
        <v>0.53142594003645804</v>
      </c>
      <c r="P61" s="32">
        <f t="shared" si="7"/>
        <v>0.63063487292644704</v>
      </c>
      <c r="Q61" s="32">
        <f t="shared" si="7"/>
        <v>0.7241560234206913</v>
      </c>
      <c r="R61" s="32">
        <f t="shared" si="7"/>
        <v>0.80638203131755359</v>
      </c>
      <c r="S61" s="32">
        <f t="shared" si="7"/>
        <v>0.87331559734491926</v>
      </c>
      <c r="T61" s="32">
        <f t="shared" si="7"/>
        <v>0.92334516248836807</v>
      </c>
      <c r="U61" s="32">
        <f t="shared" si="7"/>
        <v>0.95737002770730018</v>
      </c>
      <c r="V61" s="32">
        <f t="shared" si="7"/>
        <v>0.97821608704807483</v>
      </c>
      <c r="W61" s="32">
        <f t="shared" si="7"/>
        <v>0.98821608704807484</v>
      </c>
      <c r="X61" s="32"/>
    </row>
    <row r="62" spans="1:24">
      <c r="A62" t="str">
        <f>MLIST!A55</f>
        <v>HVAC</v>
      </c>
      <c r="B62" s="218" t="str">
        <f>MLIST!D55</f>
        <v>VRF-Retro</v>
      </c>
      <c r="C62" s="218" t="s">
        <v>865</v>
      </c>
      <c r="D62" s="32">
        <f t="shared" si="6"/>
        <v>5.5320496977002724E-3</v>
      </c>
      <c r="E62" s="32">
        <f t="shared" si="7"/>
        <v>8.6958686465615706E-3</v>
      </c>
      <c r="F62" s="32">
        <f t="shared" si="7"/>
        <v>1.7391737293123145E-2</v>
      </c>
      <c r="G62" s="32">
        <f t="shared" si="7"/>
        <v>3.0435540262965514E-2</v>
      </c>
      <c r="H62" s="32">
        <f t="shared" si="7"/>
        <v>4.7344173742390784E-2</v>
      </c>
      <c r="I62" s="32">
        <f t="shared" si="7"/>
        <v>6.6281843239347063E-2</v>
      </c>
      <c r="J62" s="32">
        <f t="shared" si="7"/>
        <v>8.4358709577350838E-2</v>
      </c>
      <c r="K62" s="32">
        <f t="shared" si="7"/>
        <v>9.8418494506909315E-2</v>
      </c>
      <c r="L62" s="32">
        <f t="shared" si="7"/>
        <v>0.10598914793051767</v>
      </c>
      <c r="M62" s="32">
        <f t="shared" si="7"/>
        <v>0.10598914793051767</v>
      </c>
      <c r="N62" s="32">
        <f t="shared" si="7"/>
        <v>9.8923204735149928E-2</v>
      </c>
      <c r="O62" s="32">
        <f t="shared" si="7"/>
        <v>8.655780414325609E-2</v>
      </c>
      <c r="P62" s="32">
        <f t="shared" si="7"/>
        <v>7.1282897529740263E-2</v>
      </c>
      <c r="Q62" s="32">
        <f t="shared" si="7"/>
        <v>5.5442253634242489E-2</v>
      </c>
      <c r="R62" s="32">
        <f t="shared" si="7"/>
        <v>4.0852186888389319E-2</v>
      </c>
      <c r="S62" s="32">
        <f t="shared" si="7"/>
        <v>2.8596530821872412E-2</v>
      </c>
      <c r="T62" s="32">
        <f t="shared" si="7"/>
        <v>1.9064353881248275E-2</v>
      </c>
      <c r="U62" s="32">
        <f t="shared" si="7"/>
        <v>1.2131861560794377E-2</v>
      </c>
      <c r="V62" s="32">
        <f t="shared" si="7"/>
        <v>7.3846113848314854E-3</v>
      </c>
      <c r="W62" s="32">
        <f t="shared" si="7"/>
        <v>4.3076899744848296E-3</v>
      </c>
      <c r="X62" s="32"/>
    </row>
    <row r="63" spans="1:24">
      <c r="A63" t="str">
        <f>MLIST!A56</f>
        <v>HVAC</v>
      </c>
      <c r="B63" s="210" t="str">
        <f>MLIST!D56</f>
        <v>Evaporator Roof Top HVAC-Retro</v>
      </c>
      <c r="C63" s="210" t="s">
        <v>832</v>
      </c>
      <c r="D63" s="32">
        <f t="shared" si="6"/>
        <v>0.05</v>
      </c>
      <c r="E63" s="32">
        <f t="shared" si="7"/>
        <v>0.05</v>
      </c>
      <c r="F63" s="32">
        <f t="shared" si="7"/>
        <v>0.05</v>
      </c>
      <c r="G63" s="32">
        <f t="shared" si="7"/>
        <v>0.05</v>
      </c>
      <c r="H63" s="32">
        <f t="shared" si="7"/>
        <v>0.05</v>
      </c>
      <c r="I63" s="32">
        <f t="shared" si="7"/>
        <v>0.05</v>
      </c>
      <c r="J63" s="32">
        <f t="shared" si="7"/>
        <v>0.05</v>
      </c>
      <c r="K63" s="32">
        <f t="shared" si="7"/>
        <v>0.05</v>
      </c>
      <c r="L63" s="32">
        <f t="shared" si="7"/>
        <v>0.05</v>
      </c>
      <c r="M63" s="32">
        <f t="shared" si="7"/>
        <v>0.05</v>
      </c>
      <c r="N63" s="32">
        <f t="shared" si="7"/>
        <v>0.05</v>
      </c>
      <c r="O63" s="32">
        <f t="shared" si="7"/>
        <v>0.05</v>
      </c>
      <c r="P63" s="32">
        <f t="shared" si="7"/>
        <v>0.05</v>
      </c>
      <c r="Q63" s="32">
        <f t="shared" si="7"/>
        <v>0.05</v>
      </c>
      <c r="R63" s="32">
        <f t="shared" si="7"/>
        <v>0.05</v>
      </c>
      <c r="S63" s="32">
        <f t="shared" si="7"/>
        <v>0.05</v>
      </c>
      <c r="T63" s="32">
        <f t="shared" si="7"/>
        <v>0.05</v>
      </c>
      <c r="U63" s="32">
        <f t="shared" si="7"/>
        <v>0.05</v>
      </c>
      <c r="V63" s="32">
        <f t="shared" si="7"/>
        <v>0.05</v>
      </c>
      <c r="W63" s="32">
        <f t="shared" si="7"/>
        <v>0.05</v>
      </c>
      <c r="X63" s="32"/>
    </row>
    <row r="64" spans="1:24">
      <c r="A64" t="str">
        <f>MLIST!A57</f>
        <v>HVAC</v>
      </c>
      <c r="B64" t="str">
        <f>MLIST!D57</f>
        <v>Secondary Glazing Systems-Retro</v>
      </c>
      <c r="C64" s="218" t="s">
        <v>867</v>
      </c>
      <c r="D64" s="32">
        <f t="shared" si="6"/>
        <v>2.5643970768378654E-3</v>
      </c>
      <c r="E64" s="32">
        <f t="shared" si="7"/>
        <v>5.1260615529385989E-3</v>
      </c>
      <c r="F64" s="32">
        <f t="shared" si="7"/>
        <v>9.1015544176433795E-3</v>
      </c>
      <c r="G64" s="32">
        <f t="shared" si="7"/>
        <v>1.4804925730045659E-2</v>
      </c>
      <c r="H64" s="32">
        <f t="shared" si="7"/>
        <v>2.2471809420486211E-2</v>
      </c>
      <c r="I64" s="32">
        <f t="shared" si="7"/>
        <v>3.2184432813882391E-2</v>
      </c>
      <c r="J64" s="32">
        <f t="shared" si="7"/>
        <v>4.3779667172004086E-2</v>
      </c>
      <c r="K64" s="32">
        <f t="shared" si="7"/>
        <v>5.675426075474499E-2</v>
      </c>
      <c r="L64" s="32">
        <f t="shared" si="7"/>
        <v>7.0195239068707532E-2</v>
      </c>
      <c r="M64" s="32">
        <f t="shared" si="7"/>
        <v>8.2776861842756788E-2</v>
      </c>
      <c r="N64" s="32">
        <f t="shared" si="7"/>
        <v>9.2870259507494834E-2</v>
      </c>
      <c r="O64" s="32">
        <f t="shared" si="7"/>
        <v>9.8796470678915727E-2</v>
      </c>
      <c r="P64" s="32">
        <f t="shared" si="7"/>
        <v>9.9208932889988999E-2</v>
      </c>
      <c r="Q64" s="32">
        <f t="shared" si="7"/>
        <v>9.3521150494244254E-2</v>
      </c>
      <c r="R64" s="32">
        <f t="shared" si="7"/>
        <v>8.2226007896862296E-2</v>
      </c>
      <c r="S64" s="32">
        <f t="shared" si="7"/>
        <v>6.6933566027365665E-2</v>
      </c>
      <c r="T64" s="32">
        <f t="shared" si="7"/>
        <v>5.0029565143448806E-2</v>
      </c>
      <c r="U64" s="32">
        <f t="shared" si="7"/>
        <v>3.402486521893211E-2</v>
      </c>
      <c r="V64" s="32">
        <f t="shared" si="7"/>
        <v>2.0846059340774659E-2</v>
      </c>
      <c r="W64" s="32">
        <f t="shared" si="7"/>
        <v>0.01</v>
      </c>
      <c r="X64" s="32"/>
    </row>
    <row r="65" spans="1:24" ht="13.5" customHeight="1">
      <c r="A65" t="str">
        <f>MLIST!A58</f>
        <v>Lighting</v>
      </c>
      <c r="B65" t="str">
        <f>MLIST!D58</f>
        <v>LPD Package-New</v>
      </c>
      <c r="C65" s="218" t="s">
        <v>826</v>
      </c>
      <c r="D65" s="32">
        <f t="shared" si="6"/>
        <v>0.22119921692859512</v>
      </c>
      <c r="E65" s="32">
        <f t="shared" si="7"/>
        <v>0.37624232795148943</v>
      </c>
      <c r="F65" s="32">
        <f t="shared" si="7"/>
        <v>0.48357361352878442</v>
      </c>
      <c r="G65" s="32">
        <f t="shared" si="7"/>
        <v>0.56716330278444227</v>
      </c>
      <c r="H65" s="32">
        <f t="shared" si="7"/>
        <v>0.64040048266456928</v>
      </c>
      <c r="I65" s="32">
        <f t="shared" si="7"/>
        <v>0.70377511937632964</v>
      </c>
      <c r="J65" s="32">
        <f t="shared" si="7"/>
        <v>0.7580669577441127</v>
      </c>
      <c r="K65" s="32">
        <f t="shared" si="7"/>
        <v>0.80419335000071168</v>
      </c>
      <c r="L65" s="32">
        <f t="shared" si="7"/>
        <v>0.84311022627788457</v>
      </c>
      <c r="M65" s="32">
        <f t="shared" si="7"/>
        <v>0.87575014259103623</v>
      </c>
      <c r="N65" s="32">
        <f t="shared" si="7"/>
        <v>0.90298584871682319</v>
      </c>
      <c r="O65" s="32">
        <f t="shared" si="7"/>
        <v>0.92419703797508856</v>
      </c>
      <c r="P65" s="32">
        <f t="shared" si="7"/>
        <v>0.94071632877930145</v>
      </c>
      <c r="Q65" s="32">
        <f t="shared" si="7"/>
        <v>0.95358156539340677</v>
      </c>
      <c r="R65" s="32">
        <f t="shared" si="7"/>
        <v>0.96360102174287088</v>
      </c>
      <c r="S65" s="32">
        <f t="shared" si="7"/>
        <v>0.97140418219378311</v>
      </c>
      <c r="T65" s="32">
        <f t="shared" si="7"/>
        <v>0.97748128966338554</v>
      </c>
      <c r="U65" s="32">
        <f t="shared" si="7"/>
        <v>0.98221414571952104</v>
      </c>
      <c r="V65" s="32">
        <f t="shared" si="7"/>
        <v>0.98590009772220355</v>
      </c>
      <c r="W65" s="32">
        <f t="shared" si="7"/>
        <v>0.98877072002825628</v>
      </c>
      <c r="X65" s="32"/>
    </row>
    <row r="66" spans="1:24">
      <c r="A66" t="str">
        <f>MLIST!A59</f>
        <v>Lighting</v>
      </c>
      <c r="B66" t="str">
        <f>MLIST!D59</f>
        <v>LPD Package-NR</v>
      </c>
      <c r="C66" s="218" t="s">
        <v>826</v>
      </c>
      <c r="D66" s="32">
        <f t="shared" si="6"/>
        <v>0.22119921692859512</v>
      </c>
      <c r="E66" s="32">
        <f t="shared" si="7"/>
        <v>0.37624232795148943</v>
      </c>
      <c r="F66" s="32">
        <f t="shared" si="7"/>
        <v>0.48357361352878442</v>
      </c>
      <c r="G66" s="32">
        <f t="shared" si="7"/>
        <v>0.56716330278444227</v>
      </c>
      <c r="H66" s="32">
        <f t="shared" si="7"/>
        <v>0.64040048266456928</v>
      </c>
      <c r="I66" s="32">
        <f t="shared" si="7"/>
        <v>0.70377511937632964</v>
      </c>
      <c r="J66" s="32">
        <f t="shared" si="7"/>
        <v>0.7580669577441127</v>
      </c>
      <c r="K66" s="32">
        <f t="shared" si="7"/>
        <v>0.80419335000071168</v>
      </c>
      <c r="L66" s="32">
        <f t="shared" si="7"/>
        <v>0.84311022627788457</v>
      </c>
      <c r="M66" s="32">
        <f t="shared" si="7"/>
        <v>0.87575014259103623</v>
      </c>
      <c r="N66" s="32">
        <f t="shared" si="7"/>
        <v>0.90298584871682319</v>
      </c>
      <c r="O66" s="32">
        <f t="shared" si="7"/>
        <v>0.92419703797508856</v>
      </c>
      <c r="P66" s="32">
        <f t="shared" si="7"/>
        <v>0.94071632877930145</v>
      </c>
      <c r="Q66" s="32">
        <f t="shared" si="7"/>
        <v>0.95358156539340677</v>
      </c>
      <c r="R66" s="32">
        <f t="shared" si="7"/>
        <v>0.96360102174287088</v>
      </c>
      <c r="S66" s="32">
        <f t="shared" si="7"/>
        <v>0.97140418219378311</v>
      </c>
      <c r="T66" s="32">
        <f t="shared" si="7"/>
        <v>0.97748128966338554</v>
      </c>
      <c r="U66" s="32">
        <f t="shared" si="7"/>
        <v>0.98221414571952104</v>
      </c>
      <c r="V66" s="32">
        <f t="shared" si="7"/>
        <v>0.98590009772220355</v>
      </c>
      <c r="W66" s="32">
        <f t="shared" si="7"/>
        <v>0.98877072002825628</v>
      </c>
      <c r="X66" s="32"/>
    </row>
    <row r="67" spans="1:24">
      <c r="A67" t="str">
        <f>MLIST!A60</f>
        <v>Lighting</v>
      </c>
      <c r="B67" t="str">
        <f>MLIST!D60</f>
        <v>LPD Package-Retro</v>
      </c>
      <c r="C67" s="519" t="s">
        <v>830</v>
      </c>
      <c r="D67" s="32">
        <f t="shared" si="6"/>
        <v>0.10937459468255628</v>
      </c>
      <c r="E67" s="32">
        <f t="shared" si="7"/>
        <v>0.10937459468255628</v>
      </c>
      <c r="F67" s="32">
        <f t="shared" si="7"/>
        <v>0.10937459468255628</v>
      </c>
      <c r="G67" s="32">
        <f t="shared" si="7"/>
        <v>0.10937459468255628</v>
      </c>
      <c r="H67" s="32">
        <f t="shared" si="7"/>
        <v>0.10937459468255628</v>
      </c>
      <c r="I67" s="32">
        <f t="shared" si="7"/>
        <v>9.8437135214300656E-2</v>
      </c>
      <c r="J67" s="32">
        <f t="shared" si="7"/>
        <v>7.874970817144053E-2</v>
      </c>
      <c r="K67" s="32">
        <f t="shared" si="7"/>
        <v>6.2999766537152418E-2</v>
      </c>
      <c r="L67" s="32">
        <f t="shared" si="7"/>
        <v>5.0399813229721938E-2</v>
      </c>
      <c r="M67" s="32">
        <f t="shared" si="7"/>
        <v>4.0319850583777551E-2</v>
      </c>
      <c r="N67" s="32">
        <f t="shared" si="7"/>
        <v>3.225588046702204E-2</v>
      </c>
      <c r="O67" s="32">
        <f t="shared" si="7"/>
        <v>2.5804704373617631E-2</v>
      </c>
      <c r="P67" s="32">
        <f t="shared" si="7"/>
        <v>2.0643763498894106E-2</v>
      </c>
      <c r="Q67" s="32">
        <f t="shared" si="7"/>
        <v>1.6515010799115284E-2</v>
      </c>
      <c r="R67" s="32">
        <f t="shared" si="7"/>
        <v>1.3212008639292228E-2</v>
      </c>
      <c r="S67" s="32">
        <f t="shared" si="7"/>
        <v>1.0569606911433781E-2</v>
      </c>
      <c r="T67" s="32">
        <f t="shared" si="7"/>
        <v>7.2092823794611682E-5</v>
      </c>
      <c r="U67" s="32">
        <f t="shared" si="7"/>
        <v>2.5747437069512102E-5</v>
      </c>
      <c r="V67" s="32">
        <f t="shared" si="7"/>
        <v>8.7775353646568632E-6</v>
      </c>
      <c r="W67" s="32">
        <f t="shared" si="7"/>
        <v>2.8622397928446119E-6</v>
      </c>
      <c r="X67" s="32"/>
    </row>
    <row r="68" spans="1:24">
      <c r="A68" s="415" t="str">
        <f>MLIST!A61</f>
        <v>Lighting</v>
      </c>
      <c r="B68" s="415" t="str">
        <f>MLIST!D61</f>
        <v>Top Daylighting-New</v>
      </c>
      <c r="C68" s="425" t="s">
        <v>825</v>
      </c>
      <c r="D68" s="32">
        <f t="shared" si="6"/>
        <v>0.10937459468255628</v>
      </c>
      <c r="E68" s="32">
        <f t="shared" si="7"/>
        <v>0.21874918936511256</v>
      </c>
      <c r="F68" s="32">
        <f t="shared" si="7"/>
        <v>0.32812378404766884</v>
      </c>
      <c r="G68" s="32">
        <f t="shared" si="7"/>
        <v>0.43749837873022512</v>
      </c>
      <c r="H68" s="32">
        <f t="shared" si="7"/>
        <v>0.5468729734127814</v>
      </c>
      <c r="I68" s="32">
        <f t="shared" si="7"/>
        <v>0.64531010862708205</v>
      </c>
      <c r="J68" s="32">
        <f t="shared" si="7"/>
        <v>0.7240598167985226</v>
      </c>
      <c r="K68" s="32">
        <f t="shared" si="7"/>
        <v>0.78705958333567505</v>
      </c>
      <c r="L68" s="32">
        <f t="shared" si="7"/>
        <v>0.83745939656539703</v>
      </c>
      <c r="M68" s="32">
        <f t="shared" si="7"/>
        <v>0.87777924714917455</v>
      </c>
      <c r="N68" s="32">
        <f t="shared" si="7"/>
        <v>0.91003512761619654</v>
      </c>
      <c r="O68" s="32">
        <f t="shared" si="7"/>
        <v>0.93583983198981413</v>
      </c>
      <c r="P68" s="32">
        <f t="shared" si="7"/>
        <v>0.9564835954887082</v>
      </c>
      <c r="Q68" s="32">
        <f t="shared" si="7"/>
        <v>0.97299860628782353</v>
      </c>
      <c r="R68" s="32">
        <f t="shared" si="7"/>
        <v>0.9862106149271157</v>
      </c>
      <c r="S68" s="32">
        <f t="shared" si="7"/>
        <v>0.99678022183854953</v>
      </c>
      <c r="T68" s="32">
        <f t="shared" si="7"/>
        <v>0.99685231466234414</v>
      </c>
      <c r="U68" s="32">
        <f t="shared" si="7"/>
        <v>0.99687806209941365</v>
      </c>
      <c r="V68" s="32">
        <f t="shared" si="7"/>
        <v>0.99688683963477831</v>
      </c>
      <c r="W68" s="32">
        <f t="shared" si="7"/>
        <v>0.99688970187457115</v>
      </c>
      <c r="X68" s="32"/>
    </row>
    <row r="69" spans="1:24">
      <c r="A69" t="str">
        <f>MLIST!A62</f>
        <v>Lighting</v>
      </c>
      <c r="B69" t="str">
        <f>MLIST!D62</f>
        <v>Perimeter Daylighting Controls Advanced-New</v>
      </c>
      <c r="C69" s="407" t="s">
        <v>869</v>
      </c>
      <c r="D69" s="32">
        <f t="shared" si="6"/>
        <v>4.2999999999999997E-2</v>
      </c>
      <c r="E69" s="32">
        <f t="shared" si="7"/>
        <v>9.5797142280278316E-2</v>
      </c>
      <c r="F69" s="32">
        <f t="shared" si="7"/>
        <v>0.16040539374775648</v>
      </c>
      <c r="G69" s="32">
        <f t="shared" si="7"/>
        <v>0.23540539374775649</v>
      </c>
      <c r="H69" s="32">
        <f t="shared" si="7"/>
        <v>0.32095239121809005</v>
      </c>
      <c r="I69" s="32">
        <f t="shared" si="7"/>
        <v>0.42096711425629652</v>
      </c>
      <c r="J69" s="32">
        <f t="shared" si="7"/>
        <v>0.53068481860864725</v>
      </c>
      <c r="K69" s="32">
        <f t="shared" si="7"/>
        <v>0.642769203728351</v>
      </c>
      <c r="L69" s="32">
        <f t="shared" si="7"/>
        <v>0.74839528535557953</v>
      </c>
      <c r="M69" s="32">
        <f t="shared" si="7"/>
        <v>0.83918984935345187</v>
      </c>
      <c r="N69" s="32">
        <f t="shared" si="7"/>
        <v>0.90945051634530116</v>
      </c>
      <c r="O69" s="32">
        <f t="shared" si="7"/>
        <v>0.9576688767502457</v>
      </c>
      <c r="P69" s="32">
        <f t="shared" si="7"/>
        <v>0.9865231113648858</v>
      </c>
      <c r="Q69" s="32">
        <f t="shared" si="7"/>
        <v>1.0012970762896924</v>
      </c>
      <c r="R69" s="32">
        <f t="shared" si="7"/>
        <v>1.0076356106578106</v>
      </c>
      <c r="S69" s="32">
        <f t="shared" si="7"/>
        <v>1.0098624683774413</v>
      </c>
      <c r="T69" s="32">
        <f t="shared" si="7"/>
        <v>1.0104871783970797</v>
      </c>
      <c r="U69" s="32">
        <f t="shared" si="7"/>
        <v>1.010623336815976</v>
      </c>
      <c r="V69" s="32">
        <f t="shared" si="7"/>
        <v>1.0106457174525985</v>
      </c>
      <c r="W69" s="32">
        <f t="shared" si="7"/>
        <v>1.0106484038909742</v>
      </c>
      <c r="X69" s="32"/>
    </row>
    <row r="70" spans="1:24">
      <c r="A70" t="str">
        <f>MLIST!A63</f>
        <v>Lighting</v>
      </c>
      <c r="B70" t="str">
        <f>MLIST!D63</f>
        <v>Perimeter Daylighting Controls Advanced-NR</v>
      </c>
      <c r="C70" s="407" t="s">
        <v>869</v>
      </c>
      <c r="D70" s="32">
        <f t="shared" si="6"/>
        <v>4.2999999999999997E-2</v>
      </c>
      <c r="E70" s="32">
        <f t="shared" si="7"/>
        <v>9.5797142280278316E-2</v>
      </c>
      <c r="F70" s="32">
        <f t="shared" si="7"/>
        <v>0.16040539374775648</v>
      </c>
      <c r="G70" s="32">
        <f t="shared" si="7"/>
        <v>0.23540539374775649</v>
      </c>
      <c r="H70" s="32">
        <f t="shared" si="7"/>
        <v>0.32095239121809005</v>
      </c>
      <c r="I70" s="32">
        <f t="shared" si="7"/>
        <v>0.42096711425629652</v>
      </c>
      <c r="J70" s="32">
        <f t="shared" si="7"/>
        <v>0.53068481860864725</v>
      </c>
      <c r="K70" s="32">
        <f t="shared" si="7"/>
        <v>0.642769203728351</v>
      </c>
      <c r="L70" s="32">
        <f t="shared" si="7"/>
        <v>0.74839528535557953</v>
      </c>
      <c r="M70" s="32">
        <f t="shared" si="7"/>
        <v>0.83918984935345187</v>
      </c>
      <c r="N70" s="32">
        <f t="shared" si="7"/>
        <v>0.90945051634530116</v>
      </c>
      <c r="O70" s="32">
        <f t="shared" si="7"/>
        <v>0.9576688767502457</v>
      </c>
      <c r="P70" s="32">
        <f t="shared" si="7"/>
        <v>0.9865231113648858</v>
      </c>
      <c r="Q70" s="32">
        <f t="shared" si="7"/>
        <v>1.0012970762896924</v>
      </c>
      <c r="R70" s="32">
        <f t="shared" si="7"/>
        <v>1.0076356106578106</v>
      </c>
      <c r="S70" s="32">
        <f t="shared" si="7"/>
        <v>1.0098624683774413</v>
      </c>
      <c r="T70" s="32">
        <f t="shared" si="7"/>
        <v>1.0104871783970797</v>
      </c>
      <c r="U70" s="32">
        <f t="shared" si="7"/>
        <v>1.010623336815976</v>
      </c>
      <c r="V70" s="32">
        <f t="shared" si="7"/>
        <v>1.0106457174525985</v>
      </c>
      <c r="W70" s="32">
        <f t="shared" si="7"/>
        <v>1.0106484038909742</v>
      </c>
      <c r="X70" s="32"/>
    </row>
    <row r="71" spans="1:24">
      <c r="A71" t="str">
        <f>MLIST!A64</f>
        <v>Lighting</v>
      </c>
      <c r="B71" t="str">
        <f>MLIST!D64</f>
        <v>Lighting Controls Interior-New</v>
      </c>
      <c r="C71" s="221" t="s">
        <v>826</v>
      </c>
      <c r="D71" s="32">
        <f t="shared" si="6"/>
        <v>0.22119921692859512</v>
      </c>
      <c r="E71" s="32">
        <f t="shared" si="7"/>
        <v>0.37624232795148943</v>
      </c>
      <c r="F71" s="32">
        <f t="shared" si="7"/>
        <v>0.48357361352878442</v>
      </c>
      <c r="G71" s="32">
        <f t="shared" si="7"/>
        <v>0.56716330278444227</v>
      </c>
      <c r="H71" s="32">
        <f t="shared" si="7"/>
        <v>0.64040048266456928</v>
      </c>
      <c r="I71" s="32">
        <f t="shared" si="7"/>
        <v>0.70377511937632964</v>
      </c>
      <c r="J71" s="32">
        <f t="shared" si="7"/>
        <v>0.7580669577441127</v>
      </c>
      <c r="K71" s="32">
        <f t="shared" si="7"/>
        <v>0.80419335000071168</v>
      </c>
      <c r="L71" s="32">
        <f t="shared" si="7"/>
        <v>0.84311022627788457</v>
      </c>
      <c r="M71" s="32">
        <f t="shared" si="7"/>
        <v>0.87575014259103623</v>
      </c>
      <c r="N71" s="32">
        <f t="shared" si="7"/>
        <v>0.90298584871682319</v>
      </c>
      <c r="O71" s="32">
        <f t="shared" si="7"/>
        <v>0.92419703797508856</v>
      </c>
      <c r="P71" s="32">
        <f t="shared" si="7"/>
        <v>0.94071632877930145</v>
      </c>
      <c r="Q71" s="32">
        <f t="shared" si="7"/>
        <v>0.95358156539340677</v>
      </c>
      <c r="R71" s="32">
        <f t="shared" si="7"/>
        <v>0.96360102174287088</v>
      </c>
      <c r="S71" s="32">
        <f t="shared" si="7"/>
        <v>0.97140418219378311</v>
      </c>
      <c r="T71" s="32">
        <f t="shared" si="7"/>
        <v>0.97748128966338554</v>
      </c>
      <c r="U71" s="32">
        <f t="shared" si="7"/>
        <v>0.98221414571952104</v>
      </c>
      <c r="V71" s="32">
        <f t="shared" si="7"/>
        <v>0.98590009772220355</v>
      </c>
      <c r="W71" s="32">
        <f t="shared" si="7"/>
        <v>0.98877072002825628</v>
      </c>
      <c r="X71" s="32"/>
    </row>
    <row r="72" spans="1:24">
      <c r="A72" t="str">
        <f>MLIST!A65</f>
        <v>Lighting</v>
      </c>
      <c r="B72" t="str">
        <f>MLIST!D65</f>
        <v>Lighting Controls Interior-NR</v>
      </c>
      <c r="C72" s="221" t="s">
        <v>826</v>
      </c>
      <c r="D72" s="32">
        <f t="shared" si="6"/>
        <v>0.22119921692859512</v>
      </c>
      <c r="E72" s="32">
        <f t="shared" si="7"/>
        <v>0.37624232795148943</v>
      </c>
      <c r="F72" s="32">
        <f t="shared" si="7"/>
        <v>0.48357361352878442</v>
      </c>
      <c r="G72" s="32">
        <f t="shared" si="7"/>
        <v>0.56716330278444227</v>
      </c>
      <c r="H72" s="32">
        <f t="shared" si="7"/>
        <v>0.64040048266456928</v>
      </c>
      <c r="I72" s="32">
        <f t="shared" si="7"/>
        <v>0.70377511937632964</v>
      </c>
      <c r="J72" s="32">
        <f t="shared" si="7"/>
        <v>0.7580669577441127</v>
      </c>
      <c r="K72" s="32">
        <f t="shared" si="7"/>
        <v>0.80419335000071168</v>
      </c>
      <c r="L72" s="32">
        <f t="shared" si="7"/>
        <v>0.84311022627788457</v>
      </c>
      <c r="M72" s="32">
        <f t="shared" si="7"/>
        <v>0.87575014259103623</v>
      </c>
      <c r="N72" s="32">
        <f t="shared" si="7"/>
        <v>0.90298584871682319</v>
      </c>
      <c r="O72" s="32">
        <f t="shared" si="7"/>
        <v>0.92419703797508856</v>
      </c>
      <c r="P72" s="32">
        <f t="shared" si="7"/>
        <v>0.94071632877930145</v>
      </c>
      <c r="Q72" s="32">
        <f t="shared" si="7"/>
        <v>0.95358156539340677</v>
      </c>
      <c r="R72" s="32">
        <f t="shared" si="7"/>
        <v>0.96360102174287088</v>
      </c>
      <c r="S72" s="32">
        <f t="shared" si="7"/>
        <v>0.97140418219378311</v>
      </c>
      <c r="T72" s="32">
        <f t="shared" si="7"/>
        <v>0.97748128966338554</v>
      </c>
      <c r="U72" s="32">
        <f t="shared" si="7"/>
        <v>0.98221414571952104</v>
      </c>
      <c r="V72" s="32">
        <f t="shared" si="7"/>
        <v>0.98590009772220355</v>
      </c>
      <c r="W72" s="32">
        <f t="shared" si="7"/>
        <v>0.98877072002825628</v>
      </c>
      <c r="X72" s="32"/>
    </row>
    <row r="73" spans="1:24">
      <c r="A73" s="369" t="str">
        <f>MLIST!A66</f>
        <v>Lighting</v>
      </c>
      <c r="B73" s="369" t="str">
        <f>MLIST!D66</f>
        <v>Exterior Building Lighting-New</v>
      </c>
      <c r="C73" s="368" t="s">
        <v>826</v>
      </c>
      <c r="D73" s="32">
        <f t="shared" si="6"/>
        <v>0.22119921692859512</v>
      </c>
      <c r="E73" s="32">
        <f t="shared" si="7"/>
        <v>0.37624232795148943</v>
      </c>
      <c r="F73" s="32">
        <f t="shared" si="7"/>
        <v>0.48357361352878442</v>
      </c>
      <c r="G73" s="32">
        <f t="shared" si="7"/>
        <v>0.56716330278444227</v>
      </c>
      <c r="H73" s="32">
        <f t="shared" si="7"/>
        <v>0.64040048266456928</v>
      </c>
      <c r="I73" s="32">
        <f t="shared" si="7"/>
        <v>0.70377511937632964</v>
      </c>
      <c r="J73" s="32">
        <f t="shared" si="7"/>
        <v>0.7580669577441127</v>
      </c>
      <c r="K73" s="32">
        <f t="shared" si="7"/>
        <v>0.80419335000071168</v>
      </c>
      <c r="L73" s="32">
        <f t="shared" si="7"/>
        <v>0.84311022627788457</v>
      </c>
      <c r="M73" s="32">
        <f t="shared" si="7"/>
        <v>0.87575014259103623</v>
      </c>
      <c r="N73" s="32">
        <f t="shared" ref="E73:W90" si="8">IF(ISBLANK($C73),"",VLOOKUP($C73,$C$1:$X$16,N$18-$D$18+2,FALSE))</f>
        <v>0.90298584871682319</v>
      </c>
      <c r="O73" s="32">
        <f t="shared" si="8"/>
        <v>0.92419703797508856</v>
      </c>
      <c r="P73" s="32">
        <f t="shared" si="8"/>
        <v>0.94071632877930145</v>
      </c>
      <c r="Q73" s="32">
        <f t="shared" si="8"/>
        <v>0.95358156539340677</v>
      </c>
      <c r="R73" s="32">
        <f t="shared" si="8"/>
        <v>0.96360102174287088</v>
      </c>
      <c r="S73" s="32">
        <f t="shared" si="8"/>
        <v>0.97140418219378311</v>
      </c>
      <c r="T73" s="32">
        <f t="shared" si="8"/>
        <v>0.97748128966338554</v>
      </c>
      <c r="U73" s="32">
        <f t="shared" si="8"/>
        <v>0.98221414571952104</v>
      </c>
      <c r="V73" s="32">
        <f t="shared" si="8"/>
        <v>0.98590009772220355</v>
      </c>
      <c r="W73" s="32">
        <f t="shared" si="8"/>
        <v>0.98877072002825628</v>
      </c>
      <c r="X73" s="32"/>
    </row>
    <row r="74" spans="1:24">
      <c r="A74" s="369" t="str">
        <f>MLIST!A67</f>
        <v>Lighting</v>
      </c>
      <c r="B74" s="369" t="str">
        <f>MLIST!D67</f>
        <v>Exterior Building Lighting-NR</v>
      </c>
      <c r="C74" s="368" t="s">
        <v>826</v>
      </c>
      <c r="D74" s="32">
        <f t="shared" si="6"/>
        <v>0.22119921692859512</v>
      </c>
      <c r="E74" s="32">
        <f t="shared" si="8"/>
        <v>0.37624232795148943</v>
      </c>
      <c r="F74" s="32">
        <f t="shared" si="8"/>
        <v>0.48357361352878442</v>
      </c>
      <c r="G74" s="32">
        <f t="shared" si="8"/>
        <v>0.56716330278444227</v>
      </c>
      <c r="H74" s="32">
        <f t="shared" si="8"/>
        <v>0.64040048266456928</v>
      </c>
      <c r="I74" s="32">
        <f t="shared" si="8"/>
        <v>0.70377511937632964</v>
      </c>
      <c r="J74" s="32">
        <f t="shared" si="8"/>
        <v>0.7580669577441127</v>
      </c>
      <c r="K74" s="32">
        <f t="shared" si="8"/>
        <v>0.80419335000071168</v>
      </c>
      <c r="L74" s="32">
        <f t="shared" si="8"/>
        <v>0.84311022627788457</v>
      </c>
      <c r="M74" s="32">
        <f t="shared" si="8"/>
        <v>0.87575014259103623</v>
      </c>
      <c r="N74" s="32">
        <f t="shared" si="8"/>
        <v>0.90298584871682319</v>
      </c>
      <c r="O74" s="32">
        <f t="shared" si="8"/>
        <v>0.92419703797508856</v>
      </c>
      <c r="P74" s="32">
        <f t="shared" si="8"/>
        <v>0.94071632877930145</v>
      </c>
      <c r="Q74" s="32">
        <f t="shared" si="8"/>
        <v>0.95358156539340677</v>
      </c>
      <c r="R74" s="32">
        <f t="shared" si="8"/>
        <v>0.96360102174287088</v>
      </c>
      <c r="S74" s="32">
        <f t="shared" si="8"/>
        <v>0.97140418219378311</v>
      </c>
      <c r="T74" s="32">
        <f t="shared" si="8"/>
        <v>0.97748128966338554</v>
      </c>
      <c r="U74" s="32">
        <f t="shared" si="8"/>
        <v>0.98221414571952104</v>
      </c>
      <c r="V74" s="32">
        <f t="shared" si="8"/>
        <v>0.98590009772220355</v>
      </c>
      <c r="W74" s="32">
        <f t="shared" si="8"/>
        <v>0.98877072002825628</v>
      </c>
      <c r="X74" s="32"/>
    </row>
    <row r="75" spans="1:24">
      <c r="A75" s="369" t="str">
        <f>MLIST!A68</f>
        <v>Lighting</v>
      </c>
      <c r="B75" s="369" t="str">
        <f>MLIST!D68</f>
        <v>Street and Roadway Lighting-New</v>
      </c>
      <c r="C75" s="368" t="s">
        <v>824</v>
      </c>
      <c r="D75" s="32">
        <f t="shared" si="6"/>
        <v>0.45</v>
      </c>
      <c r="E75" s="32">
        <f t="shared" si="8"/>
        <v>0.66</v>
      </c>
      <c r="F75" s="32">
        <f t="shared" si="8"/>
        <v>0.8</v>
      </c>
      <c r="G75" s="32">
        <f t="shared" si="8"/>
        <v>0.89</v>
      </c>
      <c r="H75" s="32">
        <f t="shared" si="8"/>
        <v>0.94954036260972652</v>
      </c>
      <c r="I75" s="32">
        <f t="shared" si="8"/>
        <v>0.97931054391458994</v>
      </c>
      <c r="J75" s="32">
        <f t="shared" si="8"/>
        <v>0.99254173560564019</v>
      </c>
      <c r="K75" s="32">
        <f t="shared" si="8"/>
        <v>0.99783421228206048</v>
      </c>
      <c r="L75" s="32">
        <f t="shared" si="8"/>
        <v>0.99975874925530417</v>
      </c>
      <c r="M75" s="32">
        <f t="shared" si="8"/>
        <v>1.0004002615797187</v>
      </c>
      <c r="N75" s="32">
        <f t="shared" si="8"/>
        <v>1.0005976499872309</v>
      </c>
      <c r="O75" s="32">
        <f t="shared" si="8"/>
        <v>1.0006540466750915</v>
      </c>
      <c r="P75" s="32">
        <f t="shared" si="8"/>
        <v>1.0006690857918545</v>
      </c>
      <c r="Q75" s="32">
        <f t="shared" si="8"/>
        <v>1.000672845571045</v>
      </c>
      <c r="R75" s="32">
        <f t="shared" si="8"/>
        <v>1.0006737302249724</v>
      </c>
      <c r="S75" s="32">
        <f t="shared" si="8"/>
        <v>1.0006739268147338</v>
      </c>
      <c r="T75" s="32">
        <f t="shared" si="8"/>
        <v>1.0006739682020522</v>
      </c>
      <c r="U75" s="32">
        <f t="shared" si="8"/>
        <v>1.0006739764795158</v>
      </c>
      <c r="V75" s="32">
        <f t="shared" si="8"/>
        <v>1.0006739780561755</v>
      </c>
      <c r="W75" s="32">
        <f t="shared" si="8"/>
        <v>1.0006739783428409</v>
      </c>
      <c r="X75" s="32"/>
    </row>
    <row r="76" spans="1:24">
      <c r="A76" s="369" t="str">
        <f>MLIST!A69</f>
        <v>Lighting</v>
      </c>
      <c r="B76" s="369" t="str">
        <f>MLIST!D69</f>
        <v>Street and Roadway Lighting-NR</v>
      </c>
      <c r="C76" s="368" t="s">
        <v>824</v>
      </c>
      <c r="D76" s="32">
        <f t="shared" si="6"/>
        <v>0.45</v>
      </c>
      <c r="E76" s="32">
        <f t="shared" si="8"/>
        <v>0.66</v>
      </c>
      <c r="F76" s="32">
        <f t="shared" si="8"/>
        <v>0.8</v>
      </c>
      <c r="G76" s="32">
        <f t="shared" si="8"/>
        <v>0.89</v>
      </c>
      <c r="H76" s="32">
        <f t="shared" si="8"/>
        <v>0.94954036260972652</v>
      </c>
      <c r="I76" s="32">
        <f t="shared" si="8"/>
        <v>0.97931054391458994</v>
      </c>
      <c r="J76" s="32">
        <f t="shared" si="8"/>
        <v>0.99254173560564019</v>
      </c>
      <c r="K76" s="32">
        <f t="shared" si="8"/>
        <v>0.99783421228206048</v>
      </c>
      <c r="L76" s="32">
        <f t="shared" si="8"/>
        <v>0.99975874925530417</v>
      </c>
      <c r="M76" s="32">
        <f t="shared" si="8"/>
        <v>1.0004002615797187</v>
      </c>
      <c r="N76" s="32">
        <f t="shared" si="8"/>
        <v>1.0005976499872309</v>
      </c>
      <c r="O76" s="32">
        <f t="shared" si="8"/>
        <v>1.0006540466750915</v>
      </c>
      <c r="P76" s="32">
        <f t="shared" si="8"/>
        <v>1.0006690857918545</v>
      </c>
      <c r="Q76" s="32">
        <f t="shared" si="8"/>
        <v>1.000672845571045</v>
      </c>
      <c r="R76" s="32">
        <f t="shared" si="8"/>
        <v>1.0006737302249724</v>
      </c>
      <c r="S76" s="32">
        <f t="shared" si="8"/>
        <v>1.0006739268147338</v>
      </c>
      <c r="T76" s="32">
        <f t="shared" si="8"/>
        <v>1.0006739682020522</v>
      </c>
      <c r="U76" s="32">
        <f t="shared" si="8"/>
        <v>1.0006739764795158</v>
      </c>
      <c r="V76" s="32">
        <f t="shared" si="8"/>
        <v>1.0006739780561755</v>
      </c>
      <c r="W76" s="32">
        <f t="shared" si="8"/>
        <v>1.0006739783428409</v>
      </c>
      <c r="X76" s="32"/>
    </row>
    <row r="77" spans="1:24">
      <c r="A77" t="str">
        <f>MLIST!A70</f>
        <v>Lighting</v>
      </c>
      <c r="B77" t="str">
        <f>MLIST!D70</f>
        <v>Parking Lighting-New</v>
      </c>
      <c r="C77" s="221" t="s">
        <v>824</v>
      </c>
      <c r="D77" s="32">
        <f t="shared" si="6"/>
        <v>0.45</v>
      </c>
      <c r="E77" s="32">
        <f t="shared" si="8"/>
        <v>0.66</v>
      </c>
      <c r="F77" s="32">
        <f t="shared" si="8"/>
        <v>0.8</v>
      </c>
      <c r="G77" s="32">
        <f t="shared" si="8"/>
        <v>0.89</v>
      </c>
      <c r="H77" s="32">
        <f t="shared" si="8"/>
        <v>0.94954036260972652</v>
      </c>
      <c r="I77" s="32">
        <f t="shared" si="8"/>
        <v>0.97931054391458994</v>
      </c>
      <c r="J77" s="32">
        <f t="shared" si="8"/>
        <v>0.99254173560564019</v>
      </c>
      <c r="K77" s="32">
        <f t="shared" si="8"/>
        <v>0.99783421228206048</v>
      </c>
      <c r="L77" s="32">
        <f t="shared" si="8"/>
        <v>0.99975874925530417</v>
      </c>
      <c r="M77" s="32">
        <f t="shared" si="8"/>
        <v>1.0004002615797187</v>
      </c>
      <c r="N77" s="32">
        <f t="shared" si="8"/>
        <v>1.0005976499872309</v>
      </c>
      <c r="O77" s="32">
        <f t="shared" si="8"/>
        <v>1.0006540466750915</v>
      </c>
      <c r="P77" s="32">
        <f t="shared" si="8"/>
        <v>1.0006690857918545</v>
      </c>
      <c r="Q77" s="32">
        <f t="shared" si="8"/>
        <v>1.000672845571045</v>
      </c>
      <c r="R77" s="32">
        <f t="shared" si="8"/>
        <v>1.0006737302249724</v>
      </c>
      <c r="S77" s="32">
        <f t="shared" si="8"/>
        <v>1.0006739268147338</v>
      </c>
      <c r="T77" s="32">
        <f t="shared" si="8"/>
        <v>1.0006739682020522</v>
      </c>
      <c r="U77" s="32">
        <f t="shared" si="8"/>
        <v>1.0006739764795158</v>
      </c>
      <c r="V77" s="32">
        <f t="shared" si="8"/>
        <v>1.0006739780561755</v>
      </c>
      <c r="W77" s="32">
        <f t="shared" si="8"/>
        <v>1.0006739783428409</v>
      </c>
      <c r="X77" s="32"/>
    </row>
    <row r="78" spans="1:24">
      <c r="A78" t="str">
        <f>MLIST!A71</f>
        <v>Lighting</v>
      </c>
      <c r="B78" t="str">
        <f>MLIST!D71</f>
        <v>Parking Lighting-NR</v>
      </c>
      <c r="C78" s="221" t="s">
        <v>825</v>
      </c>
      <c r="D78" s="32">
        <f t="shared" si="6"/>
        <v>0.10937459468255628</v>
      </c>
      <c r="E78" s="32">
        <f t="shared" si="8"/>
        <v>0.21874918936511256</v>
      </c>
      <c r="F78" s="32">
        <f t="shared" si="8"/>
        <v>0.32812378404766884</v>
      </c>
      <c r="G78" s="32">
        <f t="shared" si="8"/>
        <v>0.43749837873022512</v>
      </c>
      <c r="H78" s="32">
        <f t="shared" si="8"/>
        <v>0.5468729734127814</v>
      </c>
      <c r="I78" s="32">
        <f t="shared" si="8"/>
        <v>0.64531010862708205</v>
      </c>
      <c r="J78" s="32">
        <f t="shared" si="8"/>
        <v>0.7240598167985226</v>
      </c>
      <c r="K78" s="32">
        <f t="shared" si="8"/>
        <v>0.78705958333567505</v>
      </c>
      <c r="L78" s="32">
        <f t="shared" si="8"/>
        <v>0.83745939656539703</v>
      </c>
      <c r="M78" s="32">
        <f t="shared" si="8"/>
        <v>0.87777924714917455</v>
      </c>
      <c r="N78" s="32">
        <f t="shared" si="8"/>
        <v>0.91003512761619654</v>
      </c>
      <c r="O78" s="32">
        <f t="shared" si="8"/>
        <v>0.93583983198981413</v>
      </c>
      <c r="P78" s="32">
        <f t="shared" si="8"/>
        <v>0.9564835954887082</v>
      </c>
      <c r="Q78" s="32">
        <f t="shared" si="8"/>
        <v>0.97299860628782353</v>
      </c>
      <c r="R78" s="32">
        <f t="shared" si="8"/>
        <v>0.9862106149271157</v>
      </c>
      <c r="S78" s="32">
        <f t="shared" si="8"/>
        <v>0.99678022183854953</v>
      </c>
      <c r="T78" s="32">
        <f t="shared" si="8"/>
        <v>0.99685231466234414</v>
      </c>
      <c r="U78" s="32">
        <f t="shared" si="8"/>
        <v>0.99687806209941365</v>
      </c>
      <c r="V78" s="32">
        <f t="shared" si="8"/>
        <v>0.99688683963477831</v>
      </c>
      <c r="W78" s="32">
        <f t="shared" si="8"/>
        <v>0.99688970187457115</v>
      </c>
      <c r="X78" s="32"/>
    </row>
    <row r="79" spans="1:24">
      <c r="A79" t="str">
        <f>MLIST!A72</f>
        <v>Lighting</v>
      </c>
      <c r="B79" t="str">
        <f>MLIST!D72</f>
        <v>Bi-Level Stairwell Lighting-NR</v>
      </c>
      <c r="C79" s="218" t="s">
        <v>825</v>
      </c>
      <c r="D79" s="32">
        <f t="shared" si="6"/>
        <v>0.10937459468255628</v>
      </c>
      <c r="E79" s="32">
        <f t="shared" si="8"/>
        <v>0.21874918936511256</v>
      </c>
      <c r="F79" s="32">
        <f t="shared" si="8"/>
        <v>0.32812378404766884</v>
      </c>
      <c r="G79" s="32">
        <f t="shared" si="8"/>
        <v>0.43749837873022512</v>
      </c>
      <c r="H79" s="32">
        <f t="shared" si="8"/>
        <v>0.5468729734127814</v>
      </c>
      <c r="I79" s="32">
        <f t="shared" si="8"/>
        <v>0.64531010862708205</v>
      </c>
      <c r="J79" s="32">
        <f t="shared" si="8"/>
        <v>0.7240598167985226</v>
      </c>
      <c r="K79" s="32">
        <f t="shared" si="8"/>
        <v>0.78705958333567505</v>
      </c>
      <c r="L79" s="32">
        <f t="shared" si="8"/>
        <v>0.83745939656539703</v>
      </c>
      <c r="M79" s="32">
        <f t="shared" si="8"/>
        <v>0.87777924714917455</v>
      </c>
      <c r="N79" s="32">
        <f t="shared" si="8"/>
        <v>0.91003512761619654</v>
      </c>
      <c r="O79" s="32">
        <f t="shared" si="8"/>
        <v>0.93583983198981413</v>
      </c>
      <c r="P79" s="32">
        <f t="shared" si="8"/>
        <v>0.9564835954887082</v>
      </c>
      <c r="Q79" s="32">
        <f t="shared" si="8"/>
        <v>0.97299860628782353</v>
      </c>
      <c r="R79" s="32">
        <f t="shared" si="8"/>
        <v>0.9862106149271157</v>
      </c>
      <c r="S79" s="32">
        <f t="shared" si="8"/>
        <v>0.99678022183854953</v>
      </c>
      <c r="T79" s="32">
        <f t="shared" si="8"/>
        <v>0.99685231466234414</v>
      </c>
      <c r="U79" s="32">
        <f t="shared" si="8"/>
        <v>0.99687806209941365</v>
      </c>
      <c r="V79" s="32">
        <f t="shared" si="8"/>
        <v>0.99688683963477831</v>
      </c>
      <c r="W79" s="32">
        <f t="shared" si="8"/>
        <v>0.99688970187457115</v>
      </c>
      <c r="X79" s="32"/>
    </row>
    <row r="80" spans="1:24">
      <c r="A80" t="str">
        <f>MLIST!A73</f>
        <v>Lighting</v>
      </c>
      <c r="B80" t="str">
        <f>MLIST!D73</f>
        <v>Low Power LF Lamps-NR</v>
      </c>
      <c r="C80" s="218" t="s">
        <v>825</v>
      </c>
      <c r="D80" s="32">
        <f>IF(ISBLANK($C80),"",VLOOKUP($C80,$C$1:$X$16,D$18-$D$18+2,FALSE))</f>
        <v>0.10937459468255628</v>
      </c>
      <c r="E80" s="32">
        <f>IF(ISBLANK($C80),"",VLOOKUP($C80,$C$1:$X$16,E$18-$D$18+2,FALSE))</f>
        <v>0.21874918936511256</v>
      </c>
      <c r="F80" s="32">
        <f>IF(ISBLANK($C80),"",VLOOKUP($C80,$C$1:$X$16,F$18-$D$18+2,FALSE))</f>
        <v>0.32812378404766884</v>
      </c>
      <c r="G80" s="32">
        <f>IF(ISBLANK($C80),"",VLOOKUP($C80,$C$1:$X$16,G$18-$D$18+2,FALSE))</f>
        <v>0.43749837873022512</v>
      </c>
      <c r="H80" s="32">
        <f>IF(ISBLANK($C80),"",VLOOKUP($C80,$C$1:$X$16,H$18-$D$18+2,FALSE))</f>
        <v>0.5468729734127814</v>
      </c>
      <c r="I80" s="32">
        <f>IF(ISBLANK($C80),"",VLOOKUP($C80,$C$1:$X$16,I$18-$D$18+2,FALSE))</f>
        <v>0.64531010862708205</v>
      </c>
      <c r="J80" s="32">
        <f>IF(ISBLANK($C80),"",VLOOKUP($C80,$C$1:$X$16,J$18-$D$18+2,FALSE))</f>
        <v>0.7240598167985226</v>
      </c>
      <c r="K80" s="32">
        <f>IF(ISBLANK($C80),"",VLOOKUP($C80,$C$1:$X$16,K$18-$D$18+2,FALSE))</f>
        <v>0.78705958333567505</v>
      </c>
      <c r="L80" s="32">
        <f>IF(ISBLANK($C80),"",VLOOKUP($C80,$C$1:$X$16,L$18-$D$18+2,FALSE))</f>
        <v>0.83745939656539703</v>
      </c>
      <c r="M80" s="32">
        <f>IF(ISBLANK($C80),"",VLOOKUP($C80,$C$1:$X$16,M$18-$D$18+2,FALSE))</f>
        <v>0.87777924714917455</v>
      </c>
      <c r="N80" s="32">
        <f>IF(ISBLANK($C80),"",VLOOKUP($C80,$C$1:$X$16,N$18-$D$18+2,FALSE))</f>
        <v>0.91003512761619654</v>
      </c>
      <c r="O80" s="32">
        <f>IF(ISBLANK($C80),"",VLOOKUP($C80,$C$1:$X$16,O$18-$D$18+2,FALSE))</f>
        <v>0.93583983198981413</v>
      </c>
      <c r="P80" s="32">
        <f>IF(ISBLANK($C80),"",VLOOKUP($C80,$C$1:$X$16,P$18-$D$18+2,FALSE))</f>
        <v>0.9564835954887082</v>
      </c>
      <c r="Q80" s="32">
        <f>IF(ISBLANK($C80),"",VLOOKUP($C80,$C$1:$X$16,Q$18-$D$18+2,FALSE))</f>
        <v>0.97299860628782353</v>
      </c>
      <c r="R80" s="32">
        <f>IF(ISBLANK($C80),"",VLOOKUP($C80,$C$1:$X$16,R$18-$D$18+2,FALSE))</f>
        <v>0.9862106149271157</v>
      </c>
      <c r="S80" s="32">
        <f>IF(ISBLANK($C80),"",VLOOKUP($C80,$C$1:$X$16,S$18-$D$18+2,FALSE))</f>
        <v>0.99678022183854953</v>
      </c>
      <c r="T80" s="32">
        <f>IF(ISBLANK($C80),"",VLOOKUP($C80,$C$1:$X$16,T$18-$D$18+2,FALSE))</f>
        <v>0.99685231466234414</v>
      </c>
      <c r="U80" s="32">
        <f>IF(ISBLANK($C80),"",VLOOKUP($C80,$C$1:$X$16,U$18-$D$18+2,FALSE))</f>
        <v>0.99687806209941365</v>
      </c>
      <c r="V80" s="32">
        <f>IF(ISBLANK($C80),"",VLOOKUP($C80,$C$1:$X$16,V$18-$D$18+2,FALSE))</f>
        <v>0.99688683963477831</v>
      </c>
      <c r="W80" s="32">
        <f>IF(ISBLANK($C80),"",VLOOKUP($C80,$C$1:$X$16,W$18-$D$18+2,FALSE))</f>
        <v>0.99688970187457115</v>
      </c>
      <c r="X80" s="32"/>
    </row>
    <row r="81" spans="1:24">
      <c r="A81" t="str">
        <f>MLIST!A74</f>
        <v>Lighting</v>
      </c>
      <c r="B81" t="str">
        <f>MLIST!D74</f>
        <v>LEC Exit Sign-New</v>
      </c>
      <c r="C81" s="407" t="s">
        <v>826</v>
      </c>
      <c r="D81" s="32">
        <f t="shared" ref="D81:S82" si="9">IF(ISBLANK($C81),"",VLOOKUP($C81,$C$1:$X$16,D$18-$D$18+2,FALSE))</f>
        <v>0.22119921692859512</v>
      </c>
      <c r="E81" s="32">
        <f t="shared" si="9"/>
        <v>0.37624232795148943</v>
      </c>
      <c r="F81" s="32">
        <f t="shared" si="9"/>
        <v>0.48357361352878442</v>
      </c>
      <c r="G81" s="32">
        <f t="shared" si="9"/>
        <v>0.56716330278444227</v>
      </c>
      <c r="H81" s="32">
        <f t="shared" si="9"/>
        <v>0.64040048266456928</v>
      </c>
      <c r="I81" s="32">
        <f t="shared" si="9"/>
        <v>0.70377511937632964</v>
      </c>
      <c r="J81" s="32">
        <f t="shared" si="9"/>
        <v>0.7580669577441127</v>
      </c>
      <c r="K81" s="32">
        <f t="shared" si="9"/>
        <v>0.80419335000071168</v>
      </c>
      <c r="L81" s="32">
        <f t="shared" si="9"/>
        <v>0.84311022627788457</v>
      </c>
      <c r="M81" s="32">
        <f t="shared" si="9"/>
        <v>0.87575014259103623</v>
      </c>
      <c r="N81" s="32">
        <f t="shared" si="9"/>
        <v>0.90298584871682319</v>
      </c>
      <c r="O81" s="32">
        <f t="shared" si="9"/>
        <v>0.92419703797508856</v>
      </c>
      <c r="P81" s="32">
        <f t="shared" si="9"/>
        <v>0.94071632877930145</v>
      </c>
      <c r="Q81" s="32">
        <f t="shared" si="9"/>
        <v>0.95358156539340677</v>
      </c>
      <c r="R81" s="32">
        <f t="shared" si="9"/>
        <v>0.96360102174287088</v>
      </c>
      <c r="S81" s="32">
        <f t="shared" si="9"/>
        <v>0.97140418219378311</v>
      </c>
      <c r="T81" s="32">
        <f t="shared" ref="T81:W82" si="10">IF(ISBLANK($C81),"",VLOOKUP($C81,$C$1:$X$16,T$18-$D$18+2,FALSE))</f>
        <v>0.97748128966338554</v>
      </c>
      <c r="U81" s="32">
        <f t="shared" si="10"/>
        <v>0.98221414571952104</v>
      </c>
      <c r="V81" s="32">
        <f t="shared" si="10"/>
        <v>0.98590009772220355</v>
      </c>
      <c r="W81" s="32">
        <f t="shared" si="10"/>
        <v>0.98877072002825628</v>
      </c>
      <c r="X81" s="32"/>
    </row>
    <row r="82" spans="1:24">
      <c r="A82" t="str">
        <f>MLIST!A75</f>
        <v>Lighting</v>
      </c>
      <c r="B82" t="str">
        <f>MLIST!D75</f>
        <v>LEC Exit Sign-NR</v>
      </c>
      <c r="C82" s="407" t="s">
        <v>826</v>
      </c>
      <c r="D82" s="32">
        <f t="shared" si="9"/>
        <v>0.22119921692859512</v>
      </c>
      <c r="E82" s="32">
        <f t="shared" si="9"/>
        <v>0.37624232795148943</v>
      </c>
      <c r="F82" s="32">
        <f t="shared" si="9"/>
        <v>0.48357361352878442</v>
      </c>
      <c r="G82" s="32">
        <f t="shared" si="9"/>
        <v>0.56716330278444227</v>
      </c>
      <c r="H82" s="32">
        <f t="shared" si="9"/>
        <v>0.64040048266456928</v>
      </c>
      <c r="I82" s="32">
        <f t="shared" si="9"/>
        <v>0.70377511937632964</v>
      </c>
      <c r="J82" s="32">
        <f t="shared" si="9"/>
        <v>0.7580669577441127</v>
      </c>
      <c r="K82" s="32">
        <f t="shared" si="9"/>
        <v>0.80419335000071168</v>
      </c>
      <c r="L82" s="32">
        <f t="shared" si="9"/>
        <v>0.84311022627788457</v>
      </c>
      <c r="M82" s="32">
        <f t="shared" si="9"/>
        <v>0.87575014259103623</v>
      </c>
      <c r="N82" s="32">
        <f t="shared" si="9"/>
        <v>0.90298584871682319</v>
      </c>
      <c r="O82" s="32">
        <f t="shared" si="9"/>
        <v>0.92419703797508856</v>
      </c>
      <c r="P82" s="32">
        <f t="shared" si="9"/>
        <v>0.94071632877930145</v>
      </c>
      <c r="Q82" s="32">
        <f t="shared" si="9"/>
        <v>0.95358156539340677</v>
      </c>
      <c r="R82" s="32">
        <f t="shared" si="9"/>
        <v>0.96360102174287088</v>
      </c>
      <c r="S82" s="32">
        <f t="shared" si="9"/>
        <v>0.97140418219378311</v>
      </c>
      <c r="T82" s="32">
        <f t="shared" si="10"/>
        <v>0.97748128966338554</v>
      </c>
      <c r="U82" s="32">
        <f t="shared" si="10"/>
        <v>0.98221414571952104</v>
      </c>
      <c r="V82" s="32">
        <f t="shared" si="10"/>
        <v>0.98590009772220355</v>
      </c>
      <c r="W82" s="32">
        <f t="shared" si="10"/>
        <v>0.98877072002825628</v>
      </c>
      <c r="X82" s="32"/>
    </row>
    <row r="83" spans="1:24">
      <c r="A83" t="str">
        <f>MLIST!A76</f>
        <v>Motors/Drives</v>
      </c>
      <c r="B83" t="str">
        <f>MLIST!D76</f>
        <v>ECM-VAV-New</v>
      </c>
      <c r="C83" s="407" t="s">
        <v>825</v>
      </c>
      <c r="D83" s="32">
        <f t="shared" si="6"/>
        <v>0.10937459468255628</v>
      </c>
      <c r="E83" s="32">
        <f t="shared" si="8"/>
        <v>0.21874918936511256</v>
      </c>
      <c r="F83" s="32">
        <f t="shared" si="8"/>
        <v>0.32812378404766884</v>
      </c>
      <c r="G83" s="32">
        <f t="shared" si="8"/>
        <v>0.43749837873022512</v>
      </c>
      <c r="H83" s="32">
        <f t="shared" si="8"/>
        <v>0.5468729734127814</v>
      </c>
      <c r="I83" s="32">
        <f t="shared" si="8"/>
        <v>0.64531010862708205</v>
      </c>
      <c r="J83" s="32">
        <f t="shared" si="8"/>
        <v>0.7240598167985226</v>
      </c>
      <c r="K83" s="32">
        <f t="shared" si="8"/>
        <v>0.78705958333567505</v>
      </c>
      <c r="L83" s="32">
        <f t="shared" si="8"/>
        <v>0.83745939656539703</v>
      </c>
      <c r="M83" s="32">
        <f t="shared" si="8"/>
        <v>0.87777924714917455</v>
      </c>
      <c r="N83" s="32">
        <f t="shared" si="8"/>
        <v>0.91003512761619654</v>
      </c>
      <c r="O83" s="32">
        <f t="shared" si="8"/>
        <v>0.93583983198981413</v>
      </c>
      <c r="P83" s="32">
        <f t="shared" si="8"/>
        <v>0.9564835954887082</v>
      </c>
      <c r="Q83" s="32">
        <f t="shared" si="8"/>
        <v>0.97299860628782353</v>
      </c>
      <c r="R83" s="32">
        <f t="shared" si="8"/>
        <v>0.9862106149271157</v>
      </c>
      <c r="S83" s="32">
        <f t="shared" si="8"/>
        <v>0.99678022183854953</v>
      </c>
      <c r="T83" s="32">
        <f t="shared" si="8"/>
        <v>0.99685231466234414</v>
      </c>
      <c r="U83" s="32">
        <f t="shared" si="8"/>
        <v>0.99687806209941365</v>
      </c>
      <c r="V83" s="32">
        <f t="shared" si="8"/>
        <v>0.99688683963477831</v>
      </c>
      <c r="W83" s="32">
        <f t="shared" si="8"/>
        <v>0.99688970187457115</v>
      </c>
      <c r="X83" s="32"/>
    </row>
    <row r="84" spans="1:24">
      <c r="A84" t="str">
        <f>MLIST!A77</f>
        <v>Motors/Drives</v>
      </c>
      <c r="B84" t="str">
        <f>MLIST!D77</f>
        <v>ECM-VAV-NR</v>
      </c>
      <c r="C84" s="407" t="s">
        <v>825</v>
      </c>
      <c r="D84" s="32">
        <f t="shared" si="6"/>
        <v>0.10937459468255628</v>
      </c>
      <c r="E84" s="32">
        <f t="shared" si="8"/>
        <v>0.21874918936511256</v>
      </c>
      <c r="F84" s="32">
        <f t="shared" si="8"/>
        <v>0.32812378404766884</v>
      </c>
      <c r="G84" s="32">
        <f t="shared" si="8"/>
        <v>0.43749837873022512</v>
      </c>
      <c r="H84" s="32">
        <f t="shared" si="8"/>
        <v>0.5468729734127814</v>
      </c>
      <c r="I84" s="32">
        <f t="shared" si="8"/>
        <v>0.64531010862708205</v>
      </c>
      <c r="J84" s="32">
        <f t="shared" si="8"/>
        <v>0.7240598167985226</v>
      </c>
      <c r="K84" s="32">
        <f t="shared" si="8"/>
        <v>0.78705958333567505</v>
      </c>
      <c r="L84" s="32">
        <f t="shared" si="8"/>
        <v>0.83745939656539703</v>
      </c>
      <c r="M84" s="32">
        <f t="shared" si="8"/>
        <v>0.87777924714917455</v>
      </c>
      <c r="N84" s="32">
        <f t="shared" si="8"/>
        <v>0.91003512761619654</v>
      </c>
      <c r="O84" s="32">
        <f t="shared" si="8"/>
        <v>0.93583983198981413</v>
      </c>
      <c r="P84" s="32">
        <f t="shared" si="8"/>
        <v>0.9564835954887082</v>
      </c>
      <c r="Q84" s="32">
        <f t="shared" si="8"/>
        <v>0.97299860628782353</v>
      </c>
      <c r="R84" s="32">
        <f t="shared" si="8"/>
        <v>0.9862106149271157</v>
      </c>
      <c r="S84" s="32">
        <f t="shared" si="8"/>
        <v>0.99678022183854953</v>
      </c>
      <c r="T84" s="32">
        <f t="shared" si="8"/>
        <v>0.99685231466234414</v>
      </c>
      <c r="U84" s="32">
        <f t="shared" si="8"/>
        <v>0.99687806209941365</v>
      </c>
      <c r="V84" s="32">
        <f t="shared" si="8"/>
        <v>0.99688683963477831</v>
      </c>
      <c r="W84" s="32">
        <f t="shared" si="8"/>
        <v>0.99688970187457115</v>
      </c>
      <c r="X84" s="32"/>
    </row>
    <row r="85" spans="1:24">
      <c r="A85" s="415" t="str">
        <f>MLIST!A78</f>
        <v>Motors/Drives</v>
      </c>
      <c r="B85" s="415" t="str">
        <f>MLIST!D78</f>
        <v>Pool pumps-Retro</v>
      </c>
      <c r="C85" s="415" t="s">
        <v>831</v>
      </c>
      <c r="D85" s="32">
        <f t="shared" si="6"/>
        <v>0.22119921692859512</v>
      </c>
      <c r="E85" s="32">
        <f t="shared" si="8"/>
        <v>0.15504311102289431</v>
      </c>
      <c r="F85" s="32">
        <f t="shared" si="8"/>
        <v>0.10733128557729499</v>
      </c>
      <c r="G85" s="32">
        <f t="shared" si="8"/>
        <v>8.3589689255657879E-2</v>
      </c>
      <c r="H85" s="32">
        <f t="shared" si="8"/>
        <v>7.3237179880126971E-2</v>
      </c>
      <c r="I85" s="32">
        <f t="shared" si="8"/>
        <v>6.3374636711760357E-2</v>
      </c>
      <c r="J85" s="32">
        <f t="shared" si="8"/>
        <v>5.4291838367783084E-2</v>
      </c>
      <c r="K85" s="32">
        <f t="shared" si="8"/>
        <v>4.612639225659896E-2</v>
      </c>
      <c r="L85" s="32">
        <f t="shared" si="8"/>
        <v>3.8916876277172864E-2</v>
      </c>
      <c r="M85" s="32">
        <f t="shared" si="8"/>
        <v>3.2639916313151704E-2</v>
      </c>
      <c r="N85" s="32">
        <f t="shared" si="8"/>
        <v>2.7235706125786907E-2</v>
      </c>
      <c r="O85" s="32">
        <f t="shared" si="8"/>
        <v>2.1211189258265428E-2</v>
      </c>
      <c r="P85" s="32">
        <f t="shared" si="8"/>
        <v>1.6519290804212883E-2</v>
      </c>
      <c r="Q85" s="32">
        <f t="shared" si="8"/>
        <v>1.2865236614105324E-2</v>
      </c>
      <c r="R85" s="32">
        <f t="shared" si="8"/>
        <v>1.0019456349464106E-2</v>
      </c>
      <c r="S85" s="32">
        <f t="shared" si="8"/>
        <v>7.8031604509122832E-3</v>
      </c>
      <c r="T85" s="32">
        <f t="shared" si="8"/>
        <v>6.077107469602494E-3</v>
      </c>
      <c r="U85" s="32">
        <f t="shared" si="8"/>
        <v>4.7328560561354371E-3</v>
      </c>
      <c r="V85" s="32">
        <f t="shared" si="8"/>
        <v>3.6859520026825132E-3</v>
      </c>
      <c r="W85" s="32">
        <f t="shared" si="8"/>
        <v>2.8706223060526725E-3</v>
      </c>
      <c r="X85" s="32"/>
    </row>
    <row r="86" spans="1:24">
      <c r="A86" t="str">
        <f>MLIST!A79</f>
        <v>Motors/Drives</v>
      </c>
      <c r="B86" t="str">
        <f>MLIST!D79</f>
        <v>MotorsRewind-New</v>
      </c>
      <c r="C86" s="218" t="s">
        <v>825</v>
      </c>
      <c r="D86" s="32">
        <f t="shared" ref="D86:D103" si="11">IF(ISBLANK($C86),"",VLOOKUP($C86,$C$1:$X$16,D$18-$D$18+2,FALSE))</f>
        <v>0.10937459468255628</v>
      </c>
      <c r="E86" s="32">
        <f t="shared" si="8"/>
        <v>0.21874918936511256</v>
      </c>
      <c r="F86" s="32">
        <f t="shared" si="8"/>
        <v>0.32812378404766884</v>
      </c>
      <c r="G86" s="32">
        <f t="shared" si="8"/>
        <v>0.43749837873022512</v>
      </c>
      <c r="H86" s="32">
        <f t="shared" si="8"/>
        <v>0.5468729734127814</v>
      </c>
      <c r="I86" s="32">
        <f t="shared" si="8"/>
        <v>0.64531010862708205</v>
      </c>
      <c r="J86" s="32">
        <f t="shared" si="8"/>
        <v>0.7240598167985226</v>
      </c>
      <c r="K86" s="32">
        <f t="shared" si="8"/>
        <v>0.78705958333567505</v>
      </c>
      <c r="L86" s="32">
        <f t="shared" si="8"/>
        <v>0.83745939656539703</v>
      </c>
      <c r="M86" s="32">
        <f t="shared" si="8"/>
        <v>0.87777924714917455</v>
      </c>
      <c r="N86" s="32">
        <f t="shared" si="8"/>
        <v>0.91003512761619654</v>
      </c>
      <c r="O86" s="32">
        <f t="shared" si="8"/>
        <v>0.93583983198981413</v>
      </c>
      <c r="P86" s="32">
        <f t="shared" si="8"/>
        <v>0.9564835954887082</v>
      </c>
      <c r="Q86" s="32">
        <f t="shared" si="8"/>
        <v>0.97299860628782353</v>
      </c>
      <c r="R86" s="32">
        <f t="shared" si="8"/>
        <v>0.9862106149271157</v>
      </c>
      <c r="S86" s="32">
        <f t="shared" si="8"/>
        <v>0.99678022183854953</v>
      </c>
      <c r="T86" s="32">
        <f t="shared" si="8"/>
        <v>0.99685231466234414</v>
      </c>
      <c r="U86" s="32">
        <f t="shared" si="8"/>
        <v>0.99687806209941365</v>
      </c>
      <c r="V86" s="32">
        <f t="shared" si="8"/>
        <v>0.99688683963477831</v>
      </c>
      <c r="W86" s="32">
        <f t="shared" si="8"/>
        <v>0.99688970187457115</v>
      </c>
      <c r="X86" s="32"/>
    </row>
    <row r="87" spans="1:24">
      <c r="A87" t="str">
        <f>MLIST!A80</f>
        <v>Motors/Drives</v>
      </c>
      <c r="B87" t="str">
        <f>MLIST!D80</f>
        <v>MotorsRewind-NR</v>
      </c>
      <c r="C87" s="407" t="s">
        <v>825</v>
      </c>
      <c r="D87" s="32">
        <f t="shared" si="11"/>
        <v>0.10937459468255628</v>
      </c>
      <c r="E87" s="32">
        <f t="shared" ref="E87:S87" si="12">IF(ISBLANK($C87),"",VLOOKUP($C87,$C$1:$X$16,E$18-$D$18+2,FALSE))</f>
        <v>0.21874918936511256</v>
      </c>
      <c r="F87" s="32">
        <f t="shared" si="12"/>
        <v>0.32812378404766884</v>
      </c>
      <c r="G87" s="32">
        <f t="shared" si="12"/>
        <v>0.43749837873022512</v>
      </c>
      <c r="H87" s="32">
        <f t="shared" si="12"/>
        <v>0.5468729734127814</v>
      </c>
      <c r="I87" s="32">
        <f t="shared" si="12"/>
        <v>0.64531010862708205</v>
      </c>
      <c r="J87" s="32">
        <f t="shared" si="12"/>
        <v>0.7240598167985226</v>
      </c>
      <c r="K87" s="32">
        <f t="shared" si="12"/>
        <v>0.78705958333567505</v>
      </c>
      <c r="L87" s="32">
        <f t="shared" si="12"/>
        <v>0.83745939656539703</v>
      </c>
      <c r="M87" s="32">
        <f t="shared" si="12"/>
        <v>0.87777924714917455</v>
      </c>
      <c r="N87" s="32">
        <f t="shared" si="12"/>
        <v>0.91003512761619654</v>
      </c>
      <c r="O87" s="32">
        <f t="shared" si="12"/>
        <v>0.93583983198981413</v>
      </c>
      <c r="P87" s="32">
        <f t="shared" si="12"/>
        <v>0.9564835954887082</v>
      </c>
      <c r="Q87" s="32">
        <f t="shared" si="12"/>
        <v>0.97299860628782353</v>
      </c>
      <c r="R87" s="32">
        <f t="shared" si="12"/>
        <v>0.9862106149271157</v>
      </c>
      <c r="S87" s="32">
        <f t="shared" si="12"/>
        <v>0.99678022183854953</v>
      </c>
      <c r="T87" s="32">
        <f t="shared" si="8"/>
        <v>0.99685231466234414</v>
      </c>
      <c r="U87" s="32">
        <f t="shared" si="8"/>
        <v>0.99687806209941365</v>
      </c>
      <c r="V87" s="32">
        <f t="shared" si="8"/>
        <v>0.99688683963477831</v>
      </c>
      <c r="W87" s="32">
        <f t="shared" si="8"/>
        <v>0.99688970187457115</v>
      </c>
      <c r="X87" s="32"/>
    </row>
    <row r="88" spans="1:24">
      <c r="A88" t="str">
        <f>MLIST!A81</f>
        <v>Process Loads</v>
      </c>
      <c r="B88" t="str">
        <f>MLIST!D81</f>
        <v>Municipal Sewage Treatment-Retro</v>
      </c>
      <c r="C88" s="218" t="s">
        <v>866</v>
      </c>
      <c r="D88" s="32">
        <f t="shared" si="11"/>
        <v>4.2999999999999997E-2</v>
      </c>
      <c r="E88" s="32">
        <f t="shared" si="8"/>
        <v>5.279714228027832E-2</v>
      </c>
      <c r="F88" s="32">
        <f t="shared" si="8"/>
        <v>6.4608251467478173E-2</v>
      </c>
      <c r="G88" s="32">
        <f t="shared" si="8"/>
        <v>7.4999999999999997E-2</v>
      </c>
      <c r="H88" s="32">
        <f t="shared" si="8"/>
        <v>8.5546997470333563E-2</v>
      </c>
      <c r="I88" s="32">
        <f t="shared" si="8"/>
        <v>0.10001472303820647</v>
      </c>
      <c r="J88" s="32">
        <f t="shared" si="8"/>
        <v>0.10971770435235073</v>
      </c>
      <c r="K88" s="32">
        <f t="shared" si="8"/>
        <v>0.11208438511970376</v>
      </c>
      <c r="L88" s="32">
        <f t="shared" si="8"/>
        <v>0.10562608162722853</v>
      </c>
      <c r="M88" s="32">
        <f t="shared" si="8"/>
        <v>9.0794563997872335E-2</v>
      </c>
      <c r="N88" s="32">
        <f t="shared" si="8"/>
        <v>7.0260666991849297E-2</v>
      </c>
      <c r="O88" s="32">
        <f t="shared" si="8"/>
        <v>4.8218360404944538E-2</v>
      </c>
      <c r="P88" s="32">
        <f t="shared" si="8"/>
        <v>2.8854234614640095E-2</v>
      </c>
      <c r="Q88" s="32">
        <f t="shared" si="8"/>
        <v>1.4773964924806759E-2</v>
      </c>
      <c r="R88" s="32">
        <f t="shared" si="8"/>
        <v>6.3385343681182649E-3</v>
      </c>
      <c r="S88" s="32">
        <f t="shared" si="8"/>
        <v>2.2268577196306039E-3</v>
      </c>
      <c r="T88" s="32">
        <f t="shared" si="8"/>
        <v>6.2471001963848583E-4</v>
      </c>
      <c r="U88" s="32">
        <f t="shared" si="8"/>
        <v>1.3615841889635938E-4</v>
      </c>
      <c r="V88" s="32">
        <f t="shared" si="8"/>
        <v>2.2380636622298944E-5</v>
      </c>
      <c r="W88" s="32">
        <f t="shared" si="8"/>
        <v>2.68643837586513E-6</v>
      </c>
      <c r="X88" s="32"/>
    </row>
    <row r="89" spans="1:24">
      <c r="A89" t="str">
        <f>MLIST!A82</f>
        <v>Process Loads</v>
      </c>
      <c r="B89" t="str">
        <f>MLIST!D82</f>
        <v>Municipal Water Supply-Retro</v>
      </c>
      <c r="C89" s="218" t="s">
        <v>866</v>
      </c>
      <c r="D89" s="32">
        <f t="shared" si="11"/>
        <v>4.2999999999999997E-2</v>
      </c>
      <c r="E89" s="32">
        <f t="shared" si="8"/>
        <v>5.279714228027832E-2</v>
      </c>
      <c r="F89" s="32">
        <f t="shared" si="8"/>
        <v>6.4608251467478173E-2</v>
      </c>
      <c r="G89" s="32">
        <f t="shared" si="8"/>
        <v>7.4999999999999997E-2</v>
      </c>
      <c r="H89" s="32">
        <f t="shared" si="8"/>
        <v>8.5546997470333563E-2</v>
      </c>
      <c r="I89" s="32">
        <f t="shared" si="8"/>
        <v>0.10001472303820647</v>
      </c>
      <c r="J89" s="32">
        <f t="shared" si="8"/>
        <v>0.10971770435235073</v>
      </c>
      <c r="K89" s="32">
        <f t="shared" si="8"/>
        <v>0.11208438511970376</v>
      </c>
      <c r="L89" s="32">
        <f t="shared" si="8"/>
        <v>0.10562608162722853</v>
      </c>
      <c r="M89" s="32">
        <f t="shared" si="8"/>
        <v>9.0794563997872335E-2</v>
      </c>
      <c r="N89" s="32">
        <f t="shared" si="8"/>
        <v>7.0260666991849297E-2</v>
      </c>
      <c r="O89" s="32">
        <f t="shared" si="8"/>
        <v>4.8218360404944538E-2</v>
      </c>
      <c r="P89" s="32">
        <f t="shared" si="8"/>
        <v>2.8854234614640095E-2</v>
      </c>
      <c r="Q89" s="32">
        <f t="shared" si="8"/>
        <v>1.4773964924806759E-2</v>
      </c>
      <c r="R89" s="32">
        <f t="shared" si="8"/>
        <v>6.3385343681182649E-3</v>
      </c>
      <c r="S89" s="32">
        <f t="shared" si="8"/>
        <v>2.2268577196306039E-3</v>
      </c>
      <c r="T89" s="32">
        <f t="shared" si="8"/>
        <v>6.2471001963848583E-4</v>
      </c>
      <c r="U89" s="32">
        <f t="shared" si="8"/>
        <v>1.3615841889635938E-4</v>
      </c>
      <c r="V89" s="32">
        <f t="shared" si="8"/>
        <v>2.2380636622298944E-5</v>
      </c>
      <c r="W89" s="32">
        <f t="shared" si="8"/>
        <v>2.68643837586513E-6</v>
      </c>
      <c r="X89" s="32"/>
    </row>
    <row r="90" spans="1:24">
      <c r="A90" s="210" t="str">
        <f>MLIST!A83</f>
        <v>Process Loads</v>
      </c>
      <c r="B90" s="210" t="str">
        <f>MLIST!D83</f>
        <v>Engine Generator Block Heaters-Retro</v>
      </c>
      <c r="C90" s="210" t="s">
        <v>831</v>
      </c>
      <c r="D90" s="32">
        <f t="shared" si="11"/>
        <v>0.22119921692859512</v>
      </c>
      <c r="E90" s="32">
        <f t="shared" si="8"/>
        <v>0.15504311102289431</v>
      </c>
      <c r="F90" s="32">
        <f t="shared" si="8"/>
        <v>0.10733128557729499</v>
      </c>
      <c r="G90" s="32">
        <f t="shared" si="8"/>
        <v>8.3589689255657879E-2</v>
      </c>
      <c r="H90" s="32">
        <f t="shared" si="8"/>
        <v>7.3237179880126971E-2</v>
      </c>
      <c r="I90" s="32">
        <f t="shared" si="8"/>
        <v>6.3374636711760357E-2</v>
      </c>
      <c r="J90" s="32">
        <f t="shared" si="8"/>
        <v>5.4291838367783084E-2</v>
      </c>
      <c r="K90" s="32">
        <f t="shared" si="8"/>
        <v>4.612639225659896E-2</v>
      </c>
      <c r="L90" s="32">
        <f t="shared" si="8"/>
        <v>3.8916876277172864E-2</v>
      </c>
      <c r="M90" s="32">
        <f t="shared" si="8"/>
        <v>3.2639916313151704E-2</v>
      </c>
      <c r="N90" s="32">
        <f t="shared" si="8"/>
        <v>2.7235706125786907E-2</v>
      </c>
      <c r="O90" s="32">
        <f t="shared" si="8"/>
        <v>2.1211189258265428E-2</v>
      </c>
      <c r="P90" s="32">
        <f t="shared" si="8"/>
        <v>1.6519290804212883E-2</v>
      </c>
      <c r="Q90" s="32">
        <f t="shared" si="8"/>
        <v>1.2865236614105324E-2</v>
      </c>
      <c r="R90" s="32">
        <f t="shared" ref="E90:W103" si="13">IF(ISBLANK($C90),"",VLOOKUP($C90,$C$1:$X$16,R$18-$D$18+2,FALSE))</f>
        <v>1.0019456349464106E-2</v>
      </c>
      <c r="S90" s="32">
        <f t="shared" si="13"/>
        <v>7.8031604509122832E-3</v>
      </c>
      <c r="T90" s="32">
        <f t="shared" si="13"/>
        <v>6.077107469602494E-3</v>
      </c>
      <c r="U90" s="32">
        <f t="shared" si="13"/>
        <v>4.7328560561354371E-3</v>
      </c>
      <c r="V90" s="32">
        <f t="shared" si="13"/>
        <v>3.6859520026825132E-3</v>
      </c>
      <c r="W90" s="32">
        <f t="shared" si="13"/>
        <v>2.8706223060526725E-3</v>
      </c>
      <c r="X90" s="32"/>
    </row>
    <row r="91" spans="1:24">
      <c r="A91" t="str">
        <f>MLIST!A84</f>
        <v>Refrigeration</v>
      </c>
      <c r="B91" t="str">
        <f>MLIST!D84</f>
        <v>Grocery Refrigeration Bundle-Retro</v>
      </c>
      <c r="C91" s="407" t="s">
        <v>830</v>
      </c>
      <c r="D91" s="32">
        <f t="shared" si="11"/>
        <v>0.10937459468255628</v>
      </c>
      <c r="E91" s="32">
        <f t="shared" si="13"/>
        <v>0.10937459468255628</v>
      </c>
      <c r="F91" s="32">
        <f t="shared" si="13"/>
        <v>0.10937459468255628</v>
      </c>
      <c r="G91" s="32">
        <f t="shared" si="13"/>
        <v>0.10937459468255628</v>
      </c>
      <c r="H91" s="32">
        <f t="shared" si="13"/>
        <v>0.10937459468255628</v>
      </c>
      <c r="I91" s="32">
        <f t="shared" si="13"/>
        <v>9.8437135214300656E-2</v>
      </c>
      <c r="J91" s="32">
        <f t="shared" si="13"/>
        <v>7.874970817144053E-2</v>
      </c>
      <c r="K91" s="32">
        <f t="shared" si="13"/>
        <v>6.2999766537152418E-2</v>
      </c>
      <c r="L91" s="32">
        <f t="shared" si="13"/>
        <v>5.0399813229721938E-2</v>
      </c>
      <c r="M91" s="32">
        <f t="shared" si="13"/>
        <v>4.0319850583777551E-2</v>
      </c>
      <c r="N91" s="32">
        <f t="shared" si="13"/>
        <v>3.225588046702204E-2</v>
      </c>
      <c r="O91" s="32">
        <f t="shared" si="13"/>
        <v>2.5804704373617631E-2</v>
      </c>
      <c r="P91" s="32">
        <f t="shared" si="13"/>
        <v>2.0643763498894106E-2</v>
      </c>
      <c r="Q91" s="32">
        <f t="shared" si="13"/>
        <v>1.6515010799115284E-2</v>
      </c>
      <c r="R91" s="32">
        <f t="shared" si="13"/>
        <v>1.3212008639292228E-2</v>
      </c>
      <c r="S91" s="32">
        <f t="shared" si="13"/>
        <v>1.0569606911433781E-2</v>
      </c>
      <c r="T91" s="32">
        <f t="shared" si="13"/>
        <v>7.2092823794611682E-5</v>
      </c>
      <c r="U91" s="32">
        <f t="shared" si="13"/>
        <v>2.5747437069512102E-5</v>
      </c>
      <c r="V91" s="32">
        <f t="shared" si="13"/>
        <v>8.7775353646568632E-6</v>
      </c>
      <c r="W91" s="32">
        <f t="shared" si="13"/>
        <v>2.8622397928446119E-6</v>
      </c>
      <c r="X91" s="32"/>
    </row>
    <row r="92" spans="1:24">
      <c r="A92" s="415" t="str">
        <f>MLIST!A85</f>
        <v>Refrigeration</v>
      </c>
      <c r="B92" s="415" t="str">
        <f>MLIST!D85</f>
        <v>Packaged Refrigeration Equipment-New</v>
      </c>
      <c r="C92" s="425" t="s">
        <v>827</v>
      </c>
      <c r="D92" s="32">
        <f t="shared" si="11"/>
        <v>0.05</v>
      </c>
      <c r="E92" s="32">
        <f t="shared" si="13"/>
        <v>0.1</v>
      </c>
      <c r="F92" s="32">
        <f t="shared" si="13"/>
        <v>0.15000000000000002</v>
      </c>
      <c r="G92" s="32">
        <f t="shared" si="13"/>
        <v>0.2</v>
      </c>
      <c r="H92" s="32">
        <f t="shared" si="13"/>
        <v>0.25</v>
      </c>
      <c r="I92" s="32">
        <f t="shared" si="13"/>
        <v>0.3</v>
      </c>
      <c r="J92" s="32">
        <f t="shared" si="13"/>
        <v>0.35</v>
      </c>
      <c r="K92" s="32">
        <f t="shared" si="13"/>
        <v>0.39999999999999997</v>
      </c>
      <c r="L92" s="32">
        <f t="shared" si="13"/>
        <v>0.44999999999999996</v>
      </c>
      <c r="M92" s="32">
        <f t="shared" si="13"/>
        <v>0.49999999999999994</v>
      </c>
      <c r="N92" s="32">
        <f t="shared" si="13"/>
        <v>0.54999999999999993</v>
      </c>
      <c r="O92" s="32">
        <f t="shared" si="13"/>
        <v>0.6</v>
      </c>
      <c r="P92" s="32">
        <f t="shared" si="13"/>
        <v>0.65</v>
      </c>
      <c r="Q92" s="32">
        <f t="shared" si="13"/>
        <v>0.70000000000000007</v>
      </c>
      <c r="R92" s="32">
        <f t="shared" si="13"/>
        <v>0.75000000000000011</v>
      </c>
      <c r="S92" s="32">
        <f t="shared" si="13"/>
        <v>0.80000000000000016</v>
      </c>
      <c r="T92" s="32">
        <f t="shared" si="13"/>
        <v>0.8500000000000002</v>
      </c>
      <c r="U92" s="32">
        <f t="shared" si="13"/>
        <v>0.90000000000000024</v>
      </c>
      <c r="V92" s="32">
        <f t="shared" si="13"/>
        <v>0.95000000000000029</v>
      </c>
      <c r="W92" s="32">
        <f t="shared" si="13"/>
        <v>1.0000000000000002</v>
      </c>
      <c r="X92" s="32"/>
    </row>
    <row r="93" spans="1:24">
      <c r="A93" t="str">
        <f>MLIST!A86</f>
        <v>Refrigeration</v>
      </c>
      <c r="B93" t="str">
        <f>MLIST!D86</f>
        <v>Appliances - Freezers-NR</v>
      </c>
      <c r="C93" s="407" t="s">
        <v>869</v>
      </c>
      <c r="D93" s="32">
        <f t="shared" si="11"/>
        <v>4.2999999999999997E-2</v>
      </c>
      <c r="E93" s="32">
        <f t="shared" si="13"/>
        <v>9.5797142280278316E-2</v>
      </c>
      <c r="F93" s="32">
        <f t="shared" si="13"/>
        <v>0.16040539374775648</v>
      </c>
      <c r="G93" s="32">
        <f t="shared" si="13"/>
        <v>0.23540539374775649</v>
      </c>
      <c r="H93" s="32">
        <f t="shared" si="13"/>
        <v>0.32095239121809005</v>
      </c>
      <c r="I93" s="32">
        <f t="shared" si="13"/>
        <v>0.42096711425629652</v>
      </c>
      <c r="J93" s="32">
        <f t="shared" si="13"/>
        <v>0.53068481860864725</v>
      </c>
      <c r="K93" s="32">
        <f t="shared" si="13"/>
        <v>0.642769203728351</v>
      </c>
      <c r="L93" s="32">
        <f t="shared" si="13"/>
        <v>0.74839528535557953</v>
      </c>
      <c r="M93" s="32">
        <f t="shared" si="13"/>
        <v>0.83918984935345187</v>
      </c>
      <c r="N93" s="32">
        <f t="shared" si="13"/>
        <v>0.90945051634530116</v>
      </c>
      <c r="O93" s="32">
        <f t="shared" si="13"/>
        <v>0.9576688767502457</v>
      </c>
      <c r="P93" s="32">
        <f t="shared" si="13"/>
        <v>0.9865231113648858</v>
      </c>
      <c r="Q93" s="32">
        <f t="shared" si="13"/>
        <v>1.0012970762896924</v>
      </c>
      <c r="R93" s="32">
        <f t="shared" si="13"/>
        <v>1.0076356106578106</v>
      </c>
      <c r="S93" s="32">
        <f t="shared" si="13"/>
        <v>1.0098624683774413</v>
      </c>
      <c r="T93" s="32">
        <f t="shared" si="13"/>
        <v>1.0104871783970797</v>
      </c>
      <c r="U93" s="32">
        <f t="shared" si="13"/>
        <v>1.010623336815976</v>
      </c>
      <c r="V93" s="32">
        <f t="shared" si="13"/>
        <v>1.0106457174525985</v>
      </c>
      <c r="W93" s="32">
        <f t="shared" si="13"/>
        <v>1.0106484038909742</v>
      </c>
      <c r="X93" s="32"/>
    </row>
    <row r="94" spans="1:24">
      <c r="A94" t="str">
        <f>MLIST!A87</f>
        <v>Refrigeration</v>
      </c>
      <c r="B94" t="str">
        <f>MLIST!D87</f>
        <v>Appliances - Refrigerators-NR</v>
      </c>
      <c r="C94" s="407" t="s">
        <v>869</v>
      </c>
      <c r="D94" s="32">
        <f t="shared" si="11"/>
        <v>4.2999999999999997E-2</v>
      </c>
      <c r="E94" s="32">
        <f t="shared" si="13"/>
        <v>9.5797142280278316E-2</v>
      </c>
      <c r="F94" s="32">
        <f t="shared" si="13"/>
        <v>0.16040539374775648</v>
      </c>
      <c r="G94" s="32">
        <f t="shared" si="13"/>
        <v>0.23540539374775649</v>
      </c>
      <c r="H94" s="32">
        <f t="shared" si="13"/>
        <v>0.32095239121809005</v>
      </c>
      <c r="I94" s="32">
        <f t="shared" si="13"/>
        <v>0.42096711425629652</v>
      </c>
      <c r="J94" s="32">
        <f t="shared" si="13"/>
        <v>0.53068481860864725</v>
      </c>
      <c r="K94" s="32">
        <f t="shared" si="13"/>
        <v>0.642769203728351</v>
      </c>
      <c r="L94" s="32">
        <f t="shared" si="13"/>
        <v>0.74839528535557953</v>
      </c>
      <c r="M94" s="32">
        <f t="shared" si="13"/>
        <v>0.83918984935345187</v>
      </c>
      <c r="N94" s="32">
        <f t="shared" si="13"/>
        <v>0.90945051634530116</v>
      </c>
      <c r="O94" s="32">
        <f t="shared" si="13"/>
        <v>0.9576688767502457</v>
      </c>
      <c r="P94" s="32">
        <f t="shared" si="13"/>
        <v>0.9865231113648858</v>
      </c>
      <c r="Q94" s="32">
        <f t="shared" si="13"/>
        <v>1.0012970762896924</v>
      </c>
      <c r="R94" s="32">
        <f t="shared" si="13"/>
        <v>1.0076356106578106</v>
      </c>
      <c r="S94" s="32">
        <f t="shared" si="13"/>
        <v>1.0098624683774413</v>
      </c>
      <c r="T94" s="32">
        <f t="shared" si="13"/>
        <v>1.0104871783970797</v>
      </c>
      <c r="U94" s="32">
        <f t="shared" si="13"/>
        <v>1.010623336815976</v>
      </c>
      <c r="V94" s="32">
        <f t="shared" si="13"/>
        <v>1.0106457174525985</v>
      </c>
      <c r="W94" s="32">
        <f t="shared" si="13"/>
        <v>1.0106484038909742</v>
      </c>
      <c r="X94" s="32"/>
    </row>
    <row r="95" spans="1:24">
      <c r="A95" t="str">
        <f>MLIST!A88</f>
        <v>Refrigeration</v>
      </c>
      <c r="B95" t="str">
        <f>MLIST!D88</f>
        <v>Water Cooler Controls-NR</v>
      </c>
      <c r="C95" s="407" t="s">
        <v>869</v>
      </c>
      <c r="D95" s="32">
        <f t="shared" si="11"/>
        <v>4.2999999999999997E-2</v>
      </c>
      <c r="E95" s="32">
        <f t="shared" si="13"/>
        <v>9.5797142280278316E-2</v>
      </c>
      <c r="F95" s="32">
        <f t="shared" si="13"/>
        <v>0.16040539374775648</v>
      </c>
      <c r="G95" s="32">
        <f t="shared" si="13"/>
        <v>0.23540539374775649</v>
      </c>
      <c r="H95" s="32">
        <f t="shared" si="13"/>
        <v>0.32095239121809005</v>
      </c>
      <c r="I95" s="32">
        <f t="shared" si="13"/>
        <v>0.42096711425629652</v>
      </c>
      <c r="J95" s="32">
        <f t="shared" si="13"/>
        <v>0.53068481860864725</v>
      </c>
      <c r="K95" s="32">
        <f t="shared" si="13"/>
        <v>0.642769203728351</v>
      </c>
      <c r="L95" s="32">
        <f t="shared" si="13"/>
        <v>0.74839528535557953</v>
      </c>
      <c r="M95" s="32">
        <f t="shared" si="13"/>
        <v>0.83918984935345187</v>
      </c>
      <c r="N95" s="32">
        <f t="shared" si="13"/>
        <v>0.90945051634530116</v>
      </c>
      <c r="O95" s="32">
        <f t="shared" si="13"/>
        <v>0.9576688767502457</v>
      </c>
      <c r="P95" s="32">
        <f t="shared" si="13"/>
        <v>0.9865231113648858</v>
      </c>
      <c r="Q95" s="32">
        <f t="shared" si="13"/>
        <v>1.0012970762896924</v>
      </c>
      <c r="R95" s="32">
        <f t="shared" si="13"/>
        <v>1.0076356106578106</v>
      </c>
      <c r="S95" s="32">
        <f t="shared" si="13"/>
        <v>1.0098624683774413</v>
      </c>
      <c r="T95" s="32">
        <f t="shared" si="13"/>
        <v>1.0104871783970797</v>
      </c>
      <c r="U95" s="32">
        <f t="shared" si="13"/>
        <v>1.010623336815976</v>
      </c>
      <c r="V95" s="32">
        <f t="shared" si="13"/>
        <v>1.0106457174525985</v>
      </c>
      <c r="W95" s="32">
        <f t="shared" si="13"/>
        <v>1.0106484038909742</v>
      </c>
      <c r="X95" s="32"/>
    </row>
    <row r="96" spans="1:24">
      <c r="A96" t="str">
        <f>MLIST!A89</f>
        <v>Water Heating</v>
      </c>
      <c r="B96" t="str">
        <f>MLIST!D89</f>
        <v>WHTanks-New</v>
      </c>
      <c r="C96" s="407" t="s">
        <v>825</v>
      </c>
      <c r="D96" s="32">
        <f t="shared" si="11"/>
        <v>0.10937459468255628</v>
      </c>
      <c r="E96" s="32">
        <f t="shared" si="13"/>
        <v>0.21874918936511256</v>
      </c>
      <c r="F96" s="32">
        <f t="shared" si="13"/>
        <v>0.32812378404766884</v>
      </c>
      <c r="G96" s="32">
        <f t="shared" si="13"/>
        <v>0.43749837873022512</v>
      </c>
      <c r="H96" s="32">
        <f t="shared" si="13"/>
        <v>0.5468729734127814</v>
      </c>
      <c r="I96" s="32">
        <f t="shared" si="13"/>
        <v>0.64531010862708205</v>
      </c>
      <c r="J96" s="32">
        <f t="shared" si="13"/>
        <v>0.7240598167985226</v>
      </c>
      <c r="K96" s="32">
        <f t="shared" si="13"/>
        <v>0.78705958333567505</v>
      </c>
      <c r="L96" s="32">
        <f t="shared" si="13"/>
        <v>0.83745939656539703</v>
      </c>
      <c r="M96" s="32">
        <f t="shared" si="13"/>
        <v>0.87777924714917455</v>
      </c>
      <c r="N96" s="32">
        <f t="shared" si="13"/>
        <v>0.91003512761619654</v>
      </c>
      <c r="O96" s="32">
        <f t="shared" si="13"/>
        <v>0.93583983198981413</v>
      </c>
      <c r="P96" s="32">
        <f t="shared" si="13"/>
        <v>0.9564835954887082</v>
      </c>
      <c r="Q96" s="32">
        <f t="shared" si="13"/>
        <v>0.97299860628782353</v>
      </c>
      <c r="R96" s="32">
        <f t="shared" si="13"/>
        <v>0.9862106149271157</v>
      </c>
      <c r="S96" s="32">
        <f t="shared" si="13"/>
        <v>0.99678022183854953</v>
      </c>
      <c r="T96" s="32">
        <f t="shared" si="13"/>
        <v>0.99685231466234414</v>
      </c>
      <c r="U96" s="32">
        <f t="shared" si="13"/>
        <v>0.99687806209941365</v>
      </c>
      <c r="V96" s="32">
        <f t="shared" si="13"/>
        <v>0.99688683963477831</v>
      </c>
      <c r="W96" s="32">
        <f t="shared" si="13"/>
        <v>0.99688970187457115</v>
      </c>
      <c r="X96" s="32"/>
    </row>
    <row r="97" spans="1:24">
      <c r="A97" t="str">
        <f>MLIST!A90</f>
        <v>Water Heating</v>
      </c>
      <c r="B97" t="str">
        <f>MLIST!D90</f>
        <v>WHTanks-NR</v>
      </c>
      <c r="C97" s="218" t="s">
        <v>825</v>
      </c>
      <c r="D97" s="32">
        <f>IF(ISBLANK($C97),"",VLOOKUP($C97,$C$1:$X$16,D$18-$D$18+2,FALSE))</f>
        <v>0.10937459468255628</v>
      </c>
      <c r="E97" s="32">
        <f>IF(ISBLANK($C97),"",VLOOKUP($C97,$C$1:$X$16,E$18-$D$18+2,FALSE))</f>
        <v>0.21874918936511256</v>
      </c>
      <c r="F97" s="32">
        <f>IF(ISBLANK($C97),"",VLOOKUP($C97,$C$1:$X$16,F$18-$D$18+2,FALSE))</f>
        <v>0.32812378404766884</v>
      </c>
      <c r="G97" s="32">
        <f>IF(ISBLANK($C97),"",VLOOKUP($C97,$C$1:$X$16,G$18-$D$18+2,FALSE))</f>
        <v>0.43749837873022512</v>
      </c>
      <c r="H97" s="32">
        <f>IF(ISBLANK($C97),"",VLOOKUP($C97,$C$1:$X$16,H$18-$D$18+2,FALSE))</f>
        <v>0.5468729734127814</v>
      </c>
      <c r="I97" s="32">
        <f>IF(ISBLANK($C97),"",VLOOKUP($C97,$C$1:$X$16,I$18-$D$18+2,FALSE))</f>
        <v>0.64531010862708205</v>
      </c>
      <c r="J97" s="32">
        <f>IF(ISBLANK($C97),"",VLOOKUP($C97,$C$1:$X$16,J$18-$D$18+2,FALSE))</f>
        <v>0.7240598167985226</v>
      </c>
      <c r="K97" s="32">
        <f>IF(ISBLANK($C97),"",VLOOKUP($C97,$C$1:$X$16,K$18-$D$18+2,FALSE))</f>
        <v>0.78705958333567505</v>
      </c>
      <c r="L97" s="32">
        <f>IF(ISBLANK($C97),"",VLOOKUP($C97,$C$1:$X$16,L$18-$D$18+2,FALSE))</f>
        <v>0.83745939656539703</v>
      </c>
      <c r="M97" s="32">
        <f>IF(ISBLANK($C97),"",VLOOKUP($C97,$C$1:$X$16,M$18-$D$18+2,FALSE))</f>
        <v>0.87777924714917455</v>
      </c>
      <c r="N97" s="32">
        <f>IF(ISBLANK($C97),"",VLOOKUP($C97,$C$1:$X$16,N$18-$D$18+2,FALSE))</f>
        <v>0.91003512761619654</v>
      </c>
      <c r="O97" s="32">
        <f>IF(ISBLANK($C97),"",VLOOKUP($C97,$C$1:$X$16,O$18-$D$18+2,FALSE))</f>
        <v>0.93583983198981413</v>
      </c>
      <c r="P97" s="32">
        <f>IF(ISBLANK($C97),"",VLOOKUP($C97,$C$1:$X$16,P$18-$D$18+2,FALSE))</f>
        <v>0.9564835954887082</v>
      </c>
      <c r="Q97" s="32">
        <f>IF(ISBLANK($C97),"",VLOOKUP($C97,$C$1:$X$16,Q$18-$D$18+2,FALSE))</f>
        <v>0.97299860628782353</v>
      </c>
      <c r="R97" s="32">
        <f>IF(ISBLANK($C97),"",VLOOKUP($C97,$C$1:$X$16,R$18-$D$18+2,FALSE))</f>
        <v>0.9862106149271157</v>
      </c>
      <c r="S97" s="32">
        <f>IF(ISBLANK($C97),"",VLOOKUP($C97,$C$1:$X$16,S$18-$D$18+2,FALSE))</f>
        <v>0.99678022183854953</v>
      </c>
      <c r="T97" s="32">
        <f>IF(ISBLANK($C97),"",VLOOKUP($C97,$C$1:$X$16,T$18-$D$18+2,FALSE))</f>
        <v>0.99685231466234414</v>
      </c>
      <c r="U97" s="32">
        <f>IF(ISBLANK($C97),"",VLOOKUP($C97,$C$1:$X$16,U$18-$D$18+2,FALSE))</f>
        <v>0.99687806209941365</v>
      </c>
      <c r="V97" s="32">
        <f>IF(ISBLANK($C97),"",VLOOKUP($C97,$C$1:$X$16,V$18-$D$18+2,FALSE))</f>
        <v>0.99688683963477831</v>
      </c>
      <c r="W97" s="32">
        <f>IF(ISBLANK($C97),"",VLOOKUP($C97,$C$1:$X$16,W$18-$D$18+2,FALSE))</f>
        <v>0.99688970187457115</v>
      </c>
      <c r="X97" s="32"/>
    </row>
    <row r="98" spans="1:24">
      <c r="A98" s="210" t="str">
        <f>MLIST!A91</f>
        <v>Water Heating</v>
      </c>
      <c r="B98" s="210" t="str">
        <f>MLIST!D91</f>
        <v>Appliances - Clothes Washers-NR</v>
      </c>
      <c r="C98" s="210" t="s">
        <v>831</v>
      </c>
      <c r="D98" s="32">
        <f t="shared" si="11"/>
        <v>0.22119921692859512</v>
      </c>
      <c r="E98" s="32">
        <f t="shared" si="13"/>
        <v>0.15504311102289431</v>
      </c>
      <c r="F98" s="32">
        <f t="shared" si="13"/>
        <v>0.10733128557729499</v>
      </c>
      <c r="G98" s="32">
        <f t="shared" si="13"/>
        <v>8.3589689255657879E-2</v>
      </c>
      <c r="H98" s="32">
        <f t="shared" si="13"/>
        <v>7.3237179880126971E-2</v>
      </c>
      <c r="I98" s="32">
        <f t="shared" si="13"/>
        <v>6.3374636711760357E-2</v>
      </c>
      <c r="J98" s="32">
        <f t="shared" si="13"/>
        <v>5.4291838367783084E-2</v>
      </c>
      <c r="K98" s="32">
        <f t="shared" si="13"/>
        <v>4.612639225659896E-2</v>
      </c>
      <c r="L98" s="32">
        <f t="shared" si="13"/>
        <v>3.8916876277172864E-2</v>
      </c>
      <c r="M98" s="32">
        <f t="shared" si="13"/>
        <v>3.2639916313151704E-2</v>
      </c>
      <c r="N98" s="32">
        <f t="shared" si="13"/>
        <v>2.7235706125786907E-2</v>
      </c>
      <c r="O98" s="32">
        <f t="shared" si="13"/>
        <v>2.1211189258265428E-2</v>
      </c>
      <c r="P98" s="32">
        <f t="shared" si="13"/>
        <v>1.6519290804212883E-2</v>
      </c>
      <c r="Q98" s="32">
        <f t="shared" si="13"/>
        <v>1.2865236614105324E-2</v>
      </c>
      <c r="R98" s="32">
        <f t="shared" si="13"/>
        <v>1.0019456349464106E-2</v>
      </c>
      <c r="S98" s="32">
        <f t="shared" si="13"/>
        <v>7.8031604509122832E-3</v>
      </c>
      <c r="T98" s="32">
        <f t="shared" si="13"/>
        <v>6.077107469602494E-3</v>
      </c>
      <c r="U98" s="32">
        <f t="shared" si="13"/>
        <v>4.7328560561354371E-3</v>
      </c>
      <c r="V98" s="32">
        <f t="shared" si="13"/>
        <v>3.6859520026825132E-3</v>
      </c>
      <c r="W98" s="32">
        <f t="shared" si="13"/>
        <v>2.8706223060526725E-3</v>
      </c>
      <c r="X98" s="32"/>
    </row>
    <row r="99" spans="1:24">
      <c r="A99" t="str">
        <f>MLIST!A92</f>
        <v>Water Heating</v>
      </c>
      <c r="B99" t="str">
        <f>MLIST!D92</f>
        <v>Showerheads-Retro</v>
      </c>
      <c r="C99" s="221" t="s">
        <v>831</v>
      </c>
      <c r="D99" s="32">
        <f t="shared" si="11"/>
        <v>0.22119921692859512</v>
      </c>
      <c r="E99" s="32">
        <f t="shared" si="13"/>
        <v>0.15504311102289431</v>
      </c>
      <c r="F99" s="32">
        <f t="shared" si="13"/>
        <v>0.10733128557729499</v>
      </c>
      <c r="G99" s="32">
        <f t="shared" si="13"/>
        <v>8.3589689255657879E-2</v>
      </c>
      <c r="H99" s="32">
        <f t="shared" si="13"/>
        <v>7.3237179880126971E-2</v>
      </c>
      <c r="I99" s="32">
        <f t="shared" si="13"/>
        <v>6.3374636711760357E-2</v>
      </c>
      <c r="J99" s="32">
        <f t="shared" si="13"/>
        <v>5.4291838367783084E-2</v>
      </c>
      <c r="K99" s="32">
        <f t="shared" si="13"/>
        <v>4.612639225659896E-2</v>
      </c>
      <c r="L99" s="32">
        <f t="shared" si="13"/>
        <v>3.8916876277172864E-2</v>
      </c>
      <c r="M99" s="32">
        <f t="shared" si="13"/>
        <v>3.2639916313151704E-2</v>
      </c>
      <c r="N99" s="32">
        <f t="shared" si="13"/>
        <v>2.7235706125786907E-2</v>
      </c>
      <c r="O99" s="32">
        <f t="shared" si="13"/>
        <v>2.1211189258265428E-2</v>
      </c>
      <c r="P99" s="32">
        <f t="shared" si="13"/>
        <v>1.6519290804212883E-2</v>
      </c>
      <c r="Q99" s="32">
        <f t="shared" si="13"/>
        <v>1.2865236614105324E-2</v>
      </c>
      <c r="R99" s="32">
        <f t="shared" si="13"/>
        <v>1.0019456349464106E-2</v>
      </c>
      <c r="S99" s="32">
        <f t="shared" si="13"/>
        <v>7.8031604509122832E-3</v>
      </c>
      <c r="T99" s="32">
        <f t="shared" si="13"/>
        <v>6.077107469602494E-3</v>
      </c>
      <c r="U99" s="32">
        <f t="shared" si="13"/>
        <v>4.7328560561354371E-3</v>
      </c>
      <c r="V99" s="32">
        <f t="shared" si="13"/>
        <v>3.6859520026825132E-3</v>
      </c>
      <c r="W99" s="32">
        <f t="shared" si="13"/>
        <v>2.8706223060526725E-3</v>
      </c>
      <c r="X99" s="32"/>
    </row>
    <row r="100" spans="1:24">
      <c r="A100" s="210" t="str">
        <f>MLIST!A93</f>
        <v>Water Heating</v>
      </c>
      <c r="B100" s="210" t="str">
        <f>MLIST!D93</f>
        <v>Water Heating - GFHX-New</v>
      </c>
      <c r="C100" s="210" t="s">
        <v>831</v>
      </c>
      <c r="D100" s="32">
        <f t="shared" si="11"/>
        <v>0.22119921692859512</v>
      </c>
      <c r="E100" s="32">
        <f t="shared" si="13"/>
        <v>0.15504311102289431</v>
      </c>
      <c r="F100" s="32">
        <f t="shared" si="13"/>
        <v>0.10733128557729499</v>
      </c>
      <c r="G100" s="32">
        <f t="shared" si="13"/>
        <v>8.3589689255657879E-2</v>
      </c>
      <c r="H100" s="32">
        <f t="shared" si="13"/>
        <v>7.3237179880126971E-2</v>
      </c>
      <c r="I100" s="32">
        <f t="shared" si="13"/>
        <v>6.3374636711760357E-2</v>
      </c>
      <c r="J100" s="32">
        <f t="shared" si="13"/>
        <v>5.4291838367783084E-2</v>
      </c>
      <c r="K100" s="32">
        <f t="shared" si="13"/>
        <v>4.612639225659896E-2</v>
      </c>
      <c r="L100" s="32">
        <f t="shared" si="13"/>
        <v>3.8916876277172864E-2</v>
      </c>
      <c r="M100" s="32">
        <f t="shared" si="13"/>
        <v>3.2639916313151704E-2</v>
      </c>
      <c r="N100" s="32">
        <f t="shared" si="13"/>
        <v>2.7235706125786907E-2</v>
      </c>
      <c r="O100" s="32">
        <f t="shared" si="13"/>
        <v>2.1211189258265428E-2</v>
      </c>
      <c r="P100" s="32">
        <f t="shared" si="13"/>
        <v>1.6519290804212883E-2</v>
      </c>
      <c r="Q100" s="32">
        <f t="shared" si="13"/>
        <v>1.2865236614105324E-2</v>
      </c>
      <c r="R100" s="32">
        <f t="shared" si="13"/>
        <v>1.0019456349464106E-2</v>
      </c>
      <c r="S100" s="32">
        <f t="shared" si="13"/>
        <v>7.8031604509122832E-3</v>
      </c>
      <c r="T100" s="32">
        <f t="shared" si="13"/>
        <v>6.077107469602494E-3</v>
      </c>
      <c r="U100" s="32">
        <f t="shared" si="13"/>
        <v>4.7328560561354371E-3</v>
      </c>
      <c r="V100" s="32">
        <f t="shared" si="13"/>
        <v>3.6859520026825132E-3</v>
      </c>
      <c r="W100" s="32">
        <f t="shared" si="13"/>
        <v>2.8706223060526725E-3</v>
      </c>
      <c r="X100" s="32"/>
    </row>
    <row r="101" spans="1:24">
      <c r="A101" t="str">
        <f>MLIST!A94</f>
        <v>Water Heating</v>
      </c>
      <c r="B101" t="str">
        <f>MLIST!D94</f>
        <v>Demand Control Circulating system DHW-Retro</v>
      </c>
      <c r="C101" s="407" t="s">
        <v>832</v>
      </c>
      <c r="D101" s="32">
        <f t="shared" si="11"/>
        <v>0.05</v>
      </c>
      <c r="E101" s="32">
        <f t="shared" si="13"/>
        <v>0.05</v>
      </c>
      <c r="F101" s="32">
        <f t="shared" si="13"/>
        <v>0.05</v>
      </c>
      <c r="G101" s="32">
        <f t="shared" si="13"/>
        <v>0.05</v>
      </c>
      <c r="H101" s="32">
        <f t="shared" si="13"/>
        <v>0.05</v>
      </c>
      <c r="I101" s="32">
        <f t="shared" si="13"/>
        <v>0.05</v>
      </c>
      <c r="J101" s="32">
        <f t="shared" si="13"/>
        <v>0.05</v>
      </c>
      <c r="K101" s="32">
        <f t="shared" si="13"/>
        <v>0.05</v>
      </c>
      <c r="L101" s="32">
        <f t="shared" si="13"/>
        <v>0.05</v>
      </c>
      <c r="M101" s="32">
        <f t="shared" si="13"/>
        <v>0.05</v>
      </c>
      <c r="N101" s="32">
        <f t="shared" si="13"/>
        <v>0.05</v>
      </c>
      <c r="O101" s="32">
        <f t="shared" si="13"/>
        <v>0.05</v>
      </c>
      <c r="P101" s="32">
        <f t="shared" si="13"/>
        <v>0.05</v>
      </c>
      <c r="Q101" s="32">
        <f t="shared" si="13"/>
        <v>0.05</v>
      </c>
      <c r="R101" s="32">
        <f t="shared" si="13"/>
        <v>0.05</v>
      </c>
      <c r="S101" s="32">
        <f t="shared" si="13"/>
        <v>0.05</v>
      </c>
      <c r="T101" s="32">
        <f t="shared" si="13"/>
        <v>0.05</v>
      </c>
      <c r="U101" s="32">
        <f t="shared" si="13"/>
        <v>0.05</v>
      </c>
      <c r="V101" s="32">
        <f t="shared" si="13"/>
        <v>0.05</v>
      </c>
      <c r="W101" s="32">
        <f t="shared" si="13"/>
        <v>0.05</v>
      </c>
      <c r="X101" s="32"/>
    </row>
    <row r="102" spans="1:24">
      <c r="A102" s="210" t="str">
        <f>MLIST!A95</f>
        <v>Water Heating</v>
      </c>
      <c r="B102" s="210" t="str">
        <f>MLIST!D95</f>
        <v>Central HPWH MF-Retro</v>
      </c>
      <c r="C102" s="408" t="s">
        <v>831</v>
      </c>
      <c r="D102" s="32">
        <f t="shared" si="11"/>
        <v>0.22119921692859512</v>
      </c>
      <c r="E102" s="32">
        <f t="shared" si="13"/>
        <v>0.15504311102289431</v>
      </c>
      <c r="F102" s="32">
        <f t="shared" si="13"/>
        <v>0.10733128557729499</v>
      </c>
      <c r="G102" s="32">
        <f t="shared" si="13"/>
        <v>8.3589689255657879E-2</v>
      </c>
      <c r="H102" s="32">
        <f t="shared" si="13"/>
        <v>7.3237179880126971E-2</v>
      </c>
      <c r="I102" s="32">
        <f t="shared" si="13"/>
        <v>6.3374636711760357E-2</v>
      </c>
      <c r="J102" s="32">
        <f t="shared" si="13"/>
        <v>5.4291838367783084E-2</v>
      </c>
      <c r="K102" s="32">
        <f t="shared" si="13"/>
        <v>4.612639225659896E-2</v>
      </c>
      <c r="L102" s="32">
        <f t="shared" si="13"/>
        <v>3.8916876277172864E-2</v>
      </c>
      <c r="M102" s="32">
        <f t="shared" si="13"/>
        <v>3.2639916313151704E-2</v>
      </c>
      <c r="N102" s="32">
        <f t="shared" si="13"/>
        <v>2.7235706125786907E-2</v>
      </c>
      <c r="O102" s="32">
        <f t="shared" si="13"/>
        <v>2.1211189258265428E-2</v>
      </c>
      <c r="P102" s="32">
        <f t="shared" si="13"/>
        <v>1.6519290804212883E-2</v>
      </c>
      <c r="Q102" s="32">
        <f t="shared" si="13"/>
        <v>1.2865236614105324E-2</v>
      </c>
      <c r="R102" s="32">
        <f t="shared" si="13"/>
        <v>1.0019456349464106E-2</v>
      </c>
      <c r="S102" s="32">
        <f t="shared" si="13"/>
        <v>7.8031604509122832E-3</v>
      </c>
      <c r="T102" s="32">
        <f t="shared" si="13"/>
        <v>6.077107469602494E-3</v>
      </c>
      <c r="U102" s="32">
        <f t="shared" si="13"/>
        <v>4.7328560561354371E-3</v>
      </c>
      <c r="V102" s="32">
        <f t="shared" si="13"/>
        <v>3.6859520026825132E-3</v>
      </c>
      <c r="W102" s="32">
        <f t="shared" si="13"/>
        <v>2.8706223060526725E-3</v>
      </c>
      <c r="X102" s="32"/>
    </row>
    <row r="103" spans="1:24">
      <c r="A103" t="str">
        <f>MLIST!A96</f>
        <v>Whole Bldg/Meter Level</v>
      </c>
      <c r="B103" t="str">
        <f>MLIST!D96</f>
        <v>Ultra Low Energy Building-New</v>
      </c>
      <c r="C103" s="407" t="s">
        <v>870</v>
      </c>
      <c r="D103" s="32">
        <f t="shared" si="11"/>
        <v>2.5643970768378654E-3</v>
      </c>
      <c r="E103" s="32">
        <f t="shared" si="13"/>
        <v>7.6904586297764643E-3</v>
      </c>
      <c r="F103" s="32">
        <f t="shared" si="13"/>
        <v>1.6792013047419844E-2</v>
      </c>
      <c r="G103" s="32">
        <f t="shared" si="13"/>
        <v>3.15969387774655E-2</v>
      </c>
      <c r="H103" s="32">
        <f t="shared" si="13"/>
        <v>5.406874819795171E-2</v>
      </c>
      <c r="I103" s="32">
        <f t="shared" si="13"/>
        <v>8.6253181011834101E-2</v>
      </c>
      <c r="J103" s="32">
        <f t="shared" si="13"/>
        <v>0.1300328481838382</v>
      </c>
      <c r="K103" s="32">
        <f t="shared" si="13"/>
        <v>0.18678710893858319</v>
      </c>
      <c r="L103" s="32">
        <f t="shared" si="13"/>
        <v>0.2569823480072907</v>
      </c>
      <c r="M103" s="32">
        <f t="shared" si="13"/>
        <v>0.33975920985004748</v>
      </c>
      <c r="N103" s="32">
        <f t="shared" si="13"/>
        <v>0.43262946935754232</v>
      </c>
      <c r="O103" s="32">
        <f t="shared" si="13"/>
        <v>0.53142594003645804</v>
      </c>
      <c r="P103" s="32">
        <f t="shared" si="13"/>
        <v>0.63063487292644704</v>
      </c>
      <c r="Q103" s="32">
        <f t="shared" si="13"/>
        <v>0.7241560234206913</v>
      </c>
      <c r="R103" s="32">
        <f t="shared" si="13"/>
        <v>0.80638203131755359</v>
      </c>
      <c r="S103" s="32">
        <f t="shared" si="13"/>
        <v>0.87331559734491926</v>
      </c>
      <c r="T103" s="32">
        <f t="shared" si="13"/>
        <v>0.92334516248836807</v>
      </c>
      <c r="U103" s="32">
        <f t="shared" si="13"/>
        <v>0.95737002770730018</v>
      </c>
      <c r="V103" s="32">
        <f t="shared" si="13"/>
        <v>0.97821608704807483</v>
      </c>
      <c r="W103" s="32">
        <f t="shared" si="13"/>
        <v>0.98821608704807484</v>
      </c>
      <c r="X103" s="32"/>
    </row>
    <row r="105" spans="1:24">
      <c r="D105" s="32" t="str">
        <f t="shared" ref="D105:S105" si="14">IF(ISBLANK($C105),"",VLOOKUP($C105,$C$1:$X$11,D$18-$D$18+2,FALSE))</f>
        <v/>
      </c>
      <c r="E105" s="32" t="str">
        <f t="shared" si="14"/>
        <v/>
      </c>
      <c r="F105" s="32" t="str">
        <f t="shared" si="14"/>
        <v/>
      </c>
      <c r="G105" s="32" t="str">
        <f t="shared" si="14"/>
        <v/>
      </c>
      <c r="H105" s="32" t="str">
        <f t="shared" si="14"/>
        <v/>
      </c>
      <c r="I105" s="32" t="str">
        <f t="shared" si="14"/>
        <v/>
      </c>
      <c r="J105" s="32" t="str">
        <f t="shared" si="14"/>
        <v/>
      </c>
      <c r="K105" s="32" t="str">
        <f t="shared" si="14"/>
        <v/>
      </c>
      <c r="L105" s="32" t="str">
        <f t="shared" si="14"/>
        <v/>
      </c>
      <c r="M105" s="32" t="str">
        <f t="shared" si="14"/>
        <v/>
      </c>
      <c r="N105" s="32" t="str">
        <f t="shared" si="14"/>
        <v/>
      </c>
      <c r="O105" s="32" t="str">
        <f t="shared" si="14"/>
        <v/>
      </c>
      <c r="P105" s="32" t="str">
        <f t="shared" si="14"/>
        <v/>
      </c>
      <c r="Q105" s="32" t="str">
        <f t="shared" si="14"/>
        <v/>
      </c>
      <c r="R105" s="32" t="str">
        <f t="shared" si="14"/>
        <v/>
      </c>
      <c r="S105" s="32" t="str">
        <f t="shared" si="14"/>
        <v/>
      </c>
      <c r="T105" s="32" t="str">
        <f t="shared" ref="T105:W115" si="15">IF(ISBLANK($C105),"",VLOOKUP($C105,$C$1:$X$11,T$18-$D$18+2,FALSE))</f>
        <v/>
      </c>
      <c r="U105" s="32" t="str">
        <f t="shared" si="15"/>
        <v/>
      </c>
      <c r="V105" s="32" t="str">
        <f t="shared" si="15"/>
        <v/>
      </c>
      <c r="W105" s="32" t="str">
        <f t="shared" si="15"/>
        <v/>
      </c>
      <c r="X105" s="32"/>
    </row>
    <row r="106" spans="1:24">
      <c r="D106" s="32" t="str">
        <f t="shared" ref="D106:S116" si="16">IF(ISBLANK($C106),"",VLOOKUP($C106,$C$1:$X$11,D$18-$D$18+2,FALSE))</f>
        <v/>
      </c>
      <c r="E106" s="32" t="str">
        <f t="shared" si="16"/>
        <v/>
      </c>
      <c r="F106" s="32" t="str">
        <f t="shared" si="16"/>
        <v/>
      </c>
      <c r="G106" s="32" t="str">
        <f t="shared" si="16"/>
        <v/>
      </c>
      <c r="H106" s="32" t="str">
        <f t="shared" si="16"/>
        <v/>
      </c>
      <c r="I106" s="32" t="str">
        <f t="shared" si="16"/>
        <v/>
      </c>
      <c r="J106" s="32" t="str">
        <f t="shared" si="16"/>
        <v/>
      </c>
      <c r="K106" s="32" t="str">
        <f t="shared" si="16"/>
        <v/>
      </c>
      <c r="L106" s="32" t="str">
        <f t="shared" si="16"/>
        <v/>
      </c>
      <c r="M106" s="32" t="str">
        <f t="shared" si="16"/>
        <v/>
      </c>
      <c r="N106" s="32" t="str">
        <f t="shared" si="16"/>
        <v/>
      </c>
      <c r="O106" s="32" t="str">
        <f t="shared" si="16"/>
        <v/>
      </c>
      <c r="P106" s="32" t="str">
        <f t="shared" si="16"/>
        <v/>
      </c>
      <c r="Q106" s="32" t="str">
        <f t="shared" si="16"/>
        <v/>
      </c>
      <c r="R106" s="32" t="str">
        <f t="shared" si="16"/>
        <v/>
      </c>
      <c r="S106" s="32" t="str">
        <f t="shared" si="16"/>
        <v/>
      </c>
      <c r="T106" s="32" t="str">
        <f t="shared" si="15"/>
        <v/>
      </c>
      <c r="U106" s="32" t="str">
        <f t="shared" si="15"/>
        <v/>
      </c>
      <c r="V106" s="32" t="str">
        <f t="shared" si="15"/>
        <v/>
      </c>
      <c r="W106" s="32" t="str">
        <f t="shared" si="15"/>
        <v/>
      </c>
      <c r="X106" s="32"/>
    </row>
    <row r="107" spans="1:24">
      <c r="D107" s="32" t="str">
        <f t="shared" si="16"/>
        <v/>
      </c>
      <c r="E107" s="32" t="str">
        <f t="shared" si="16"/>
        <v/>
      </c>
      <c r="F107" s="32" t="str">
        <f t="shared" si="16"/>
        <v/>
      </c>
      <c r="G107" s="32" t="str">
        <f t="shared" si="16"/>
        <v/>
      </c>
      <c r="H107" s="32" t="str">
        <f t="shared" si="16"/>
        <v/>
      </c>
      <c r="I107" s="32" t="str">
        <f t="shared" si="16"/>
        <v/>
      </c>
      <c r="J107" s="32" t="str">
        <f t="shared" si="16"/>
        <v/>
      </c>
      <c r="K107" s="32" t="str">
        <f t="shared" si="16"/>
        <v/>
      </c>
      <c r="L107" s="32" t="str">
        <f t="shared" si="16"/>
        <v/>
      </c>
      <c r="M107" s="32" t="str">
        <f t="shared" si="16"/>
        <v/>
      </c>
      <c r="N107" s="32" t="str">
        <f t="shared" si="16"/>
        <v/>
      </c>
      <c r="O107" s="32" t="str">
        <f t="shared" si="16"/>
        <v/>
      </c>
      <c r="P107" s="32" t="str">
        <f t="shared" si="16"/>
        <v/>
      </c>
      <c r="Q107" s="32" t="str">
        <f t="shared" si="16"/>
        <v/>
      </c>
      <c r="R107" s="32" t="str">
        <f t="shared" si="16"/>
        <v/>
      </c>
      <c r="S107" s="32" t="str">
        <f t="shared" si="16"/>
        <v/>
      </c>
      <c r="T107" s="32" t="str">
        <f t="shared" si="15"/>
        <v/>
      </c>
      <c r="U107" s="32" t="str">
        <f t="shared" si="15"/>
        <v/>
      </c>
      <c r="V107" s="32" t="str">
        <f t="shared" si="15"/>
        <v/>
      </c>
      <c r="W107" s="32" t="str">
        <f t="shared" si="15"/>
        <v/>
      </c>
      <c r="X107" s="32"/>
    </row>
    <row r="108" spans="1:24">
      <c r="D108" s="32" t="str">
        <f t="shared" si="16"/>
        <v/>
      </c>
      <c r="E108" s="32" t="str">
        <f t="shared" si="16"/>
        <v/>
      </c>
      <c r="F108" s="32" t="str">
        <f t="shared" si="16"/>
        <v/>
      </c>
      <c r="G108" s="32" t="str">
        <f t="shared" si="16"/>
        <v/>
      </c>
      <c r="H108" s="32" t="str">
        <f t="shared" si="16"/>
        <v/>
      </c>
      <c r="I108" s="32" t="str">
        <f t="shared" si="16"/>
        <v/>
      </c>
      <c r="J108" s="32" t="str">
        <f t="shared" si="16"/>
        <v/>
      </c>
      <c r="K108" s="32" t="str">
        <f t="shared" si="16"/>
        <v/>
      </c>
      <c r="L108" s="32" t="str">
        <f t="shared" si="16"/>
        <v/>
      </c>
      <c r="M108" s="32" t="str">
        <f t="shared" si="16"/>
        <v/>
      </c>
      <c r="N108" s="32" t="str">
        <f t="shared" si="16"/>
        <v/>
      </c>
      <c r="O108" s="32" t="str">
        <f t="shared" si="16"/>
        <v/>
      </c>
      <c r="P108" s="32" t="str">
        <f t="shared" si="16"/>
        <v/>
      </c>
      <c r="Q108" s="32" t="str">
        <f t="shared" si="16"/>
        <v/>
      </c>
      <c r="R108" s="32" t="str">
        <f t="shared" si="16"/>
        <v/>
      </c>
      <c r="S108" s="32" t="str">
        <f t="shared" si="16"/>
        <v/>
      </c>
      <c r="T108" s="32" t="str">
        <f t="shared" si="15"/>
        <v/>
      </c>
      <c r="U108" s="32" t="str">
        <f t="shared" si="15"/>
        <v/>
      </c>
      <c r="V108" s="32" t="str">
        <f t="shared" si="15"/>
        <v/>
      </c>
      <c r="W108" s="32" t="str">
        <f t="shared" si="15"/>
        <v/>
      </c>
      <c r="X108" s="32"/>
    </row>
    <row r="109" spans="1:24">
      <c r="D109" s="32" t="str">
        <f t="shared" si="16"/>
        <v/>
      </c>
      <c r="E109" s="32" t="str">
        <f t="shared" si="16"/>
        <v/>
      </c>
      <c r="F109" s="32" t="str">
        <f t="shared" si="16"/>
        <v/>
      </c>
      <c r="G109" s="32" t="str">
        <f t="shared" si="16"/>
        <v/>
      </c>
      <c r="H109" s="32" t="str">
        <f t="shared" si="16"/>
        <v/>
      </c>
      <c r="I109" s="32" t="str">
        <f t="shared" si="16"/>
        <v/>
      </c>
      <c r="J109" s="32" t="str">
        <f t="shared" si="16"/>
        <v/>
      </c>
      <c r="K109" s="32" t="str">
        <f t="shared" si="16"/>
        <v/>
      </c>
      <c r="L109" s="32" t="str">
        <f t="shared" si="16"/>
        <v/>
      </c>
      <c r="M109" s="32" t="str">
        <f t="shared" si="16"/>
        <v/>
      </c>
      <c r="N109" s="32" t="str">
        <f t="shared" si="16"/>
        <v/>
      </c>
      <c r="O109" s="32" t="str">
        <f t="shared" si="16"/>
        <v/>
      </c>
      <c r="P109" s="32" t="str">
        <f t="shared" si="16"/>
        <v/>
      </c>
      <c r="Q109" s="32" t="str">
        <f t="shared" si="16"/>
        <v/>
      </c>
      <c r="R109" s="32" t="str">
        <f t="shared" si="16"/>
        <v/>
      </c>
      <c r="S109" s="32" t="str">
        <f t="shared" si="16"/>
        <v/>
      </c>
      <c r="T109" s="32" t="str">
        <f t="shared" si="15"/>
        <v/>
      </c>
      <c r="U109" s="32" t="str">
        <f t="shared" si="15"/>
        <v/>
      </c>
      <c r="V109" s="32" t="str">
        <f t="shared" si="15"/>
        <v/>
      </c>
      <c r="W109" s="32" t="str">
        <f t="shared" si="15"/>
        <v/>
      </c>
      <c r="X109" s="32"/>
    </row>
    <row r="110" spans="1:24">
      <c r="D110" s="32" t="str">
        <f t="shared" si="16"/>
        <v/>
      </c>
      <c r="E110" s="32" t="str">
        <f t="shared" si="16"/>
        <v/>
      </c>
      <c r="F110" s="32" t="str">
        <f t="shared" si="16"/>
        <v/>
      </c>
      <c r="G110" s="32" t="str">
        <f t="shared" si="16"/>
        <v/>
      </c>
      <c r="H110" s="32" t="str">
        <f t="shared" si="16"/>
        <v/>
      </c>
      <c r="I110" s="32" t="str">
        <f t="shared" si="16"/>
        <v/>
      </c>
      <c r="J110" s="32" t="str">
        <f t="shared" si="16"/>
        <v/>
      </c>
      <c r="K110" s="32" t="str">
        <f t="shared" si="16"/>
        <v/>
      </c>
      <c r="L110" s="32" t="str">
        <f t="shared" si="16"/>
        <v/>
      </c>
      <c r="M110" s="32" t="str">
        <f t="shared" si="16"/>
        <v/>
      </c>
      <c r="N110" s="32" t="str">
        <f t="shared" si="16"/>
        <v/>
      </c>
      <c r="O110" s="32" t="str">
        <f t="shared" si="16"/>
        <v/>
      </c>
      <c r="P110" s="32" t="str">
        <f t="shared" si="16"/>
        <v/>
      </c>
      <c r="Q110" s="32" t="str">
        <f t="shared" si="16"/>
        <v/>
      </c>
      <c r="R110" s="32" t="str">
        <f t="shared" si="16"/>
        <v/>
      </c>
      <c r="S110" s="32" t="str">
        <f t="shared" si="16"/>
        <v/>
      </c>
      <c r="T110" s="32" t="str">
        <f t="shared" si="15"/>
        <v/>
      </c>
      <c r="U110" s="32" t="str">
        <f t="shared" si="15"/>
        <v/>
      </c>
      <c r="V110" s="32" t="str">
        <f t="shared" si="15"/>
        <v/>
      </c>
      <c r="W110" s="32" t="str">
        <f t="shared" si="15"/>
        <v/>
      </c>
      <c r="X110" s="32"/>
    </row>
    <row r="111" spans="1:24">
      <c r="D111" s="32" t="str">
        <f t="shared" si="16"/>
        <v/>
      </c>
      <c r="E111" s="32" t="str">
        <f t="shared" si="16"/>
        <v/>
      </c>
      <c r="F111" s="32" t="str">
        <f t="shared" si="16"/>
        <v/>
      </c>
      <c r="G111" s="32" t="str">
        <f t="shared" si="16"/>
        <v/>
      </c>
      <c r="H111" s="32" t="str">
        <f t="shared" si="16"/>
        <v/>
      </c>
      <c r="I111" s="32" t="str">
        <f t="shared" si="16"/>
        <v/>
      </c>
      <c r="J111" s="32" t="str">
        <f t="shared" si="16"/>
        <v/>
      </c>
      <c r="K111" s="32" t="str">
        <f t="shared" si="16"/>
        <v/>
      </c>
      <c r="L111" s="32" t="str">
        <f t="shared" si="16"/>
        <v/>
      </c>
      <c r="M111" s="32" t="str">
        <f t="shared" si="16"/>
        <v/>
      </c>
      <c r="N111" s="32" t="str">
        <f t="shared" si="16"/>
        <v/>
      </c>
      <c r="O111" s="32" t="str">
        <f t="shared" si="16"/>
        <v/>
      </c>
      <c r="P111" s="32" t="str">
        <f t="shared" si="16"/>
        <v/>
      </c>
      <c r="Q111" s="32" t="str">
        <f t="shared" si="16"/>
        <v/>
      </c>
      <c r="R111" s="32" t="str">
        <f t="shared" si="16"/>
        <v/>
      </c>
      <c r="S111" s="32" t="str">
        <f t="shared" si="16"/>
        <v/>
      </c>
      <c r="T111" s="32" t="str">
        <f t="shared" si="15"/>
        <v/>
      </c>
      <c r="U111" s="32" t="str">
        <f t="shared" si="15"/>
        <v/>
      </c>
      <c r="V111" s="32" t="str">
        <f t="shared" si="15"/>
        <v/>
      </c>
      <c r="W111" s="32" t="str">
        <f t="shared" si="15"/>
        <v/>
      </c>
      <c r="X111" s="32"/>
    </row>
    <row r="112" spans="1:24">
      <c r="D112" s="32" t="str">
        <f t="shared" si="16"/>
        <v/>
      </c>
      <c r="E112" s="32" t="str">
        <f t="shared" si="16"/>
        <v/>
      </c>
      <c r="F112" s="32" t="str">
        <f t="shared" si="16"/>
        <v/>
      </c>
      <c r="G112" s="32" t="str">
        <f t="shared" si="16"/>
        <v/>
      </c>
      <c r="H112" s="32" t="str">
        <f t="shared" si="16"/>
        <v/>
      </c>
      <c r="I112" s="32" t="str">
        <f t="shared" si="16"/>
        <v/>
      </c>
      <c r="J112" s="32" t="str">
        <f t="shared" si="16"/>
        <v/>
      </c>
      <c r="K112" s="32" t="str">
        <f t="shared" si="16"/>
        <v/>
      </c>
      <c r="L112" s="32" t="str">
        <f t="shared" si="16"/>
        <v/>
      </c>
      <c r="M112" s="32" t="str">
        <f t="shared" si="16"/>
        <v/>
      </c>
      <c r="N112" s="32" t="str">
        <f t="shared" si="16"/>
        <v/>
      </c>
      <c r="O112" s="32" t="str">
        <f t="shared" si="16"/>
        <v/>
      </c>
      <c r="P112" s="32" t="str">
        <f t="shared" si="16"/>
        <v/>
      </c>
      <c r="Q112" s="32" t="str">
        <f t="shared" si="16"/>
        <v/>
      </c>
      <c r="R112" s="32" t="str">
        <f t="shared" si="16"/>
        <v/>
      </c>
      <c r="S112" s="32" t="str">
        <f t="shared" si="16"/>
        <v/>
      </c>
      <c r="T112" s="32" t="str">
        <f t="shared" si="15"/>
        <v/>
      </c>
      <c r="U112" s="32" t="str">
        <f t="shared" si="15"/>
        <v/>
      </c>
      <c r="V112" s="32" t="str">
        <f t="shared" si="15"/>
        <v/>
      </c>
      <c r="W112" s="32" t="str">
        <f t="shared" si="15"/>
        <v/>
      </c>
      <c r="X112" s="32"/>
    </row>
    <row r="113" spans="4:24">
      <c r="D113" s="32" t="str">
        <f t="shared" si="16"/>
        <v/>
      </c>
      <c r="E113" s="32" t="str">
        <f t="shared" si="16"/>
        <v/>
      </c>
      <c r="F113" s="32" t="str">
        <f t="shared" si="16"/>
        <v/>
      </c>
      <c r="G113" s="32" t="str">
        <f t="shared" si="16"/>
        <v/>
      </c>
      <c r="H113" s="32" t="str">
        <f t="shared" si="16"/>
        <v/>
      </c>
      <c r="I113" s="32" t="str">
        <f t="shared" si="16"/>
        <v/>
      </c>
      <c r="J113" s="32" t="str">
        <f t="shared" si="16"/>
        <v/>
      </c>
      <c r="K113" s="32" t="str">
        <f t="shared" si="16"/>
        <v/>
      </c>
      <c r="L113" s="32" t="str">
        <f t="shared" si="16"/>
        <v/>
      </c>
      <c r="M113" s="32" t="str">
        <f t="shared" si="16"/>
        <v/>
      </c>
      <c r="N113" s="32" t="str">
        <f t="shared" si="16"/>
        <v/>
      </c>
      <c r="O113" s="32" t="str">
        <f t="shared" si="16"/>
        <v/>
      </c>
      <c r="P113" s="32" t="str">
        <f t="shared" si="16"/>
        <v/>
      </c>
      <c r="Q113" s="32" t="str">
        <f t="shared" si="16"/>
        <v/>
      </c>
      <c r="R113" s="32" t="str">
        <f t="shared" si="16"/>
        <v/>
      </c>
      <c r="S113" s="32" t="str">
        <f t="shared" si="16"/>
        <v/>
      </c>
      <c r="T113" s="32" t="str">
        <f t="shared" si="15"/>
        <v/>
      </c>
      <c r="U113" s="32" t="str">
        <f t="shared" si="15"/>
        <v/>
      </c>
      <c r="V113" s="32" t="str">
        <f t="shared" si="15"/>
        <v/>
      </c>
      <c r="W113" s="32" t="str">
        <f t="shared" si="15"/>
        <v/>
      </c>
      <c r="X113" s="32"/>
    </row>
    <row r="114" spans="4:24">
      <c r="D114" s="32" t="str">
        <f t="shared" si="16"/>
        <v/>
      </c>
      <c r="E114" s="32" t="str">
        <f t="shared" si="16"/>
        <v/>
      </c>
      <c r="F114" s="32" t="str">
        <f t="shared" si="16"/>
        <v/>
      </c>
      <c r="G114" s="32" t="str">
        <f t="shared" si="16"/>
        <v/>
      </c>
      <c r="H114" s="32" t="str">
        <f t="shared" si="16"/>
        <v/>
      </c>
      <c r="I114" s="32" t="str">
        <f t="shared" si="16"/>
        <v/>
      </c>
      <c r="J114" s="32" t="str">
        <f t="shared" si="16"/>
        <v/>
      </c>
      <c r="K114" s="32" t="str">
        <f t="shared" si="16"/>
        <v/>
      </c>
      <c r="L114" s="32" t="str">
        <f t="shared" si="16"/>
        <v/>
      </c>
      <c r="M114" s="32" t="str">
        <f t="shared" si="16"/>
        <v/>
      </c>
      <c r="N114" s="32" t="str">
        <f t="shared" si="16"/>
        <v/>
      </c>
      <c r="O114" s="32" t="str">
        <f t="shared" si="16"/>
        <v/>
      </c>
      <c r="P114" s="32" t="str">
        <f t="shared" si="16"/>
        <v/>
      </c>
      <c r="Q114" s="32" t="str">
        <f t="shared" si="16"/>
        <v/>
      </c>
      <c r="R114" s="32" t="str">
        <f t="shared" si="16"/>
        <v/>
      </c>
      <c r="S114" s="32" t="str">
        <f t="shared" si="16"/>
        <v/>
      </c>
      <c r="T114" s="32" t="str">
        <f t="shared" si="15"/>
        <v/>
      </c>
      <c r="U114" s="32" t="str">
        <f t="shared" si="15"/>
        <v/>
      </c>
      <c r="V114" s="32" t="str">
        <f t="shared" si="15"/>
        <v/>
      </c>
      <c r="W114" s="32" t="str">
        <f t="shared" si="15"/>
        <v/>
      </c>
      <c r="X114" s="32"/>
    </row>
    <row r="115" spans="4:24">
      <c r="D115" s="32" t="str">
        <f t="shared" si="16"/>
        <v/>
      </c>
      <c r="E115" s="32" t="str">
        <f t="shared" si="16"/>
        <v/>
      </c>
      <c r="F115" s="32" t="str">
        <f t="shared" si="16"/>
        <v/>
      </c>
      <c r="G115" s="32" t="str">
        <f t="shared" si="16"/>
        <v/>
      </c>
      <c r="H115" s="32" t="str">
        <f t="shared" si="16"/>
        <v/>
      </c>
      <c r="I115" s="32" t="str">
        <f t="shared" si="16"/>
        <v/>
      </c>
      <c r="J115" s="32" t="str">
        <f t="shared" si="16"/>
        <v/>
      </c>
      <c r="K115" s="32" t="str">
        <f t="shared" si="16"/>
        <v/>
      </c>
      <c r="L115" s="32" t="str">
        <f t="shared" si="16"/>
        <v/>
      </c>
      <c r="M115" s="32" t="str">
        <f t="shared" si="16"/>
        <v/>
      </c>
      <c r="N115" s="32" t="str">
        <f t="shared" si="16"/>
        <v/>
      </c>
      <c r="O115" s="32" t="str">
        <f t="shared" si="16"/>
        <v/>
      </c>
      <c r="P115" s="32" t="str">
        <f t="shared" si="16"/>
        <v/>
      </c>
      <c r="Q115" s="32" t="str">
        <f t="shared" si="16"/>
        <v/>
      </c>
      <c r="R115" s="32" t="str">
        <f t="shared" si="16"/>
        <v/>
      </c>
      <c r="S115" s="32" t="str">
        <f t="shared" si="16"/>
        <v/>
      </c>
      <c r="T115" s="32" t="str">
        <f t="shared" si="15"/>
        <v/>
      </c>
      <c r="U115" s="32" t="str">
        <f t="shared" si="15"/>
        <v/>
      </c>
      <c r="V115" s="32" t="str">
        <f t="shared" si="15"/>
        <v/>
      </c>
      <c r="W115" s="32" t="str">
        <f t="shared" si="15"/>
        <v/>
      </c>
      <c r="X115" s="32"/>
    </row>
    <row r="116" spans="4:24">
      <c r="D116" s="32" t="str">
        <f t="shared" si="16"/>
        <v/>
      </c>
      <c r="E116" s="32" t="str">
        <f t="shared" si="16"/>
        <v/>
      </c>
      <c r="F116" s="32" t="str">
        <f t="shared" si="16"/>
        <v/>
      </c>
      <c r="G116" s="32" t="str">
        <f t="shared" si="16"/>
        <v/>
      </c>
      <c r="H116" s="32" t="str">
        <f t="shared" si="16"/>
        <v/>
      </c>
      <c r="I116" s="32" t="str">
        <f t="shared" si="16"/>
        <v/>
      </c>
      <c r="J116" s="32" t="str">
        <f t="shared" si="16"/>
        <v/>
      </c>
      <c r="K116" s="32" t="str">
        <f t="shared" si="16"/>
        <v/>
      </c>
      <c r="L116" s="32" t="str">
        <f t="shared" si="16"/>
        <v/>
      </c>
      <c r="M116" s="32" t="str">
        <f t="shared" si="16"/>
        <v/>
      </c>
      <c r="N116" s="32" t="str">
        <f t="shared" si="16"/>
        <v/>
      </c>
      <c r="O116" s="32" t="str">
        <f t="shared" si="16"/>
        <v/>
      </c>
      <c r="P116" s="32" t="str">
        <f t="shared" si="16"/>
        <v/>
      </c>
      <c r="Q116" s="32" t="str">
        <f t="shared" si="16"/>
        <v/>
      </c>
      <c r="R116" s="32" t="str">
        <f t="shared" si="16"/>
        <v/>
      </c>
      <c r="S116" s="32" t="str">
        <f t="shared" ref="S116:W119" si="17">IF(ISBLANK($C116),"",VLOOKUP($C116,$C$1:$X$11,S$18-$D$18+2,FALSE))</f>
        <v/>
      </c>
      <c r="T116" s="32" t="str">
        <f t="shared" si="17"/>
        <v/>
      </c>
      <c r="U116" s="32" t="str">
        <f t="shared" si="17"/>
        <v/>
      </c>
      <c r="V116" s="32" t="str">
        <f t="shared" si="17"/>
        <v/>
      </c>
      <c r="W116" s="32" t="str">
        <f t="shared" si="17"/>
        <v/>
      </c>
      <c r="X116" s="32"/>
    </row>
    <row r="117" spans="4:24">
      <c r="D117" s="32" t="str">
        <f t="shared" ref="D117:S119" si="18">IF(ISBLANK($C117),"",VLOOKUP($C117,$C$1:$X$11,D$18-$D$18+2,FALSE))</f>
        <v/>
      </c>
      <c r="E117" s="32" t="str">
        <f t="shared" si="18"/>
        <v/>
      </c>
      <c r="F117" s="32" t="str">
        <f t="shared" si="18"/>
        <v/>
      </c>
      <c r="G117" s="32" t="str">
        <f t="shared" si="18"/>
        <v/>
      </c>
      <c r="H117" s="32" t="str">
        <f t="shared" si="18"/>
        <v/>
      </c>
      <c r="I117" s="32" t="str">
        <f t="shared" si="18"/>
        <v/>
      </c>
      <c r="J117" s="32" t="str">
        <f t="shared" si="18"/>
        <v/>
      </c>
      <c r="K117" s="32" t="str">
        <f t="shared" si="18"/>
        <v/>
      </c>
      <c r="L117" s="32" t="str">
        <f t="shared" si="18"/>
        <v/>
      </c>
      <c r="M117" s="32" t="str">
        <f t="shared" si="18"/>
        <v/>
      </c>
      <c r="N117" s="32" t="str">
        <f t="shared" si="18"/>
        <v/>
      </c>
      <c r="O117" s="32" t="str">
        <f t="shared" si="18"/>
        <v/>
      </c>
      <c r="P117" s="32" t="str">
        <f t="shared" si="18"/>
        <v/>
      </c>
      <c r="Q117" s="32" t="str">
        <f t="shared" si="18"/>
        <v/>
      </c>
      <c r="R117" s="32" t="str">
        <f t="shared" si="18"/>
        <v/>
      </c>
      <c r="S117" s="32" t="str">
        <f t="shared" si="18"/>
        <v/>
      </c>
      <c r="T117" s="32" t="str">
        <f t="shared" si="17"/>
        <v/>
      </c>
      <c r="U117" s="32" t="str">
        <f t="shared" si="17"/>
        <v/>
      </c>
      <c r="V117" s="32" t="str">
        <f t="shared" si="17"/>
        <v/>
      </c>
      <c r="W117" s="32" t="str">
        <f t="shared" si="17"/>
        <v/>
      </c>
      <c r="X117" s="32"/>
    </row>
    <row r="118" spans="4:24">
      <c r="D118" s="32" t="str">
        <f t="shared" si="18"/>
        <v/>
      </c>
      <c r="E118" s="32" t="str">
        <f t="shared" si="18"/>
        <v/>
      </c>
      <c r="F118" s="32" t="str">
        <f t="shared" si="18"/>
        <v/>
      </c>
      <c r="G118" s="32" t="str">
        <f t="shared" si="18"/>
        <v/>
      </c>
      <c r="H118" s="32" t="str">
        <f t="shared" si="18"/>
        <v/>
      </c>
      <c r="I118" s="32" t="str">
        <f t="shared" si="18"/>
        <v/>
      </c>
      <c r="J118" s="32" t="str">
        <f t="shared" si="18"/>
        <v/>
      </c>
      <c r="K118" s="32" t="str">
        <f t="shared" si="18"/>
        <v/>
      </c>
      <c r="L118" s="32" t="str">
        <f t="shared" si="18"/>
        <v/>
      </c>
      <c r="M118" s="32" t="str">
        <f t="shared" si="18"/>
        <v/>
      </c>
      <c r="N118" s="32" t="str">
        <f t="shared" si="18"/>
        <v/>
      </c>
      <c r="O118" s="32" t="str">
        <f t="shared" si="18"/>
        <v/>
      </c>
      <c r="P118" s="32" t="str">
        <f t="shared" si="18"/>
        <v/>
      </c>
      <c r="Q118" s="32" t="str">
        <f t="shared" si="18"/>
        <v/>
      </c>
      <c r="R118" s="32" t="str">
        <f t="shared" si="18"/>
        <v/>
      </c>
      <c r="S118" s="32" t="str">
        <f t="shared" si="18"/>
        <v/>
      </c>
      <c r="T118" s="32" t="str">
        <f t="shared" si="17"/>
        <v/>
      </c>
      <c r="U118" s="32" t="str">
        <f t="shared" si="17"/>
        <v/>
      </c>
      <c r="V118" s="32" t="str">
        <f t="shared" si="17"/>
        <v/>
      </c>
      <c r="W118" s="32" t="str">
        <f t="shared" si="17"/>
        <v/>
      </c>
      <c r="X118" s="32"/>
    </row>
    <row r="119" spans="4:24">
      <c r="D119" s="32" t="str">
        <f t="shared" si="18"/>
        <v/>
      </c>
      <c r="E119" s="32" t="str">
        <f t="shared" si="18"/>
        <v/>
      </c>
      <c r="F119" s="32" t="str">
        <f t="shared" si="18"/>
        <v/>
      </c>
      <c r="G119" s="32" t="str">
        <f t="shared" si="18"/>
        <v/>
      </c>
      <c r="H119" s="32" t="str">
        <f t="shared" si="18"/>
        <v/>
      </c>
      <c r="I119" s="32" t="str">
        <f t="shared" si="18"/>
        <v/>
      </c>
      <c r="J119" s="32" t="str">
        <f t="shared" si="18"/>
        <v/>
      </c>
      <c r="K119" s="32" t="str">
        <f t="shared" si="18"/>
        <v/>
      </c>
      <c r="L119" s="32" t="str">
        <f t="shared" si="18"/>
        <v/>
      </c>
      <c r="M119" s="32" t="str">
        <f t="shared" si="18"/>
        <v/>
      </c>
      <c r="N119" s="32" t="str">
        <f t="shared" si="18"/>
        <v/>
      </c>
      <c r="O119" s="32" t="str">
        <f t="shared" si="18"/>
        <v/>
      </c>
      <c r="P119" s="32" t="str">
        <f t="shared" si="18"/>
        <v/>
      </c>
      <c r="Q119" s="32" t="str">
        <f t="shared" si="18"/>
        <v/>
      </c>
      <c r="R119" s="32" t="str">
        <f t="shared" si="18"/>
        <v/>
      </c>
      <c r="S119" s="32" t="str">
        <f t="shared" si="18"/>
        <v/>
      </c>
      <c r="T119" s="32" t="str">
        <f t="shared" si="17"/>
        <v/>
      </c>
      <c r="U119" s="32" t="str">
        <f t="shared" si="17"/>
        <v/>
      </c>
      <c r="V119" s="32" t="str">
        <f t="shared" si="17"/>
        <v/>
      </c>
      <c r="W119" s="32" t="str">
        <f t="shared" si="17"/>
        <v/>
      </c>
      <c r="X119" s="32"/>
    </row>
  </sheetData>
  <autoFilter ref="A18:AC18"/>
  <phoneticPr fontId="0" type="noConversion"/>
  <pageMargins left="0.75" right="0.75" top="1" bottom="1" header="0.5" footer="0.5"/>
  <pageSetup orientation="portrait" r:id="rId1"/>
  <headerFooter alignWithMargins="0"/>
  <drawing r:id="rId2"/>
</worksheet>
</file>

<file path=xl/worksheets/sheet9.xml><?xml version="1.0" encoding="utf-8"?>
<worksheet xmlns="http://schemas.openxmlformats.org/spreadsheetml/2006/main" xmlns:r="http://schemas.openxmlformats.org/officeDocument/2006/relationships">
  <sheetPr codeName="Sheet3">
    <tabColor rgb="FFFFFF00"/>
  </sheetPr>
  <dimension ref="A1:AN167"/>
  <sheetViews>
    <sheetView topLeftCell="A7" zoomScaleNormal="100" workbookViewId="0">
      <pane xSplit="2" ySplit="5" topLeftCell="C63" activePane="bottomRight" state="frozen"/>
      <selection activeCell="B72" sqref="B72:B74"/>
      <selection pane="topRight" activeCell="B72" sqref="B72:B74"/>
      <selection pane="bottomLeft" activeCell="B72" sqref="B72:B74"/>
      <selection pane="bottomRight" activeCell="A72" sqref="A72:B74"/>
    </sheetView>
  </sheetViews>
  <sheetFormatPr defaultRowHeight="12.75"/>
  <cols>
    <col min="1" max="1" width="17" customWidth="1"/>
    <col min="2" max="2" width="41.42578125" customWidth="1"/>
    <col min="4" max="4" width="10.5703125" customWidth="1"/>
    <col min="6" max="6" width="10" customWidth="1"/>
    <col min="9" max="9" width="7.28515625" customWidth="1"/>
    <col min="10" max="10" width="9.7109375" customWidth="1"/>
    <col min="12" max="12" width="10.7109375" customWidth="1"/>
    <col min="13" max="13" width="13.140625" customWidth="1"/>
    <col min="14" max="14" width="8.7109375" customWidth="1"/>
    <col min="15" max="15" width="9.7109375" customWidth="1"/>
    <col min="18" max="19" width="10.28515625" customWidth="1"/>
    <col min="21" max="21" width="19.42578125" customWidth="1"/>
    <col min="22" max="22" width="10.7109375" customWidth="1"/>
    <col min="23" max="26" width="1.42578125" customWidth="1"/>
  </cols>
  <sheetData>
    <row r="1" spans="1:35">
      <c r="A1" s="222" t="s">
        <v>883</v>
      </c>
      <c r="B1" s="222"/>
      <c r="C1" s="222"/>
      <c r="D1" s="236"/>
      <c r="E1" s="222"/>
      <c r="F1" s="222"/>
      <c r="G1" s="222"/>
      <c r="H1" s="222"/>
      <c r="I1" s="222"/>
      <c r="J1" s="222"/>
      <c r="K1" s="222"/>
    </row>
    <row r="2" spans="1:35">
      <c r="B2" s="28"/>
      <c r="C2" s="220"/>
    </row>
    <row r="3" spans="1:35">
      <c r="B3" s="83"/>
      <c r="C3" s="25"/>
      <c r="D3" s="32"/>
      <c r="E3" s="32"/>
      <c r="F3" s="32"/>
      <c r="G3" s="32"/>
      <c r="H3" s="32"/>
      <c r="I3" s="32"/>
      <c r="J3" s="32"/>
      <c r="K3" s="32"/>
      <c r="L3" s="32"/>
      <c r="M3" s="32"/>
      <c r="N3" s="32"/>
      <c r="O3" s="32"/>
      <c r="P3" s="32"/>
      <c r="Q3" s="32"/>
      <c r="R3" s="32"/>
      <c r="S3" s="32"/>
      <c r="T3" s="32"/>
    </row>
    <row r="4" spans="1:35">
      <c r="B4" s="83"/>
      <c r="C4" s="32"/>
      <c r="D4" s="32"/>
      <c r="E4" s="32"/>
      <c r="F4" s="32"/>
      <c r="G4" s="32"/>
      <c r="H4" s="32"/>
      <c r="I4" s="32"/>
      <c r="J4" s="32"/>
      <c r="K4" s="32"/>
      <c r="L4" s="32"/>
      <c r="M4" s="32"/>
      <c r="N4" s="32"/>
      <c r="O4" s="32"/>
      <c r="P4" s="32"/>
      <c r="Q4" s="32"/>
      <c r="R4" s="32"/>
      <c r="S4" s="32"/>
      <c r="T4" s="32"/>
    </row>
    <row r="5" spans="1:35">
      <c r="B5" s="83"/>
    </row>
    <row r="6" spans="1:35">
      <c r="B6" s="111"/>
      <c r="U6" s="2">
        <f>COLUMN()-1</f>
        <v>20</v>
      </c>
      <c r="V6" s="2">
        <f>COLUMN()-1</f>
        <v>21</v>
      </c>
    </row>
    <row r="7" spans="1:35">
      <c r="A7" s="2"/>
      <c r="B7" s="2">
        <f>COLUMN()-1</f>
        <v>1</v>
      </c>
      <c r="C7" s="2">
        <f t="shared" ref="C7:U7" si="0">COLUMN()-1</f>
        <v>2</v>
      </c>
      <c r="D7" s="2">
        <f t="shared" si="0"/>
        <v>3</v>
      </c>
      <c r="E7" s="2">
        <f t="shared" si="0"/>
        <v>4</v>
      </c>
      <c r="F7" s="2">
        <f t="shared" si="0"/>
        <v>5</v>
      </c>
      <c r="G7" s="2">
        <f t="shared" si="0"/>
        <v>6</v>
      </c>
      <c r="H7" s="2">
        <f t="shared" si="0"/>
        <v>7</v>
      </c>
      <c r="I7" s="2">
        <f t="shared" si="0"/>
        <v>8</v>
      </c>
      <c r="J7" s="2">
        <f t="shared" si="0"/>
        <v>9</v>
      </c>
      <c r="K7" s="2">
        <f t="shared" si="0"/>
        <v>10</v>
      </c>
      <c r="L7" s="2">
        <f t="shared" si="0"/>
        <v>11</v>
      </c>
      <c r="M7" s="2">
        <f t="shared" si="0"/>
        <v>12</v>
      </c>
      <c r="N7" s="2">
        <f t="shared" si="0"/>
        <v>13</v>
      </c>
      <c r="O7" s="2">
        <f t="shared" si="0"/>
        <v>14</v>
      </c>
      <c r="P7" s="2">
        <f t="shared" si="0"/>
        <v>15</v>
      </c>
      <c r="Q7" s="2">
        <f t="shared" si="0"/>
        <v>16</v>
      </c>
      <c r="R7" s="2">
        <f t="shared" si="0"/>
        <v>17</v>
      </c>
      <c r="S7" s="2">
        <f t="shared" si="0"/>
        <v>18</v>
      </c>
      <c r="T7" s="2">
        <f t="shared" si="0"/>
        <v>19</v>
      </c>
      <c r="U7" s="2">
        <f t="shared" si="0"/>
        <v>20</v>
      </c>
    </row>
    <row r="8" spans="1:35">
      <c r="A8" s="2"/>
      <c r="B8" s="2"/>
      <c r="C8" s="2"/>
      <c r="D8" s="2"/>
      <c r="E8" s="2"/>
      <c r="F8" s="2"/>
      <c r="G8" s="2"/>
      <c r="H8" s="2"/>
      <c r="I8" s="2"/>
      <c r="J8" s="2"/>
      <c r="K8" s="2"/>
      <c r="L8" s="2"/>
      <c r="M8" s="2"/>
      <c r="N8" s="2"/>
      <c r="O8" s="2"/>
      <c r="P8" s="2"/>
      <c r="Q8" s="2"/>
      <c r="R8" s="2"/>
      <c r="S8" s="2"/>
      <c r="T8" s="2"/>
      <c r="U8" s="2"/>
    </row>
    <row r="9" spans="1:35">
      <c r="A9" s="2"/>
      <c r="B9" s="2"/>
      <c r="C9" s="2"/>
      <c r="D9" s="2"/>
      <c r="E9" s="2"/>
      <c r="F9" s="2"/>
      <c r="G9" s="2"/>
      <c r="H9" s="2"/>
      <c r="I9" s="2"/>
      <c r="J9" s="2"/>
      <c r="K9" s="2"/>
      <c r="L9" s="2"/>
      <c r="M9" s="2"/>
      <c r="N9" s="2"/>
      <c r="O9" s="2"/>
      <c r="P9" s="2"/>
      <c r="Q9" s="2"/>
      <c r="R9" s="2"/>
      <c r="S9" s="2"/>
      <c r="T9" s="2"/>
      <c r="U9" s="2"/>
    </row>
    <row r="10" spans="1:35">
      <c r="A10" s="245"/>
      <c r="B10" s="245"/>
      <c r="C10" s="551" t="s">
        <v>256</v>
      </c>
      <c r="D10" s="551"/>
      <c r="E10" s="551"/>
      <c r="F10" s="551" t="s">
        <v>261</v>
      </c>
      <c r="G10" s="551"/>
      <c r="H10" s="551"/>
      <c r="I10" s="551"/>
      <c r="J10" s="552" t="s">
        <v>262</v>
      </c>
      <c r="K10" s="553"/>
      <c r="L10" s="246" t="s">
        <v>264</v>
      </c>
      <c r="M10" s="552" t="s">
        <v>265</v>
      </c>
      <c r="N10" s="553"/>
      <c r="O10" s="246" t="s">
        <v>266</v>
      </c>
      <c r="P10" s="246" t="s">
        <v>267</v>
      </c>
      <c r="Q10" s="551" t="s">
        <v>270</v>
      </c>
      <c r="R10" s="551"/>
      <c r="S10" s="446" t="s">
        <v>311</v>
      </c>
      <c r="T10" s="246" t="s">
        <v>272</v>
      </c>
      <c r="U10" s="248"/>
      <c r="V10" s="249"/>
    </row>
    <row r="11" spans="1:35">
      <c r="A11" s="250" t="s">
        <v>254</v>
      </c>
      <c r="B11" s="233" t="s">
        <v>284</v>
      </c>
      <c r="C11" s="246" t="str">
        <f ca="1">OFFSET(Labels!$D$4,A7,0)</f>
        <v>Large Off</v>
      </c>
      <c r="D11" s="246" t="str">
        <f ca="1">OFFSET(Labels!$D$4,B7,0)</f>
        <v>Medium Off</v>
      </c>
      <c r="E11" s="246" t="str">
        <f ca="1">OFFSET(Labels!$D$4,C7,0)</f>
        <v>Small Off</v>
      </c>
      <c r="F11" s="246" t="str">
        <f ca="1">OFFSET(Labels!$D$4,D7,0)</f>
        <v>Xlarge Ret</v>
      </c>
      <c r="G11" s="246" t="str">
        <f ca="1">OFFSET(Labels!$D$4,E7,0)</f>
        <v>Large Ret</v>
      </c>
      <c r="H11" s="246" t="str">
        <f ca="1">OFFSET(Labels!$D$4,F7,0)</f>
        <v>Medium Ret</v>
      </c>
      <c r="I11" s="246" t="str">
        <f ca="1">OFFSET(Labels!$D$4,G7,0)</f>
        <v>Small Ret</v>
      </c>
      <c r="J11" s="246" t="str">
        <f ca="1">OFFSET(Labels!$D$4,H7,0)</f>
        <v>School K-12</v>
      </c>
      <c r="K11" s="246" t="str">
        <f ca="1">OFFSET(Labels!$D$4,I7,0)</f>
        <v>University</v>
      </c>
      <c r="L11" s="246" t="str">
        <f ca="1">OFFSET(Labels!$D$4,J7,0)</f>
        <v>Warehouse</v>
      </c>
      <c r="M11" s="246" t="str">
        <f ca="1">OFFSET(Labels!$D$4,K7,0)</f>
        <v>Supermarket</v>
      </c>
      <c r="N11" s="246" t="str">
        <f ca="1">OFFSET(Labels!$D$4,L7,0)</f>
        <v>MiniMart</v>
      </c>
      <c r="O11" s="246" t="str">
        <f ca="1">OFFSET(Labels!$D$4,M7,0)</f>
        <v>Restaurant</v>
      </c>
      <c r="P11" s="246" t="str">
        <f ca="1">OFFSET(Labels!$D$4,N7,0)</f>
        <v>Lodging</v>
      </c>
      <c r="Q11" s="246" t="str">
        <f ca="1">OFFSET(Labels!$D$4,O7,0)</f>
        <v>Hospital</v>
      </c>
      <c r="R11" s="246" t="str">
        <f ca="1">OFFSET(Labels!$D$4,P7,0)</f>
        <v>Residential Care</v>
      </c>
      <c r="S11" s="246" t="str">
        <f ca="1">OFFSET(Labels!$D$4,Q7,0)</f>
        <v>Assembly</v>
      </c>
      <c r="T11" s="246" t="str">
        <f ca="1">OFFSET(Labels!$D$4,R7,0)</f>
        <v>Other</v>
      </c>
      <c r="U11" s="246" t="s">
        <v>104</v>
      </c>
      <c r="V11" s="246" t="s">
        <v>105</v>
      </c>
      <c r="AA11" s="379" t="s">
        <v>884</v>
      </c>
      <c r="AB11" t="s">
        <v>885</v>
      </c>
    </row>
    <row r="12" spans="1:35" ht="12.6" customHeight="1">
      <c r="A12" t="str">
        <f>MLIST!A12</f>
        <v>Compressed Air</v>
      </c>
      <c r="B12" s="7" t="str">
        <f>MLIST!D12</f>
        <v>Compressed Air-Retro</v>
      </c>
      <c r="C12" s="227"/>
      <c r="D12" s="227"/>
      <c r="E12" s="227"/>
      <c r="F12" s="227"/>
      <c r="G12" s="227"/>
      <c r="H12" s="227"/>
      <c r="I12" s="227"/>
      <c r="J12" s="227"/>
      <c r="K12" s="227"/>
      <c r="L12" s="227"/>
      <c r="M12" s="227"/>
      <c r="N12" s="227"/>
      <c r="O12" s="227"/>
      <c r="P12" s="227"/>
      <c r="Q12" s="227"/>
      <c r="R12" s="227"/>
      <c r="S12" s="227"/>
      <c r="T12" s="227"/>
      <c r="V12" s="224"/>
      <c r="AA12" s="379" t="s">
        <v>886</v>
      </c>
      <c r="AC12" t="s">
        <v>839</v>
      </c>
      <c r="AD12" t="s">
        <v>456</v>
      </c>
      <c r="AF12" t="s">
        <v>887</v>
      </c>
    </row>
    <row r="13" spans="1:35">
      <c r="A13" t="str">
        <f>MLIST!A13</f>
        <v>Compressed Air</v>
      </c>
      <c r="B13" s="7" t="str">
        <f>MLIST!D13</f>
        <v>Compressed Air-NR</v>
      </c>
      <c r="C13" s="227"/>
      <c r="D13" s="227"/>
      <c r="E13" s="227"/>
      <c r="F13" s="227"/>
      <c r="G13" s="227"/>
      <c r="H13" s="227"/>
      <c r="I13" s="227"/>
      <c r="J13" s="227"/>
      <c r="K13" s="227"/>
      <c r="L13" s="227"/>
      <c r="M13" s="227"/>
      <c r="N13" s="227"/>
      <c r="O13" s="227"/>
      <c r="P13" s="227"/>
      <c r="Q13" s="227"/>
      <c r="R13" s="227"/>
      <c r="S13" s="227"/>
      <c r="T13" s="227"/>
      <c r="V13" s="224"/>
      <c r="AB13" t="s">
        <v>274</v>
      </c>
      <c r="AC13" s="430">
        <v>0.05</v>
      </c>
      <c r="AD13" s="34"/>
      <c r="AF13" s="32">
        <f>1-AC13</f>
        <v>0.95</v>
      </c>
      <c r="AI13" s="379"/>
    </row>
    <row r="14" spans="1:35">
      <c r="A14" t="str">
        <f>MLIST!A14</f>
        <v>Electronics</v>
      </c>
      <c r="B14" s="7" t="str">
        <f>MLIST!D14</f>
        <v>Network PC Power Management-Retro</v>
      </c>
      <c r="C14" s="227"/>
      <c r="D14" s="227"/>
      <c r="E14" s="227"/>
      <c r="F14" s="227"/>
      <c r="G14" s="227"/>
      <c r="H14" s="227"/>
      <c r="I14" s="227"/>
      <c r="J14" s="227"/>
      <c r="K14" s="227"/>
      <c r="L14" s="227"/>
      <c r="M14" s="227"/>
      <c r="N14" s="227"/>
      <c r="O14" s="227"/>
      <c r="P14" s="227"/>
      <c r="Q14" s="227"/>
      <c r="R14" s="227"/>
      <c r="S14" s="227"/>
      <c r="T14" s="227"/>
      <c r="V14" s="224"/>
      <c r="AB14" t="s">
        <v>275</v>
      </c>
      <c r="AC14" s="430">
        <v>0.8</v>
      </c>
      <c r="AD14" s="34"/>
      <c r="AF14" s="32">
        <f t="shared" ref="AF14:AF30" si="1">1-AC14</f>
        <v>0.19999999999999996</v>
      </c>
    </row>
    <row r="15" spans="1:35">
      <c r="A15" t="str">
        <f>MLIST!A15</f>
        <v>Electronics</v>
      </c>
      <c r="B15" s="7" t="str">
        <f>MLIST!D15</f>
        <v>Laptop-NR</v>
      </c>
      <c r="C15" s="227"/>
      <c r="D15" s="227"/>
      <c r="E15" s="227"/>
      <c r="F15" s="227"/>
      <c r="G15" s="227"/>
      <c r="H15" s="227"/>
      <c r="I15" s="227"/>
      <c r="J15" s="227"/>
      <c r="K15" s="227"/>
      <c r="L15" s="227"/>
      <c r="M15" s="227"/>
      <c r="N15" s="227"/>
      <c r="O15" s="227"/>
      <c r="P15" s="227"/>
      <c r="Q15" s="227"/>
      <c r="R15" s="227"/>
      <c r="S15" s="227"/>
      <c r="T15" s="227"/>
      <c r="V15" s="224"/>
      <c r="AB15" t="s">
        <v>276</v>
      </c>
      <c r="AC15" s="430">
        <v>0.8</v>
      </c>
      <c r="AD15" s="34"/>
      <c r="AF15" s="32">
        <f t="shared" si="1"/>
        <v>0.19999999999999996</v>
      </c>
    </row>
    <row r="16" spans="1:35">
      <c r="A16" t="str">
        <f>MLIST!A16</f>
        <v>Electronics</v>
      </c>
      <c r="B16" s="7" t="str">
        <f>MLIST!D16</f>
        <v>Smart Plug Power Strips-Retro</v>
      </c>
      <c r="C16" s="227"/>
      <c r="D16" s="227"/>
      <c r="E16" s="227"/>
      <c r="F16" s="227"/>
      <c r="G16" s="227"/>
      <c r="H16" s="227"/>
      <c r="I16" s="227"/>
      <c r="J16" s="227"/>
      <c r="K16" s="227"/>
      <c r="L16" s="227"/>
      <c r="M16" s="227"/>
      <c r="N16" s="227"/>
      <c r="O16" s="227"/>
      <c r="P16" s="227"/>
      <c r="Q16" s="227"/>
      <c r="R16" s="227"/>
      <c r="S16" s="227"/>
      <c r="T16" s="227"/>
      <c r="U16" s="273"/>
      <c r="V16" s="224"/>
      <c r="AB16" t="s">
        <v>721</v>
      </c>
      <c r="AC16" s="430">
        <v>0.25</v>
      </c>
      <c r="AD16" s="34"/>
      <c r="AF16" s="32">
        <f t="shared" si="1"/>
        <v>0.75</v>
      </c>
    </row>
    <row r="17" spans="1:40">
      <c r="A17" t="str">
        <f>MLIST!A17</f>
        <v>Electronics</v>
      </c>
      <c r="B17" s="7" t="str">
        <f>MLIST!D17</f>
        <v>Data Centers-NR</v>
      </c>
      <c r="C17" s="227"/>
      <c r="D17" s="227"/>
      <c r="E17" s="227"/>
      <c r="F17" s="227"/>
      <c r="G17" s="227"/>
      <c r="H17" s="227"/>
      <c r="I17" s="227"/>
      <c r="J17" s="227"/>
      <c r="K17" s="227"/>
      <c r="L17" s="227"/>
      <c r="M17" s="227"/>
      <c r="N17" s="227"/>
      <c r="O17" s="227"/>
      <c r="P17" s="227"/>
      <c r="Q17" s="227"/>
      <c r="R17" s="227"/>
      <c r="S17" s="227"/>
      <c r="T17" s="227"/>
      <c r="V17" s="224"/>
      <c r="AB17" t="s">
        <v>722</v>
      </c>
      <c r="AC17" s="430">
        <v>0.25</v>
      </c>
      <c r="AD17" s="34"/>
      <c r="AF17" s="32">
        <f t="shared" si="1"/>
        <v>0.75</v>
      </c>
    </row>
    <row r="18" spans="1:40">
      <c r="A18" t="str">
        <f>MLIST!A18</f>
        <v>Electronics</v>
      </c>
      <c r="B18" s="7" t="str">
        <f>MLIST!D18</f>
        <v>Monitor-NR</v>
      </c>
      <c r="C18" s="227"/>
      <c r="D18" s="227"/>
      <c r="E18" s="227"/>
      <c r="F18" s="227"/>
      <c r="G18" s="227"/>
      <c r="H18" s="227"/>
      <c r="I18" s="227"/>
      <c r="J18" s="227"/>
      <c r="K18" s="227"/>
      <c r="L18" s="227"/>
      <c r="M18" s="227"/>
      <c r="N18" s="227"/>
      <c r="O18" s="227"/>
      <c r="P18" s="227"/>
      <c r="Q18" s="227"/>
      <c r="R18" s="227"/>
      <c r="S18" s="227"/>
      <c r="T18" s="227"/>
      <c r="V18" s="224"/>
      <c r="AB18" t="s">
        <v>723</v>
      </c>
      <c r="AC18" s="430">
        <v>0.25</v>
      </c>
      <c r="AD18" s="34"/>
      <c r="AF18" s="32">
        <f t="shared" si="1"/>
        <v>0.75</v>
      </c>
    </row>
    <row r="19" spans="1:40">
      <c r="A19" t="str">
        <f>MLIST!A19</f>
        <v>Electronics</v>
      </c>
      <c r="B19" s="7" t="str">
        <f>MLIST!D19</f>
        <v>Desktop-NR</v>
      </c>
      <c r="C19" s="227"/>
      <c r="D19" s="227"/>
      <c r="E19" s="227"/>
      <c r="F19" s="227"/>
      <c r="G19" s="227"/>
      <c r="H19" s="227"/>
      <c r="I19" s="227"/>
      <c r="J19" s="227"/>
      <c r="K19" s="227"/>
      <c r="L19" s="227"/>
      <c r="M19" s="227"/>
      <c r="N19" s="227"/>
      <c r="O19" s="227"/>
      <c r="P19" s="227"/>
      <c r="Q19" s="227"/>
      <c r="R19" s="227"/>
      <c r="S19" s="227"/>
      <c r="T19" s="227"/>
      <c r="V19" s="224"/>
      <c r="AB19" t="s">
        <v>724</v>
      </c>
      <c r="AC19" s="430">
        <v>0.25</v>
      </c>
      <c r="AD19" s="34"/>
      <c r="AF19" s="32">
        <f t="shared" si="1"/>
        <v>0.75</v>
      </c>
    </row>
    <row r="20" spans="1:40">
      <c r="A20" t="str">
        <f>MLIST!A20</f>
        <v>Food Preparation</v>
      </c>
      <c r="B20" s="7" t="str">
        <f>MLIST!D20</f>
        <v>Pre-Rinse Spray Valve-Retro</v>
      </c>
      <c r="C20" s="274"/>
      <c r="D20" s="274"/>
      <c r="E20" s="274"/>
      <c r="F20" s="274"/>
      <c r="G20" s="274"/>
      <c r="H20" s="274"/>
      <c r="I20" s="274"/>
      <c r="J20" s="274"/>
      <c r="K20" s="274"/>
      <c r="L20" s="274"/>
      <c r="M20" s="274"/>
      <c r="N20" s="274"/>
      <c r="O20" s="274"/>
      <c r="P20" s="274"/>
      <c r="Q20" s="274"/>
      <c r="R20" s="274"/>
      <c r="S20" s="274"/>
      <c r="T20" s="274"/>
      <c r="U20" s="273"/>
      <c r="V20" s="224"/>
      <c r="AB20" t="s">
        <v>725</v>
      </c>
      <c r="AC20" s="430">
        <v>0.8</v>
      </c>
      <c r="AD20" s="34"/>
      <c r="AF20" s="32">
        <f t="shared" si="1"/>
        <v>0.19999999999999996</v>
      </c>
    </row>
    <row r="21" spans="1:40">
      <c r="A21" t="str">
        <f>MLIST!A21</f>
        <v>Food Preparation</v>
      </c>
      <c r="B21" s="7" t="str">
        <f>MLIST!D21</f>
        <v>Cooking Equipment-NR</v>
      </c>
      <c r="C21" s="227"/>
      <c r="D21" s="227"/>
      <c r="E21" s="227"/>
      <c r="F21" s="227"/>
      <c r="G21" s="227"/>
      <c r="H21" s="227"/>
      <c r="I21" s="227"/>
      <c r="J21" s="227"/>
      <c r="K21" s="227"/>
      <c r="L21" s="227"/>
      <c r="M21" s="227"/>
      <c r="N21" s="227"/>
      <c r="O21" s="227"/>
      <c r="P21" s="227"/>
      <c r="Q21" s="227"/>
      <c r="R21" s="227"/>
      <c r="S21" s="227"/>
      <c r="T21" s="227"/>
      <c r="U21" s="273"/>
      <c r="V21" s="224"/>
      <c r="AB21" t="s">
        <v>273</v>
      </c>
      <c r="AC21" s="430">
        <v>0.8</v>
      </c>
      <c r="AD21" s="34"/>
      <c r="AF21" s="32">
        <f t="shared" si="1"/>
        <v>0.19999999999999996</v>
      </c>
    </row>
    <row r="22" spans="1:40">
      <c r="A22" t="str">
        <f>MLIST!A22</f>
        <v>HVAC</v>
      </c>
      <c r="B22" s="7" t="str">
        <f>MLIST!D22</f>
        <v>DHP-New</v>
      </c>
      <c r="C22" s="227"/>
      <c r="D22" s="227"/>
      <c r="E22" s="227"/>
      <c r="F22" s="227"/>
      <c r="G22" s="227"/>
      <c r="H22" s="227"/>
      <c r="I22" s="227"/>
      <c r="J22" s="227"/>
      <c r="K22" s="227"/>
      <c r="L22" s="227"/>
      <c r="M22" s="227"/>
      <c r="N22" s="227"/>
      <c r="O22" s="227"/>
      <c r="P22" s="227"/>
      <c r="Q22" s="227"/>
      <c r="R22" s="227"/>
      <c r="S22" s="227"/>
      <c r="T22" s="227"/>
      <c r="V22" s="224"/>
      <c r="AB22" t="s">
        <v>264</v>
      </c>
      <c r="AC22" s="430">
        <v>0.01</v>
      </c>
      <c r="AD22" s="34"/>
      <c r="AF22" s="32">
        <f t="shared" si="1"/>
        <v>0.99</v>
      </c>
    </row>
    <row r="23" spans="1:40">
      <c r="A23" t="str">
        <f>MLIST!A23</f>
        <v>HVAC</v>
      </c>
      <c r="B23" s="7" t="str">
        <f>MLIST!D23</f>
        <v>DHP-Retro</v>
      </c>
      <c r="C23" s="227"/>
      <c r="D23" s="227"/>
      <c r="E23" s="227"/>
      <c r="F23" s="227"/>
      <c r="G23" s="227"/>
      <c r="H23" s="227"/>
      <c r="I23" s="227"/>
      <c r="J23" s="227"/>
      <c r="K23" s="227"/>
      <c r="L23" s="227"/>
      <c r="M23" s="227"/>
      <c r="N23" s="227"/>
      <c r="O23" s="227"/>
      <c r="P23" s="227"/>
      <c r="Q23" s="227"/>
      <c r="R23" s="227"/>
      <c r="S23" s="227"/>
      <c r="T23" s="227"/>
      <c r="V23" s="224"/>
      <c r="AB23" t="s">
        <v>278</v>
      </c>
      <c r="AC23" s="430">
        <v>0.05</v>
      </c>
      <c r="AD23" s="34"/>
      <c r="AF23" s="32">
        <f t="shared" si="1"/>
        <v>0.95</v>
      </c>
    </row>
    <row r="24" spans="1:40">
      <c r="A24" t="str">
        <f>MLIST!A24</f>
        <v>HVAC</v>
      </c>
      <c r="B24" s="7" t="str">
        <f>MLIST!D24</f>
        <v>Glass-New</v>
      </c>
      <c r="C24" s="227"/>
      <c r="D24" s="227"/>
      <c r="E24" s="227"/>
      <c r="F24" s="227"/>
      <c r="G24" s="227"/>
      <c r="H24" s="227"/>
      <c r="I24" s="227"/>
      <c r="J24" s="227"/>
      <c r="K24" s="227"/>
      <c r="L24" s="227"/>
      <c r="M24" s="227"/>
      <c r="N24" s="227"/>
      <c r="O24" s="227"/>
      <c r="P24" s="227"/>
      <c r="Q24" s="227"/>
      <c r="R24" s="227"/>
      <c r="S24" s="227"/>
      <c r="T24" s="227"/>
      <c r="V24" s="224"/>
      <c r="AB24" s="218" t="s">
        <v>446</v>
      </c>
      <c r="AC24" s="430">
        <v>0.05</v>
      </c>
      <c r="AD24" s="34"/>
      <c r="AF24" s="32">
        <f t="shared" si="1"/>
        <v>0.95</v>
      </c>
    </row>
    <row r="25" spans="1:40" s="7" customFormat="1">
      <c r="A25" t="str">
        <f>MLIST!A25</f>
        <v>HVAC</v>
      </c>
      <c r="B25" s="7" t="str">
        <f>MLIST!D25</f>
        <v>Glass-NR</v>
      </c>
      <c r="C25" s="227"/>
      <c r="D25" s="227"/>
      <c r="E25" s="227"/>
      <c r="F25" s="227"/>
      <c r="G25" s="227"/>
      <c r="H25" s="227"/>
      <c r="I25" s="227"/>
      <c r="J25" s="227"/>
      <c r="K25" s="227"/>
      <c r="L25" s="227"/>
      <c r="M25" s="227"/>
      <c r="N25" s="227"/>
      <c r="O25" s="227"/>
      <c r="P25" s="227"/>
      <c r="Q25" s="227"/>
      <c r="R25" s="227"/>
      <c r="S25" s="227"/>
      <c r="T25" s="227"/>
      <c r="V25" s="225"/>
      <c r="AA25"/>
      <c r="AB25" t="s">
        <v>266</v>
      </c>
      <c r="AC25" s="430">
        <v>0.25</v>
      </c>
      <c r="AD25" s="34"/>
      <c r="AE25"/>
      <c r="AF25" s="32">
        <f t="shared" si="1"/>
        <v>0.75</v>
      </c>
      <c r="AG25"/>
      <c r="AH25"/>
      <c r="AI25"/>
      <c r="AJ25"/>
      <c r="AK25"/>
      <c r="AL25"/>
      <c r="AM25"/>
      <c r="AN25"/>
    </row>
    <row r="26" spans="1:40" s="7" customFormat="1">
      <c r="A26" t="str">
        <f>MLIST!A26</f>
        <v>HVAC</v>
      </c>
      <c r="B26" s="7" t="str">
        <f>MLIST!D26</f>
        <v>ControllerLite-Retro</v>
      </c>
      <c r="C26" s="227"/>
      <c r="D26" s="227"/>
      <c r="E26" s="227"/>
      <c r="F26" s="227"/>
      <c r="G26" s="227"/>
      <c r="H26" s="227"/>
      <c r="I26" s="227"/>
      <c r="J26" s="227"/>
      <c r="K26" s="227"/>
      <c r="L26" s="227"/>
      <c r="M26" s="227"/>
      <c r="N26" s="227"/>
      <c r="O26" s="227"/>
      <c r="P26" s="227"/>
      <c r="Q26" s="227"/>
      <c r="R26" s="227"/>
      <c r="S26" s="227"/>
      <c r="T26" s="227"/>
      <c r="V26" s="225"/>
      <c r="AA26"/>
      <c r="AB26" t="s">
        <v>267</v>
      </c>
      <c r="AC26" s="430">
        <v>0.7</v>
      </c>
      <c r="AD26" s="34"/>
      <c r="AE26"/>
      <c r="AF26" s="32">
        <f t="shared" si="1"/>
        <v>0.30000000000000004</v>
      </c>
      <c r="AG26"/>
      <c r="AH26"/>
      <c r="AI26"/>
      <c r="AJ26"/>
      <c r="AK26"/>
      <c r="AL26"/>
      <c r="AM26"/>
      <c r="AN26"/>
    </row>
    <row r="27" spans="1:40">
      <c r="A27" t="str">
        <f>MLIST!A27</f>
        <v>HVAC</v>
      </c>
      <c r="B27" s="7" t="str">
        <f>MLIST!D27</f>
        <v>Advanced Rooftop Controller-New</v>
      </c>
      <c r="C27" s="227"/>
      <c r="D27" s="227"/>
      <c r="E27" s="227"/>
      <c r="F27" s="227"/>
      <c r="G27" s="227"/>
      <c r="H27" s="227"/>
      <c r="I27" s="227"/>
      <c r="J27" s="227"/>
      <c r="K27" s="227"/>
      <c r="L27" s="227"/>
      <c r="M27" s="227"/>
      <c r="N27" s="227"/>
      <c r="O27" s="227"/>
      <c r="P27" s="227"/>
      <c r="Q27" s="227"/>
      <c r="R27" s="227"/>
      <c r="S27" s="227"/>
      <c r="T27" s="227"/>
      <c r="V27" s="224"/>
      <c r="AB27" t="s">
        <v>268</v>
      </c>
      <c r="AC27" s="430">
        <v>0.05</v>
      </c>
      <c r="AD27" s="34"/>
      <c r="AF27" s="32">
        <f t="shared" si="1"/>
        <v>0.95</v>
      </c>
    </row>
    <row r="28" spans="1:40">
      <c r="A28" t="str">
        <f>MLIST!A28</f>
        <v>HVAC</v>
      </c>
      <c r="B28" s="7" t="str">
        <f>MLIST!D28</f>
        <v>Advanced Rooftop Controller-NR</v>
      </c>
      <c r="C28" s="227"/>
      <c r="D28" s="227"/>
      <c r="E28" s="227"/>
      <c r="F28" s="227"/>
      <c r="G28" s="227"/>
      <c r="H28" s="227"/>
      <c r="I28" s="227"/>
      <c r="J28" s="227"/>
      <c r="K28" s="227"/>
      <c r="L28" s="227"/>
      <c r="M28" s="227"/>
      <c r="N28" s="227"/>
      <c r="O28" s="227"/>
      <c r="P28" s="227"/>
      <c r="Q28" s="227"/>
      <c r="R28" s="227"/>
      <c r="S28" s="227"/>
      <c r="T28" s="227"/>
      <c r="V28" s="224"/>
      <c r="AB28" t="s">
        <v>726</v>
      </c>
      <c r="AC28" s="430">
        <v>0.8</v>
      </c>
      <c r="AD28" s="34"/>
      <c r="AF28" s="32">
        <f t="shared" si="1"/>
        <v>0.19999999999999996</v>
      </c>
    </row>
    <row r="29" spans="1:40">
      <c r="A29" t="str">
        <f>MLIST!A29</f>
        <v>HVAC</v>
      </c>
      <c r="B29" s="7" t="str">
        <f>MLIST!D29</f>
        <v>Advanced Rooftop Controller-Retro</v>
      </c>
      <c r="C29" s="227"/>
      <c r="D29" s="227"/>
      <c r="E29" s="227"/>
      <c r="F29" s="227"/>
      <c r="G29" s="227"/>
      <c r="H29" s="227"/>
      <c r="I29" s="227"/>
      <c r="J29" s="227"/>
      <c r="K29" s="227"/>
      <c r="L29" s="227"/>
      <c r="M29" s="227"/>
      <c r="N29" s="227"/>
      <c r="O29" s="227"/>
      <c r="P29" s="227"/>
      <c r="Q29" s="227"/>
      <c r="R29" s="227"/>
      <c r="S29" s="227"/>
      <c r="T29" s="227"/>
      <c r="V29" s="224"/>
      <c r="AB29" t="s">
        <v>311</v>
      </c>
      <c r="AC29" s="430">
        <v>0.25</v>
      </c>
      <c r="AD29" s="34"/>
      <c r="AF29" s="32">
        <f t="shared" si="1"/>
        <v>0.75</v>
      </c>
    </row>
    <row r="30" spans="1:40">
      <c r="A30" t="str">
        <f>MLIST!A30</f>
        <v>HVAC</v>
      </c>
      <c r="B30" s="7" t="str">
        <f>MLIST!D30</f>
        <v>Variable Speed Chiller-New</v>
      </c>
      <c r="C30" s="227"/>
      <c r="D30" s="227"/>
      <c r="E30" s="227"/>
      <c r="F30" s="227"/>
      <c r="G30" s="227"/>
      <c r="H30" s="227"/>
      <c r="I30" s="227"/>
      <c r="J30" s="227"/>
      <c r="K30" s="227"/>
      <c r="L30" s="227"/>
      <c r="M30" s="227"/>
      <c r="N30" s="227"/>
      <c r="O30" s="227"/>
      <c r="P30" s="227"/>
      <c r="Q30" s="227"/>
      <c r="R30" s="227"/>
      <c r="S30" s="227"/>
      <c r="T30" s="227"/>
      <c r="V30" s="224"/>
      <c r="AB30" t="s">
        <v>272</v>
      </c>
      <c r="AC30" s="430">
        <v>0.8</v>
      </c>
      <c r="AD30" s="34"/>
      <c r="AF30" s="32">
        <f t="shared" si="1"/>
        <v>0.19999999999999996</v>
      </c>
    </row>
    <row r="31" spans="1:40" s="7" customFormat="1">
      <c r="A31" t="str">
        <f>MLIST!A31</f>
        <v>HVAC</v>
      </c>
      <c r="B31" s="7" t="str">
        <f>MLIST!D31</f>
        <v>Variable Speed Chiller-NR</v>
      </c>
      <c r="C31" s="227"/>
      <c r="D31" s="227"/>
      <c r="E31" s="227"/>
      <c r="F31" s="227"/>
      <c r="G31" s="227"/>
      <c r="H31" s="227"/>
      <c r="I31" s="227"/>
      <c r="J31" s="227"/>
      <c r="K31" s="227"/>
      <c r="L31" s="227"/>
      <c r="M31" s="227"/>
      <c r="N31" s="227"/>
      <c r="O31" s="227"/>
      <c r="P31" s="227"/>
      <c r="Q31" s="227"/>
      <c r="R31" s="227"/>
      <c r="S31" s="227"/>
      <c r="T31" s="227"/>
      <c r="V31" s="225"/>
    </row>
    <row r="32" spans="1:40" s="7" customFormat="1">
      <c r="A32" t="str">
        <f>MLIST!A32</f>
        <v>HVAC</v>
      </c>
      <c r="B32" s="7" t="str">
        <f>MLIST!D32</f>
        <v>Commercial EM-New</v>
      </c>
      <c r="C32" s="282"/>
      <c r="D32" s="282"/>
      <c r="E32" s="282"/>
      <c r="F32" s="282"/>
      <c r="G32" s="282"/>
      <c r="H32" s="282"/>
      <c r="I32" s="282"/>
      <c r="J32" s="282"/>
      <c r="K32" s="282"/>
      <c r="L32" s="282"/>
      <c r="M32" s="282"/>
      <c r="N32" s="282"/>
      <c r="O32" s="282"/>
      <c r="P32" s="282"/>
      <c r="Q32" s="282"/>
      <c r="R32" s="282"/>
      <c r="S32" s="282"/>
      <c r="T32" s="282"/>
      <c r="V32" s="225"/>
      <c r="AA32"/>
      <c r="AB32" t="s">
        <v>888</v>
      </c>
      <c r="AC32"/>
    </row>
    <row r="33" spans="1:29" s="7" customFormat="1">
      <c r="A33" t="str">
        <f>MLIST!A33</f>
        <v>HVAC</v>
      </c>
      <c r="B33" s="7" t="str">
        <f>MLIST!D33</f>
        <v>Commercial EM-NR</v>
      </c>
      <c r="C33" s="282"/>
      <c r="D33" s="282"/>
      <c r="E33" s="282"/>
      <c r="F33" s="282"/>
      <c r="G33" s="282"/>
      <c r="H33" s="282"/>
      <c r="I33" s="282"/>
      <c r="J33" s="282"/>
      <c r="K33" s="282"/>
      <c r="L33" s="282"/>
      <c r="M33" s="282"/>
      <c r="N33" s="282"/>
      <c r="O33" s="282"/>
      <c r="P33" s="282"/>
      <c r="Q33" s="282"/>
      <c r="R33" s="282"/>
      <c r="S33" s="282"/>
      <c r="T33" s="282"/>
      <c r="V33" s="225"/>
      <c r="AA33"/>
      <c r="AB33" t="s">
        <v>1120</v>
      </c>
      <c r="AC33"/>
    </row>
    <row r="34" spans="1:29" s="7" customFormat="1">
      <c r="A34" t="str">
        <f>MLIST!A34</f>
        <v>HVAC</v>
      </c>
      <c r="B34" s="7" t="str">
        <f>MLIST!D34</f>
        <v>Commercial EM-Retro</v>
      </c>
      <c r="C34" s="282"/>
      <c r="D34" s="282"/>
      <c r="E34" s="282"/>
      <c r="F34" s="282"/>
      <c r="G34" s="282"/>
      <c r="H34" s="282"/>
      <c r="I34" s="282"/>
      <c r="J34" s="282"/>
      <c r="K34" s="282"/>
      <c r="L34" s="282"/>
      <c r="M34" s="282"/>
      <c r="N34" s="282"/>
      <c r="O34" s="282"/>
      <c r="P34" s="282"/>
      <c r="Q34" s="282"/>
      <c r="R34" s="282"/>
      <c r="S34" s="282"/>
      <c r="T34" s="282"/>
      <c r="V34" s="225"/>
      <c r="AA34"/>
      <c r="AB34" s="448">
        <f>30%*0.33</f>
        <v>9.9000000000000005E-2</v>
      </c>
      <c r="AC34"/>
    </row>
    <row r="35" spans="1:29" s="7" customFormat="1">
      <c r="A35" t="str">
        <f>MLIST!A35</f>
        <v>HVAC</v>
      </c>
      <c r="B35" s="7" t="str">
        <f>MLIST!D35</f>
        <v>Evaporative Assist Cooling-New</v>
      </c>
      <c r="C35" s="227"/>
      <c r="D35" s="227"/>
      <c r="E35" s="227"/>
      <c r="F35" s="227"/>
      <c r="G35" s="227"/>
      <c r="H35" s="227"/>
      <c r="I35" s="227"/>
      <c r="J35" s="227"/>
      <c r="K35" s="227"/>
      <c r="L35" s="227"/>
      <c r="M35" s="227"/>
      <c r="N35" s="227"/>
      <c r="O35" s="227"/>
      <c r="P35" s="227"/>
      <c r="Q35" s="227"/>
      <c r="R35" s="227"/>
      <c r="S35" s="227"/>
      <c r="T35" s="227"/>
      <c r="V35" s="225"/>
      <c r="AA35" t="s">
        <v>274</v>
      </c>
      <c r="AB35" s="17">
        <v>4.9500000000000004E-3</v>
      </c>
      <c r="AC35"/>
    </row>
    <row r="36" spans="1:29" s="7" customFormat="1">
      <c r="A36" t="str">
        <f>MLIST!A36</f>
        <v>HVAC</v>
      </c>
      <c r="B36" s="7" t="str">
        <f>MLIST!D36</f>
        <v>Evaporative Assist Cooling-NR</v>
      </c>
      <c r="C36" s="227"/>
      <c r="D36" s="227"/>
      <c r="E36" s="227"/>
      <c r="F36" s="227"/>
      <c r="G36" s="227"/>
      <c r="H36" s="227"/>
      <c r="I36" s="227"/>
      <c r="J36" s="227"/>
      <c r="K36" s="227"/>
      <c r="L36" s="227"/>
      <c r="M36" s="227"/>
      <c r="N36" s="227"/>
      <c r="O36" s="227"/>
      <c r="P36" s="227"/>
      <c r="Q36" s="227"/>
      <c r="R36" s="227"/>
      <c r="S36" s="227"/>
      <c r="T36" s="227"/>
      <c r="V36" s="225"/>
      <c r="AA36" t="s">
        <v>275</v>
      </c>
      <c r="AB36" s="17">
        <v>6.93E-2</v>
      </c>
      <c r="AC36"/>
    </row>
    <row r="37" spans="1:29" s="7" customFormat="1">
      <c r="A37" t="str">
        <f>MLIST!A37</f>
        <v>HVAC</v>
      </c>
      <c r="B37" s="7" t="str">
        <f>MLIST!D37</f>
        <v>Economizer-Retro</v>
      </c>
      <c r="C37" s="227"/>
      <c r="D37" s="227"/>
      <c r="E37" s="227"/>
      <c r="F37" s="227"/>
      <c r="G37" s="227"/>
      <c r="H37" s="227"/>
      <c r="I37" s="227"/>
      <c r="J37" s="227"/>
      <c r="K37" s="227"/>
      <c r="L37" s="227"/>
      <c r="M37" s="227"/>
      <c r="N37" s="227"/>
      <c r="O37" s="227"/>
      <c r="P37" s="227"/>
      <c r="Q37" s="227"/>
      <c r="R37" s="227"/>
      <c r="S37" s="227"/>
      <c r="T37" s="227"/>
      <c r="V37" s="225"/>
      <c r="AA37" t="s">
        <v>276</v>
      </c>
      <c r="AB37" s="17">
        <v>6.93E-2</v>
      </c>
      <c r="AC37"/>
    </row>
    <row r="38" spans="1:29" s="7" customFormat="1">
      <c r="A38" t="str">
        <f>MLIST!A38</f>
        <v>HVAC</v>
      </c>
      <c r="B38" s="7" t="str">
        <f>MLIST!D38</f>
        <v>Demand Control Ventilation-New</v>
      </c>
      <c r="C38" s="227"/>
      <c r="D38" s="227"/>
      <c r="E38" s="227"/>
      <c r="F38" s="227"/>
      <c r="G38" s="227"/>
      <c r="H38" s="227"/>
      <c r="I38" s="227"/>
      <c r="J38" s="227"/>
      <c r="K38" s="227"/>
      <c r="L38" s="227"/>
      <c r="M38" s="227"/>
      <c r="N38" s="227"/>
      <c r="O38" s="227"/>
      <c r="P38" s="227"/>
      <c r="Q38" s="227"/>
      <c r="R38" s="227"/>
      <c r="S38" s="227"/>
      <c r="T38" s="227"/>
      <c r="V38" s="225"/>
      <c r="AA38" t="s">
        <v>721</v>
      </c>
      <c r="AB38" s="17">
        <v>2.4750000000000001E-2</v>
      </c>
      <c r="AC38"/>
    </row>
    <row r="39" spans="1:29">
      <c r="A39" t="str">
        <f>MLIST!A39</f>
        <v>HVAC</v>
      </c>
      <c r="B39" s="7" t="str">
        <f>MLIST!D39</f>
        <v>Demand Control Ventilation-NR</v>
      </c>
      <c r="C39" s="227"/>
      <c r="D39" s="227"/>
      <c r="E39" s="227"/>
      <c r="F39" s="227"/>
      <c r="G39" s="227"/>
      <c r="H39" s="227"/>
      <c r="I39" s="227"/>
      <c r="J39" s="227"/>
      <c r="K39" s="227"/>
      <c r="L39" s="227"/>
      <c r="M39" s="227"/>
      <c r="N39" s="227"/>
      <c r="O39" s="227"/>
      <c r="P39" s="227"/>
      <c r="Q39" s="227"/>
      <c r="R39" s="227"/>
      <c r="S39" s="227"/>
      <c r="T39" s="227"/>
      <c r="V39" s="225"/>
      <c r="AA39" t="s">
        <v>722</v>
      </c>
      <c r="AB39" s="17">
        <v>2.4750000000000001E-2</v>
      </c>
    </row>
    <row r="40" spans="1:29">
      <c r="A40" t="str">
        <f>MLIST!A40</f>
        <v>HVAC</v>
      </c>
      <c r="B40" s="7" t="str">
        <f>MLIST!D40</f>
        <v>Demand Control Ventilation-Retro</v>
      </c>
      <c r="C40" s="227"/>
      <c r="D40" s="227"/>
      <c r="E40" s="227"/>
      <c r="F40" s="227"/>
      <c r="G40" s="227"/>
      <c r="H40" s="227"/>
      <c r="I40" s="227"/>
      <c r="J40" s="227"/>
      <c r="K40" s="227"/>
      <c r="L40" s="227"/>
      <c r="M40" s="227"/>
      <c r="N40" s="227"/>
      <c r="O40" s="227"/>
      <c r="P40" s="227"/>
      <c r="Q40" s="227"/>
      <c r="R40" s="227"/>
      <c r="S40" s="227"/>
      <c r="T40" s="227"/>
      <c r="V40" s="224"/>
      <c r="AA40" t="s">
        <v>723</v>
      </c>
      <c r="AB40" s="17">
        <v>2.4750000000000001E-2</v>
      </c>
    </row>
    <row r="41" spans="1:29" s="218" customFormat="1">
      <c r="A41" s="218" t="str">
        <f>MLIST!A41</f>
        <v>HVAC</v>
      </c>
      <c r="B41" s="278" t="str">
        <f>MLIST!D41</f>
        <v>Premium Fume Hood-NR</v>
      </c>
      <c r="C41" s="282"/>
      <c r="D41" s="282"/>
      <c r="E41" s="282"/>
      <c r="F41" s="282"/>
      <c r="G41" s="282"/>
      <c r="H41" s="282"/>
      <c r="I41" s="282"/>
      <c r="J41" s="282"/>
      <c r="K41" s="282"/>
      <c r="L41" s="282"/>
      <c r="M41" s="282"/>
      <c r="N41" s="282"/>
      <c r="O41" s="282"/>
      <c r="P41" s="282"/>
      <c r="Q41" s="282"/>
      <c r="R41" s="282"/>
      <c r="S41" s="282"/>
      <c r="T41" s="282"/>
      <c r="U41" s="273"/>
      <c r="AA41" t="s">
        <v>724</v>
      </c>
      <c r="AB41" s="17">
        <v>2.4750000000000001E-2</v>
      </c>
      <c r="AC41"/>
    </row>
    <row r="42" spans="1:29" s="7" customFormat="1">
      <c r="A42" t="str">
        <f>MLIST!A42</f>
        <v>HVAC</v>
      </c>
      <c r="B42" s="7" t="str">
        <f>MLIST!D42</f>
        <v>DCV Restaurant Hood-Retro</v>
      </c>
      <c r="C42" s="227"/>
      <c r="D42" s="227"/>
      <c r="E42" s="227"/>
      <c r="F42" s="227"/>
      <c r="G42" s="227"/>
      <c r="H42" s="227"/>
      <c r="I42" s="227"/>
      <c r="J42" s="227"/>
      <c r="K42" s="227"/>
      <c r="L42" s="227"/>
      <c r="M42" s="227"/>
      <c r="N42" s="227"/>
      <c r="O42" s="227"/>
      <c r="P42" s="227"/>
      <c r="Q42" s="227"/>
      <c r="R42" s="227"/>
      <c r="S42" s="227"/>
      <c r="T42" s="227"/>
      <c r="V42" s="225"/>
      <c r="AA42" t="s">
        <v>725</v>
      </c>
      <c r="AB42" s="17">
        <v>6.93E-2</v>
      </c>
      <c r="AC42"/>
    </row>
    <row r="43" spans="1:29" s="7" customFormat="1">
      <c r="A43" t="str">
        <f>MLIST!A43</f>
        <v>HVAC</v>
      </c>
      <c r="B43" s="7" t="str">
        <f>MLIST!D43</f>
        <v>DCV Parking Garage-Retro</v>
      </c>
      <c r="C43" s="227"/>
      <c r="D43" s="227"/>
      <c r="E43" s="227"/>
      <c r="F43" s="227"/>
      <c r="G43" s="227"/>
      <c r="H43" s="227"/>
      <c r="I43" s="227"/>
      <c r="J43" s="227"/>
      <c r="K43" s="227"/>
      <c r="L43" s="227"/>
      <c r="M43" s="227"/>
      <c r="N43" s="227"/>
      <c r="O43" s="227"/>
      <c r="P43" s="227"/>
      <c r="Q43" s="227"/>
      <c r="R43" s="227"/>
      <c r="S43" s="227"/>
      <c r="T43" s="227"/>
      <c r="V43" s="225"/>
      <c r="AA43" t="s">
        <v>273</v>
      </c>
      <c r="AB43" s="17">
        <v>6.93E-2</v>
      </c>
      <c r="AC43"/>
    </row>
    <row r="44" spans="1:29" s="7" customFormat="1">
      <c r="A44" t="str">
        <f>MLIST!A44</f>
        <v>HVAC</v>
      </c>
      <c r="B44" s="7" t="str">
        <f>MLIST!D44</f>
        <v>Weatherization - School-Retro</v>
      </c>
      <c r="C44" s="227"/>
      <c r="D44" s="227"/>
      <c r="E44" s="227"/>
      <c r="F44" s="227"/>
      <c r="G44" s="227"/>
      <c r="H44" s="227"/>
      <c r="I44" s="227"/>
      <c r="J44" s="227"/>
      <c r="K44" s="227"/>
      <c r="L44" s="227"/>
      <c r="M44" s="227"/>
      <c r="N44" s="227"/>
      <c r="O44" s="227"/>
      <c r="P44" s="227"/>
      <c r="Q44" s="227"/>
      <c r="R44" s="227"/>
      <c r="S44" s="227"/>
      <c r="T44" s="227"/>
      <c r="V44" s="225"/>
      <c r="AA44" t="s">
        <v>264</v>
      </c>
      <c r="AB44" s="17">
        <v>9.8999999999999999E-4</v>
      </c>
      <c r="AC44"/>
    </row>
    <row r="45" spans="1:29" s="7" customFormat="1">
      <c r="A45" t="str">
        <f>MLIST!A45</f>
        <v>HVAC</v>
      </c>
      <c r="B45" s="7" t="str">
        <f>MLIST!D45</f>
        <v>Energy Recovery Ventilator-NR</v>
      </c>
      <c r="C45" s="227"/>
      <c r="D45" s="227"/>
      <c r="E45" s="227"/>
      <c r="F45" s="227"/>
      <c r="G45" s="227"/>
      <c r="H45" s="227"/>
      <c r="I45" s="227"/>
      <c r="J45" s="227"/>
      <c r="K45" s="227"/>
      <c r="L45" s="227"/>
      <c r="M45" s="227"/>
      <c r="N45" s="227"/>
      <c r="O45" s="227"/>
      <c r="P45" s="227"/>
      <c r="Q45" s="227"/>
      <c r="R45" s="227"/>
      <c r="S45" s="227"/>
      <c r="T45" s="227"/>
      <c r="V45" s="225"/>
      <c r="AA45" t="s">
        <v>278</v>
      </c>
      <c r="AB45" s="17">
        <v>4.9500000000000004E-3</v>
      </c>
      <c r="AC45"/>
    </row>
    <row r="46" spans="1:29" s="7" customFormat="1">
      <c r="A46" t="str">
        <f>MLIST!A46</f>
        <v>HVAC</v>
      </c>
      <c r="B46" s="7" t="str">
        <f>MLIST!D46</f>
        <v>AC Heat Recovery for Water Heating-NR</v>
      </c>
      <c r="C46" s="227"/>
      <c r="D46" s="227"/>
      <c r="E46" s="227"/>
      <c r="F46" s="227"/>
      <c r="G46" s="227"/>
      <c r="H46" s="227"/>
      <c r="I46" s="227"/>
      <c r="J46" s="227"/>
      <c r="K46" s="227"/>
      <c r="L46" s="227"/>
      <c r="M46" s="227"/>
      <c r="N46" s="227"/>
      <c r="O46" s="227"/>
      <c r="P46" s="227"/>
      <c r="Q46" s="227"/>
      <c r="R46" s="227"/>
      <c r="S46" s="227"/>
      <c r="T46" s="227"/>
      <c r="V46" s="225"/>
      <c r="AA46" s="218" t="s">
        <v>446</v>
      </c>
      <c r="AB46" s="17">
        <v>4.9500000000000004E-3</v>
      </c>
      <c r="AC46"/>
    </row>
    <row r="47" spans="1:29" s="7" customFormat="1">
      <c r="A47" t="str">
        <f>MLIST!A47</f>
        <v>HVAC</v>
      </c>
      <c r="B47" s="7" t="str">
        <f>MLIST!D47</f>
        <v>Room Occupancy Sensors in Lodging-Retro</v>
      </c>
      <c r="C47" s="227"/>
      <c r="D47" s="227"/>
      <c r="E47" s="227"/>
      <c r="F47" s="227"/>
      <c r="G47" s="227"/>
      <c r="H47" s="227"/>
      <c r="I47" s="227"/>
      <c r="J47" s="227"/>
      <c r="K47" s="227"/>
      <c r="L47" s="227"/>
      <c r="M47" s="227"/>
      <c r="N47" s="227"/>
      <c r="O47" s="227"/>
      <c r="P47" s="227"/>
      <c r="Q47" s="227"/>
      <c r="R47" s="227"/>
      <c r="S47" s="227"/>
      <c r="T47" s="227"/>
      <c r="V47" s="225"/>
      <c r="AA47" t="s">
        <v>266</v>
      </c>
      <c r="AB47" s="17">
        <v>2.4750000000000001E-2</v>
      </c>
      <c r="AC47"/>
    </row>
    <row r="48" spans="1:29" s="7" customFormat="1">
      <c r="A48" t="str">
        <f>MLIST!A48</f>
        <v>HVAC</v>
      </c>
      <c r="B48" s="7" t="str">
        <f>MLIST!D48</f>
        <v>Chiller - chilled water retrofit-Retro</v>
      </c>
      <c r="C48" s="227"/>
      <c r="D48" s="227"/>
      <c r="E48" s="227"/>
      <c r="F48" s="227"/>
      <c r="G48" s="227"/>
      <c r="H48" s="227"/>
      <c r="I48" s="227"/>
      <c r="J48" s="227"/>
      <c r="K48" s="227"/>
      <c r="L48" s="227"/>
      <c r="M48" s="227"/>
      <c r="N48" s="227"/>
      <c r="O48" s="227"/>
      <c r="P48" s="227"/>
      <c r="Q48" s="227"/>
      <c r="R48" s="227"/>
      <c r="S48" s="227"/>
      <c r="T48" s="227"/>
      <c r="V48" s="225"/>
      <c r="AA48" t="s">
        <v>267</v>
      </c>
      <c r="AB48" s="17">
        <v>6.93E-2</v>
      </c>
      <c r="AC48"/>
    </row>
    <row r="49" spans="1:29" s="7" customFormat="1">
      <c r="A49" t="str">
        <f>MLIST!A49</f>
        <v>HVAC</v>
      </c>
      <c r="B49" s="7" t="str">
        <f>MLIST!D49</f>
        <v>Chiller - equip retrofits-Retro</v>
      </c>
      <c r="C49" s="227"/>
      <c r="D49" s="227"/>
      <c r="E49" s="227"/>
      <c r="F49" s="227"/>
      <c r="G49" s="227"/>
      <c r="H49" s="227"/>
      <c r="I49" s="227"/>
      <c r="J49" s="227"/>
      <c r="K49" s="227"/>
      <c r="L49" s="227"/>
      <c r="M49" s="227"/>
      <c r="N49" s="227"/>
      <c r="O49" s="227"/>
      <c r="P49" s="227"/>
      <c r="Q49" s="227"/>
      <c r="R49" s="227"/>
      <c r="S49" s="227"/>
      <c r="T49" s="227"/>
      <c r="V49" s="225"/>
      <c r="AA49" t="s">
        <v>268</v>
      </c>
      <c r="AB49" s="17">
        <v>4.9500000000000004E-3</v>
      </c>
      <c r="AC49"/>
    </row>
    <row r="50" spans="1:29" s="7" customFormat="1">
      <c r="A50" t="str">
        <f>MLIST!A50</f>
        <v>HVAC</v>
      </c>
      <c r="B50" s="7" t="str">
        <f>MLIST!D50</f>
        <v>Pool Blankets-Retro</v>
      </c>
      <c r="C50" s="227"/>
      <c r="D50" s="227"/>
      <c r="E50" s="227"/>
      <c r="F50" s="227"/>
      <c r="G50" s="227"/>
      <c r="H50" s="227"/>
      <c r="I50" s="227"/>
      <c r="J50" s="227"/>
      <c r="K50" s="227"/>
      <c r="L50" s="227"/>
      <c r="M50" s="227"/>
      <c r="N50" s="227"/>
      <c r="O50" s="227"/>
      <c r="P50" s="227"/>
      <c r="Q50" s="227"/>
      <c r="R50" s="227"/>
      <c r="S50" s="227"/>
      <c r="T50" s="227"/>
      <c r="V50" s="225"/>
      <c r="AA50" t="s">
        <v>726</v>
      </c>
      <c r="AB50" s="17">
        <v>6.93E-2</v>
      </c>
      <c r="AC50"/>
    </row>
    <row r="51" spans="1:29" s="7" customFormat="1">
      <c r="A51" t="str">
        <f>MLIST!A51</f>
        <v>HVAC</v>
      </c>
      <c r="B51" s="7" t="str">
        <f>MLIST!D51</f>
        <v>Web-Enabled Thermostats-Retro</v>
      </c>
      <c r="C51" s="227"/>
      <c r="D51" s="227"/>
      <c r="E51" s="227"/>
      <c r="F51" s="227"/>
      <c r="G51" s="227"/>
      <c r="H51" s="227"/>
      <c r="I51" s="227"/>
      <c r="J51" s="227"/>
      <c r="K51" s="227"/>
      <c r="L51" s="227"/>
      <c r="M51" s="227"/>
      <c r="N51" s="227"/>
      <c r="O51" s="227"/>
      <c r="P51" s="227"/>
      <c r="Q51" s="227"/>
      <c r="R51" s="227"/>
      <c r="S51" s="227"/>
      <c r="T51" s="227"/>
      <c r="V51" s="225"/>
      <c r="AA51" t="s">
        <v>311</v>
      </c>
      <c r="AB51" s="17">
        <v>2.4750000000000001E-2</v>
      </c>
      <c r="AC51"/>
    </row>
    <row r="52" spans="1:29" s="7" customFormat="1">
      <c r="A52" t="str">
        <f>MLIST!A52</f>
        <v>HVAC</v>
      </c>
      <c r="B52" s="7" t="str">
        <f>MLIST!D52</f>
        <v>Garage CO2 ventilation-Retro</v>
      </c>
      <c r="C52" s="227"/>
      <c r="D52" s="227"/>
      <c r="E52" s="227"/>
      <c r="F52" s="227"/>
      <c r="G52" s="227"/>
      <c r="H52" s="227"/>
      <c r="I52" s="227"/>
      <c r="J52" s="227"/>
      <c r="K52" s="227"/>
      <c r="L52" s="227"/>
      <c r="M52" s="227"/>
      <c r="N52" s="227"/>
      <c r="O52" s="227"/>
      <c r="P52" s="227"/>
      <c r="Q52" s="227"/>
      <c r="R52" s="227"/>
      <c r="S52" s="227"/>
      <c r="T52" s="227"/>
      <c r="V52" s="225"/>
      <c r="AA52" t="s">
        <v>272</v>
      </c>
      <c r="AB52" s="17">
        <v>6.93E-2</v>
      </c>
      <c r="AC52"/>
    </row>
    <row r="53" spans="1:29" s="7" customFormat="1">
      <c r="A53" t="str">
        <f>MLIST!A53</f>
        <v>HVAC</v>
      </c>
      <c r="B53" s="7" t="str">
        <f>MLIST!D53</f>
        <v>Circ Pump ECM and drive-Retro</v>
      </c>
      <c r="C53" s="227"/>
      <c r="D53" s="227"/>
      <c r="E53" s="227"/>
      <c r="F53" s="227"/>
      <c r="G53" s="227"/>
      <c r="H53" s="227"/>
      <c r="I53" s="227"/>
      <c r="J53" s="227"/>
      <c r="K53" s="227"/>
      <c r="L53" s="227"/>
      <c r="M53" s="227"/>
      <c r="N53" s="227"/>
      <c r="O53" s="227"/>
      <c r="P53" s="227"/>
      <c r="Q53" s="227"/>
      <c r="R53" s="227"/>
      <c r="S53" s="227"/>
      <c r="T53" s="227"/>
      <c r="V53" s="225"/>
    </row>
    <row r="54" spans="1:29" s="7" customFormat="1">
      <c r="A54" t="str">
        <f>MLIST!A54</f>
        <v>HVAC</v>
      </c>
      <c r="B54" s="7" t="str">
        <f>MLIST!D54</f>
        <v>VRF-New</v>
      </c>
      <c r="C54" s="282">
        <f ca="1">VLOOKUP(C$11,$AB$13:$AF$30,2,FALSE)</f>
        <v>0.05</v>
      </c>
      <c r="D54" s="282">
        <f t="shared" ref="D54:T54" ca="1" si="2">VLOOKUP(D$11,$AB$13:$AF$30,2,FALSE)</f>
        <v>0.8</v>
      </c>
      <c r="E54" s="282">
        <f t="shared" ca="1" si="2"/>
        <v>0.8</v>
      </c>
      <c r="F54" s="282">
        <f t="shared" ca="1" si="2"/>
        <v>0.25</v>
      </c>
      <c r="G54" s="282">
        <f t="shared" ca="1" si="2"/>
        <v>0.25</v>
      </c>
      <c r="H54" s="282">
        <f t="shared" ca="1" si="2"/>
        <v>0.25</v>
      </c>
      <c r="I54" s="282">
        <f t="shared" ca="1" si="2"/>
        <v>0.25</v>
      </c>
      <c r="J54" s="282">
        <f t="shared" ca="1" si="2"/>
        <v>0.8</v>
      </c>
      <c r="K54" s="282">
        <f t="shared" ca="1" si="2"/>
        <v>0.8</v>
      </c>
      <c r="L54" s="282">
        <f t="shared" ca="1" si="2"/>
        <v>0.01</v>
      </c>
      <c r="M54" s="282">
        <f t="shared" ca="1" si="2"/>
        <v>0.05</v>
      </c>
      <c r="N54" s="282">
        <f t="shared" ca="1" si="2"/>
        <v>0.05</v>
      </c>
      <c r="O54" s="282">
        <f t="shared" ca="1" si="2"/>
        <v>0.25</v>
      </c>
      <c r="P54" s="282">
        <f t="shared" ca="1" si="2"/>
        <v>0.7</v>
      </c>
      <c r="Q54" s="282">
        <f t="shared" ca="1" si="2"/>
        <v>0.05</v>
      </c>
      <c r="R54" s="282">
        <f t="shared" ca="1" si="2"/>
        <v>0.8</v>
      </c>
      <c r="S54" s="282">
        <f t="shared" ca="1" si="2"/>
        <v>0.25</v>
      </c>
      <c r="T54" s="282">
        <f t="shared" ca="1" si="2"/>
        <v>0.8</v>
      </c>
      <c r="U54" s="282"/>
      <c r="V54" s="225"/>
    </row>
    <row r="55" spans="1:29" s="7" customFormat="1">
      <c r="A55" t="str">
        <f>MLIST!A55</f>
        <v>HVAC</v>
      </c>
      <c r="B55" s="7" t="str">
        <f>MLIST!D55</f>
        <v>VRF-Retro</v>
      </c>
      <c r="C55" s="282">
        <f ca="1">VLOOKUP(C$11,$AA$35:$AB$52,2,FALSE)</f>
        <v>4.9500000000000004E-3</v>
      </c>
      <c r="D55" s="282">
        <f t="shared" ref="D55:T55" ca="1" si="3">VLOOKUP(D$11,$AA$35:$AB$52,2,FALSE)</f>
        <v>6.93E-2</v>
      </c>
      <c r="E55" s="282">
        <f t="shared" ca="1" si="3"/>
        <v>6.93E-2</v>
      </c>
      <c r="F55" s="282">
        <f t="shared" ca="1" si="3"/>
        <v>2.4750000000000001E-2</v>
      </c>
      <c r="G55" s="282">
        <f t="shared" ca="1" si="3"/>
        <v>2.4750000000000001E-2</v>
      </c>
      <c r="H55" s="282">
        <f t="shared" ca="1" si="3"/>
        <v>2.4750000000000001E-2</v>
      </c>
      <c r="I55" s="282">
        <f t="shared" ca="1" si="3"/>
        <v>2.4750000000000001E-2</v>
      </c>
      <c r="J55" s="282">
        <f t="shared" ca="1" si="3"/>
        <v>6.93E-2</v>
      </c>
      <c r="K55" s="282">
        <f t="shared" ca="1" si="3"/>
        <v>6.93E-2</v>
      </c>
      <c r="L55" s="282">
        <f t="shared" ca="1" si="3"/>
        <v>9.8999999999999999E-4</v>
      </c>
      <c r="M55" s="282">
        <f t="shared" ca="1" si="3"/>
        <v>4.9500000000000004E-3</v>
      </c>
      <c r="N55" s="282">
        <f t="shared" ca="1" si="3"/>
        <v>4.9500000000000004E-3</v>
      </c>
      <c r="O55" s="282">
        <f t="shared" ca="1" si="3"/>
        <v>2.4750000000000001E-2</v>
      </c>
      <c r="P55" s="282">
        <f t="shared" ca="1" si="3"/>
        <v>6.93E-2</v>
      </c>
      <c r="Q55" s="282">
        <f t="shared" ca="1" si="3"/>
        <v>4.9500000000000004E-3</v>
      </c>
      <c r="R55" s="282">
        <f t="shared" ca="1" si="3"/>
        <v>6.93E-2</v>
      </c>
      <c r="S55" s="282">
        <f t="shared" ca="1" si="3"/>
        <v>2.4750000000000001E-2</v>
      </c>
      <c r="T55" s="282">
        <f t="shared" ca="1" si="3"/>
        <v>6.93E-2</v>
      </c>
      <c r="V55" s="225"/>
    </row>
    <row r="56" spans="1:29" s="7" customFormat="1">
      <c r="A56" t="str">
        <f>MLIST!A56</f>
        <v>HVAC</v>
      </c>
      <c r="B56" s="7" t="str">
        <f>MLIST!D56</f>
        <v>Evaporator Roof Top HVAC-Retro</v>
      </c>
      <c r="C56" s="227"/>
      <c r="D56" s="227"/>
      <c r="E56" s="227"/>
      <c r="F56" s="227"/>
      <c r="G56" s="227"/>
      <c r="H56" s="227"/>
      <c r="I56" s="227"/>
      <c r="J56" s="227"/>
      <c r="K56" s="227"/>
      <c r="L56" s="227"/>
      <c r="M56" s="227"/>
      <c r="N56" s="227"/>
      <c r="O56" s="227"/>
      <c r="P56" s="227"/>
      <c r="Q56" s="227"/>
      <c r="R56" s="227"/>
      <c r="S56" s="227"/>
      <c r="T56" s="227"/>
      <c r="V56" s="225"/>
    </row>
    <row r="57" spans="1:29" s="7" customFormat="1">
      <c r="A57" t="str">
        <f>MLIST!A57</f>
        <v>HVAC</v>
      </c>
      <c r="B57" s="7" t="str">
        <f>MLIST!D57</f>
        <v>Secondary Glazing Systems-Retro</v>
      </c>
      <c r="C57" s="227"/>
      <c r="D57" s="227"/>
      <c r="E57" s="227"/>
      <c r="F57" s="227"/>
      <c r="G57" s="227"/>
      <c r="H57" s="227"/>
      <c r="I57" s="227"/>
      <c r="J57" s="227"/>
      <c r="K57" s="227"/>
      <c r="L57" s="227"/>
      <c r="M57" s="227"/>
      <c r="N57" s="227"/>
      <c r="O57" s="227"/>
      <c r="P57" s="227"/>
      <c r="Q57" s="227"/>
      <c r="R57" s="227"/>
      <c r="S57" s="227"/>
      <c r="T57" s="227"/>
      <c r="V57" s="225"/>
    </row>
    <row r="58" spans="1:29">
      <c r="A58" t="str">
        <f>MLIST!A58</f>
        <v>Lighting</v>
      </c>
      <c r="B58" s="7" t="str">
        <f>MLIST!D58</f>
        <v>LPD Package-New</v>
      </c>
      <c r="C58" s="447"/>
      <c r="D58" s="447"/>
      <c r="E58" s="447"/>
      <c r="F58" s="447"/>
      <c r="G58" s="447"/>
      <c r="H58" s="447"/>
      <c r="I58" s="447"/>
      <c r="J58" s="447"/>
      <c r="K58" s="447"/>
      <c r="L58" s="447"/>
      <c r="M58" s="447"/>
      <c r="N58" s="447"/>
      <c r="O58" s="447"/>
      <c r="P58" s="447"/>
      <c r="Q58" s="447"/>
      <c r="R58" s="447"/>
      <c r="S58" s="447"/>
      <c r="T58" s="447"/>
      <c r="V58" s="218" t="s">
        <v>950</v>
      </c>
    </row>
    <row r="59" spans="1:29">
      <c r="A59" t="str">
        <f>MLIST!A59</f>
        <v>Lighting</v>
      </c>
      <c r="B59" s="7" t="str">
        <f>MLIST!D59</f>
        <v>LPD Package-NR</v>
      </c>
      <c r="C59" s="447"/>
      <c r="D59" s="447"/>
      <c r="E59" s="447"/>
      <c r="F59" s="447"/>
      <c r="G59" s="447"/>
      <c r="H59" s="447"/>
      <c r="I59" s="447"/>
      <c r="J59" s="447"/>
      <c r="K59" s="447"/>
      <c r="L59" s="447"/>
      <c r="M59" s="447"/>
      <c r="N59" s="447"/>
      <c r="O59" s="447"/>
      <c r="P59" s="447"/>
      <c r="Q59" s="447"/>
      <c r="R59" s="447"/>
      <c r="S59" s="447"/>
      <c r="T59" s="447"/>
      <c r="V59" s="218" t="s">
        <v>950</v>
      </c>
    </row>
    <row r="60" spans="1:29">
      <c r="A60" t="str">
        <f>MLIST!A60</f>
        <v>Lighting</v>
      </c>
      <c r="B60" s="7" t="str">
        <f>MLIST!D60</f>
        <v>LPD Package-Retro</v>
      </c>
      <c r="C60" s="447"/>
      <c r="D60" s="447"/>
      <c r="E60" s="447"/>
      <c r="F60" s="447"/>
      <c r="G60" s="447"/>
      <c r="H60" s="447"/>
      <c r="I60" s="447"/>
      <c r="J60" s="447"/>
      <c r="K60" s="447"/>
      <c r="L60" s="447"/>
      <c r="M60" s="447"/>
      <c r="N60" s="447"/>
      <c r="O60" s="447"/>
      <c r="P60" s="447"/>
      <c r="Q60" s="447"/>
      <c r="R60" s="447"/>
      <c r="S60" s="447"/>
      <c r="T60" s="447"/>
      <c r="V60" s="218" t="s">
        <v>950</v>
      </c>
    </row>
    <row r="61" spans="1:29">
      <c r="A61" t="str">
        <f>MLIST!A61</f>
        <v>Lighting</v>
      </c>
      <c r="B61" s="7" t="str">
        <f>MLIST!D61</f>
        <v>Top Daylighting-New</v>
      </c>
      <c r="C61" s="226"/>
      <c r="D61" s="226"/>
      <c r="E61" s="226"/>
      <c r="F61" s="226"/>
      <c r="G61" s="226"/>
      <c r="H61" s="226"/>
      <c r="I61" s="226"/>
      <c r="J61" s="226"/>
      <c r="K61" s="226"/>
      <c r="L61" s="226"/>
      <c r="M61" s="226"/>
      <c r="N61" s="226"/>
      <c r="O61" s="226"/>
      <c r="P61" s="226"/>
      <c r="Q61" s="226"/>
      <c r="R61" s="226"/>
      <c r="S61" s="226"/>
      <c r="T61" s="226"/>
      <c r="V61" s="224"/>
    </row>
    <row r="62" spans="1:29">
      <c r="A62" t="str">
        <f>MLIST!A62</f>
        <v>Lighting</v>
      </c>
      <c r="B62" s="7" t="str">
        <f>MLIST!D62</f>
        <v>Perimeter Daylighting Controls Advanced-New</v>
      </c>
      <c r="C62" s="227"/>
      <c r="D62" s="227"/>
      <c r="E62" s="227"/>
      <c r="F62" s="227"/>
      <c r="G62" s="227"/>
      <c r="H62" s="227"/>
      <c r="I62" s="227"/>
      <c r="J62" s="227"/>
      <c r="K62" s="227"/>
      <c r="L62" s="227"/>
      <c r="M62" s="227"/>
      <c r="N62" s="227"/>
      <c r="O62" s="227"/>
      <c r="P62" s="227"/>
      <c r="Q62" s="227"/>
      <c r="R62" s="227"/>
      <c r="S62" s="227"/>
      <c r="T62" s="227"/>
      <c r="V62" s="224"/>
    </row>
    <row r="63" spans="1:29">
      <c r="A63" t="str">
        <f>MLIST!A63</f>
        <v>Lighting</v>
      </c>
      <c r="B63" s="7" t="str">
        <f>MLIST!D63</f>
        <v>Perimeter Daylighting Controls Advanced-NR</v>
      </c>
      <c r="C63" s="227"/>
      <c r="D63" s="227"/>
      <c r="E63" s="227"/>
      <c r="F63" s="227"/>
      <c r="G63" s="227"/>
      <c r="H63" s="227"/>
      <c r="I63" s="227"/>
      <c r="J63" s="227"/>
      <c r="K63" s="227"/>
      <c r="L63" s="227"/>
      <c r="M63" s="227"/>
      <c r="N63" s="227"/>
      <c r="O63" s="227"/>
      <c r="P63" s="227"/>
      <c r="Q63" s="227"/>
      <c r="R63" s="227"/>
      <c r="S63" s="227"/>
      <c r="T63" s="227"/>
      <c r="V63" s="224"/>
    </row>
    <row r="64" spans="1:29">
      <c r="A64" t="str">
        <f>MLIST!A64</f>
        <v>Lighting</v>
      </c>
      <c r="B64" s="7" t="str">
        <f>MLIST!D64</f>
        <v>Lighting Controls Interior-New</v>
      </c>
      <c r="C64" s="227"/>
      <c r="D64" s="227"/>
      <c r="E64" s="227"/>
      <c r="F64" s="227"/>
      <c r="G64" s="227"/>
      <c r="H64" s="227"/>
      <c r="I64" s="227"/>
      <c r="J64" s="227"/>
      <c r="K64" s="227"/>
      <c r="L64" s="227"/>
      <c r="M64" s="227"/>
      <c r="N64" s="227"/>
      <c r="O64" s="227"/>
      <c r="P64" s="227"/>
      <c r="Q64" s="227"/>
      <c r="R64" s="227"/>
      <c r="S64" s="227"/>
      <c r="T64" s="227"/>
      <c r="V64" s="224"/>
    </row>
    <row r="65" spans="1:22">
      <c r="A65" t="str">
        <f>MLIST!A65</f>
        <v>Lighting</v>
      </c>
      <c r="B65" s="7" t="str">
        <f>MLIST!D65</f>
        <v>Lighting Controls Interior-NR</v>
      </c>
      <c r="C65" s="227"/>
      <c r="D65" s="227"/>
      <c r="E65" s="227"/>
      <c r="F65" s="227"/>
      <c r="G65" s="227"/>
      <c r="H65" s="227"/>
      <c r="I65" s="227"/>
      <c r="J65" s="227"/>
      <c r="K65" s="227"/>
      <c r="L65" s="227"/>
      <c r="M65" s="227"/>
      <c r="N65" s="227"/>
      <c r="O65" s="227"/>
      <c r="P65" s="227"/>
      <c r="Q65" s="227"/>
      <c r="R65" s="227"/>
      <c r="S65" s="227"/>
      <c r="T65" s="227"/>
      <c r="V65" s="224"/>
    </row>
    <row r="66" spans="1:22">
      <c r="A66" t="str">
        <f>MLIST!A66</f>
        <v>Lighting</v>
      </c>
      <c r="B66" s="7" t="str">
        <f>MLIST!D66</f>
        <v>Exterior Building Lighting-New</v>
      </c>
      <c r="C66" s="403"/>
      <c r="D66" s="403"/>
      <c r="E66" s="403"/>
      <c r="F66" s="403"/>
      <c r="G66" s="403"/>
      <c r="H66" s="403"/>
      <c r="I66" s="403"/>
      <c r="J66" s="403"/>
      <c r="K66" s="403"/>
      <c r="L66" s="403"/>
      <c r="M66" s="403"/>
      <c r="N66" s="403"/>
      <c r="O66" s="403"/>
      <c r="P66" s="403"/>
      <c r="Q66" s="403"/>
      <c r="R66" s="403"/>
      <c r="S66" s="403"/>
      <c r="T66" s="403"/>
      <c r="V66" s="224"/>
    </row>
    <row r="67" spans="1:22">
      <c r="A67" t="str">
        <f>MLIST!A67</f>
        <v>Lighting</v>
      </c>
      <c r="B67" s="7" t="str">
        <f>MLIST!D67</f>
        <v>Exterior Building Lighting-NR</v>
      </c>
      <c r="C67" s="403"/>
      <c r="D67" s="403"/>
      <c r="E67" s="403"/>
      <c r="F67" s="403"/>
      <c r="G67" s="403"/>
      <c r="H67" s="403"/>
      <c r="I67" s="403"/>
      <c r="J67" s="403"/>
      <c r="K67" s="403"/>
      <c r="L67" s="403"/>
      <c r="M67" s="403"/>
      <c r="N67" s="403"/>
      <c r="O67" s="403"/>
      <c r="P67" s="403"/>
      <c r="Q67" s="403"/>
      <c r="R67" s="403"/>
      <c r="S67" s="403"/>
      <c r="T67" s="403"/>
      <c r="V67" s="224"/>
    </row>
    <row r="68" spans="1:22">
      <c r="A68" t="str">
        <f>MLIST!A68</f>
        <v>Lighting</v>
      </c>
      <c r="B68" s="7" t="str">
        <f>MLIST!D68</f>
        <v>Street and Roadway Lighting-New</v>
      </c>
      <c r="C68" s="403"/>
      <c r="D68" s="403"/>
      <c r="E68" s="403"/>
      <c r="F68" s="403"/>
      <c r="G68" s="403"/>
      <c r="H68" s="403"/>
      <c r="I68" s="403"/>
      <c r="J68" s="403"/>
      <c r="K68" s="403"/>
      <c r="L68" s="403"/>
      <c r="M68" s="403"/>
      <c r="N68" s="403"/>
      <c r="O68" s="403"/>
      <c r="P68" s="403"/>
      <c r="Q68" s="403"/>
      <c r="R68" s="403"/>
      <c r="S68" s="403"/>
      <c r="T68" s="403"/>
      <c r="U68" s="34"/>
      <c r="V68" s="224"/>
    </row>
    <row r="69" spans="1:22">
      <c r="A69" t="str">
        <f>MLIST!A69</f>
        <v>Lighting</v>
      </c>
      <c r="B69" s="7" t="str">
        <f>MLIST!D69</f>
        <v>Street and Roadway Lighting-NR</v>
      </c>
      <c r="C69" s="403"/>
      <c r="D69" s="403"/>
      <c r="E69" s="403"/>
      <c r="F69" s="403"/>
      <c r="G69" s="403"/>
      <c r="H69" s="403"/>
      <c r="I69" s="403"/>
      <c r="J69" s="403"/>
      <c r="K69" s="403"/>
      <c r="L69" s="403"/>
      <c r="M69" s="403"/>
      <c r="N69" s="403"/>
      <c r="O69" s="403"/>
      <c r="P69" s="403"/>
      <c r="Q69" s="403"/>
      <c r="R69" s="403"/>
      <c r="S69" s="403"/>
      <c r="T69" s="403"/>
      <c r="U69" s="34"/>
      <c r="V69" s="224"/>
    </row>
    <row r="70" spans="1:22">
      <c r="A70" t="str">
        <f>MLIST!A70</f>
        <v>Lighting</v>
      </c>
      <c r="B70" s="7" t="str">
        <f>MLIST!D70</f>
        <v>Parking Lighting-New</v>
      </c>
      <c r="C70" s="227"/>
      <c r="D70" s="227"/>
      <c r="E70" s="227"/>
      <c r="F70" s="227"/>
      <c r="G70" s="227"/>
      <c r="H70" s="227"/>
      <c r="I70" s="227"/>
      <c r="J70" s="227"/>
      <c r="K70" s="227"/>
      <c r="L70" s="227"/>
      <c r="M70" s="227"/>
      <c r="N70" s="227"/>
      <c r="O70" s="227"/>
      <c r="P70" s="227"/>
      <c r="Q70" s="227"/>
      <c r="R70" s="227"/>
      <c r="S70" s="227"/>
      <c r="T70" s="227"/>
      <c r="V70" s="224"/>
    </row>
    <row r="71" spans="1:22">
      <c r="A71" t="str">
        <f>MLIST!A71</f>
        <v>Lighting</v>
      </c>
      <c r="B71" s="7" t="str">
        <f>MLIST!D71</f>
        <v>Parking Lighting-NR</v>
      </c>
      <c r="C71" s="227"/>
      <c r="D71" s="227"/>
      <c r="E71" s="227"/>
      <c r="F71" s="227"/>
      <c r="G71" s="227"/>
      <c r="H71" s="227"/>
      <c r="I71" s="227"/>
      <c r="J71" s="227"/>
      <c r="K71" s="227"/>
      <c r="L71" s="227"/>
      <c r="M71" s="227"/>
      <c r="N71" s="227"/>
      <c r="O71" s="227"/>
      <c r="P71" s="227"/>
      <c r="Q71" s="227"/>
      <c r="R71" s="227"/>
      <c r="S71" s="227"/>
      <c r="T71" s="227"/>
      <c r="V71" s="224"/>
    </row>
    <row r="72" spans="1:22">
      <c r="A72" t="str">
        <f>MLIST!A73</f>
        <v>Lighting</v>
      </c>
      <c r="B72" s="7" t="str">
        <f>MLIST!D73</f>
        <v>Low Power LF Lamps-NR</v>
      </c>
      <c r="C72" s="6"/>
      <c r="D72" s="6"/>
      <c r="E72" s="6"/>
      <c r="F72" s="6"/>
      <c r="G72" s="6"/>
      <c r="H72" s="6"/>
      <c r="I72" s="6"/>
      <c r="J72" s="6"/>
      <c r="K72" s="6"/>
      <c r="L72" s="6"/>
      <c r="M72" s="6"/>
      <c r="N72" s="6"/>
      <c r="O72" s="6"/>
      <c r="P72" s="6"/>
      <c r="Q72" s="6"/>
      <c r="R72" s="6"/>
      <c r="S72" s="6"/>
      <c r="T72" s="6"/>
      <c r="U72" s="34"/>
      <c r="V72" s="224"/>
    </row>
    <row r="73" spans="1:22">
      <c r="A73" t="str">
        <f>MLIST!A74</f>
        <v>Lighting</v>
      </c>
      <c r="B73" s="7" t="str">
        <f>MLIST!D74</f>
        <v>LEC Exit Sign-New</v>
      </c>
      <c r="C73" s="227"/>
      <c r="D73" s="227"/>
      <c r="E73" s="227"/>
      <c r="F73" s="227"/>
      <c r="G73" s="227"/>
      <c r="H73" s="227"/>
      <c r="I73" s="227"/>
      <c r="J73" s="227"/>
      <c r="K73" s="227"/>
      <c r="L73" s="227"/>
      <c r="M73" s="227"/>
      <c r="N73" s="227"/>
      <c r="O73" s="227"/>
      <c r="P73" s="227"/>
      <c r="Q73" s="227"/>
      <c r="R73" s="227"/>
      <c r="S73" s="227"/>
      <c r="T73" s="227"/>
      <c r="V73" s="224"/>
    </row>
    <row r="74" spans="1:22">
      <c r="A74" t="str">
        <f>MLIST!A75</f>
        <v>Lighting</v>
      </c>
      <c r="B74" s="7" t="str">
        <f>MLIST!D75</f>
        <v>LEC Exit Sign-NR</v>
      </c>
      <c r="C74" s="227"/>
      <c r="D74" s="227"/>
      <c r="E74" s="227"/>
      <c r="F74" s="227"/>
      <c r="G74" s="227"/>
      <c r="H74" s="227"/>
      <c r="I74" s="227"/>
      <c r="J74" s="227"/>
      <c r="K74" s="227"/>
      <c r="L74" s="227"/>
      <c r="M74" s="227"/>
      <c r="N74" s="227"/>
      <c r="O74" s="227"/>
      <c r="P74" s="227"/>
      <c r="Q74" s="227"/>
      <c r="R74" s="227"/>
      <c r="S74" s="227"/>
      <c r="T74" s="227"/>
      <c r="V74" s="224"/>
    </row>
    <row r="75" spans="1:22">
      <c r="A75" t="str">
        <f>MLIST!A72</f>
        <v>Lighting</v>
      </c>
      <c r="B75" s="7" t="str">
        <f>MLIST!D72</f>
        <v>Bi-Level Stairwell Lighting-NR</v>
      </c>
      <c r="C75" s="227"/>
      <c r="D75" s="227"/>
      <c r="E75" s="227"/>
      <c r="F75" s="227"/>
      <c r="G75" s="227"/>
      <c r="H75" s="227"/>
      <c r="I75" s="227"/>
      <c r="J75" s="227"/>
      <c r="K75" s="227"/>
      <c r="L75" s="227"/>
      <c r="M75" s="227"/>
      <c r="N75" s="227"/>
      <c r="O75" s="227"/>
      <c r="P75" s="227"/>
      <c r="Q75" s="227"/>
      <c r="R75" s="227"/>
      <c r="S75" s="227"/>
      <c r="T75" s="227"/>
      <c r="V75" s="224"/>
    </row>
    <row r="76" spans="1:22">
      <c r="A76" t="str">
        <f>MLIST!A76</f>
        <v>Motors/Drives</v>
      </c>
      <c r="B76" s="7" t="str">
        <f>MLIST!D76</f>
        <v>ECM-VAV-New</v>
      </c>
      <c r="C76" s="227"/>
      <c r="D76" s="227"/>
      <c r="E76" s="227"/>
      <c r="F76" s="227"/>
      <c r="G76" s="227"/>
      <c r="H76" s="227"/>
      <c r="I76" s="227"/>
      <c r="J76" s="227"/>
      <c r="K76" s="227"/>
      <c r="L76" s="227"/>
      <c r="M76" s="227"/>
      <c r="N76" s="227"/>
      <c r="O76" s="227"/>
      <c r="P76" s="227"/>
      <c r="Q76" s="227"/>
      <c r="R76" s="227"/>
      <c r="S76" s="227"/>
      <c r="T76" s="227"/>
      <c r="V76" s="224"/>
    </row>
    <row r="77" spans="1:22">
      <c r="A77" t="str">
        <f>MLIST!A77</f>
        <v>Motors/Drives</v>
      </c>
      <c r="B77" s="7" t="str">
        <f>MLIST!D77</f>
        <v>ECM-VAV-NR</v>
      </c>
      <c r="C77" s="227"/>
      <c r="D77" s="227"/>
      <c r="E77" s="227"/>
      <c r="F77" s="227"/>
      <c r="G77" s="227"/>
      <c r="H77" s="227"/>
      <c r="I77" s="227"/>
      <c r="J77" s="227"/>
      <c r="K77" s="227"/>
      <c r="L77" s="227"/>
      <c r="M77" s="227"/>
      <c r="N77" s="227"/>
      <c r="O77" s="227"/>
      <c r="P77" s="227"/>
      <c r="Q77" s="227"/>
      <c r="R77" s="227"/>
      <c r="S77" s="227"/>
      <c r="T77" s="227"/>
      <c r="V77" s="224"/>
    </row>
    <row r="78" spans="1:22">
      <c r="A78" t="str">
        <f>MLIST!A78</f>
        <v>Motors/Drives</v>
      </c>
      <c r="B78" s="7" t="str">
        <f>MLIST!D78</f>
        <v>Pool pumps-Retro</v>
      </c>
      <c r="C78" s="227"/>
      <c r="D78" s="227"/>
      <c r="E78" s="227"/>
      <c r="F78" s="227"/>
      <c r="G78" s="227"/>
      <c r="H78" s="227"/>
      <c r="I78" s="227"/>
      <c r="J78" s="227"/>
      <c r="K78" s="227"/>
      <c r="L78" s="227"/>
      <c r="M78" s="227"/>
      <c r="N78" s="227"/>
      <c r="O78" s="227"/>
      <c r="P78" s="227"/>
      <c r="Q78" s="227"/>
      <c r="R78" s="227"/>
      <c r="S78" s="227"/>
      <c r="T78" s="227"/>
      <c r="V78" s="224"/>
    </row>
    <row r="79" spans="1:22">
      <c r="A79" t="str">
        <f>MLIST!A79</f>
        <v>Motors/Drives</v>
      </c>
      <c r="B79" s="7" t="str">
        <f>MLIST!D79</f>
        <v>MotorsRewind-New</v>
      </c>
      <c r="C79" s="227"/>
      <c r="D79" s="227"/>
      <c r="E79" s="227"/>
      <c r="F79" s="227"/>
      <c r="G79" s="227"/>
      <c r="H79" s="227"/>
      <c r="I79" s="227"/>
      <c r="J79" s="227"/>
      <c r="K79" s="227"/>
      <c r="L79" s="227"/>
      <c r="M79" s="227"/>
      <c r="N79" s="227"/>
      <c r="O79" s="227"/>
      <c r="P79" s="227"/>
      <c r="Q79" s="227"/>
      <c r="R79" s="227"/>
      <c r="S79" s="227"/>
      <c r="T79" s="227"/>
      <c r="U79" s="32"/>
      <c r="V79" s="224"/>
    </row>
    <row r="80" spans="1:22">
      <c r="A80" t="str">
        <f>MLIST!A80</f>
        <v>Motors/Drives</v>
      </c>
      <c r="B80" s="7" t="str">
        <f>MLIST!D80</f>
        <v>MotorsRewind-NR</v>
      </c>
      <c r="C80" s="227"/>
      <c r="D80" s="227"/>
      <c r="E80" s="227"/>
      <c r="F80" s="227"/>
      <c r="G80" s="227"/>
      <c r="H80" s="227"/>
      <c r="I80" s="227"/>
      <c r="J80" s="227"/>
      <c r="K80" s="227"/>
      <c r="L80" s="227"/>
      <c r="M80" s="227"/>
      <c r="N80" s="227"/>
      <c r="O80" s="227"/>
      <c r="P80" s="227"/>
      <c r="Q80" s="227"/>
      <c r="R80" s="227"/>
      <c r="S80" s="227"/>
      <c r="T80" s="227"/>
      <c r="U80" s="32"/>
      <c r="V80" s="224"/>
    </row>
    <row r="81" spans="1:22">
      <c r="A81" t="str">
        <f>MLIST!A81</f>
        <v>Process Loads</v>
      </c>
      <c r="B81" s="7" t="str">
        <f>MLIST!D81</f>
        <v>Municipal Sewage Treatment-Retro</v>
      </c>
      <c r="C81" s="282"/>
      <c r="D81" s="282"/>
      <c r="E81" s="282"/>
      <c r="F81" s="282"/>
      <c r="G81" s="282"/>
      <c r="H81" s="282"/>
      <c r="I81" s="282"/>
      <c r="J81" s="282"/>
      <c r="K81" s="282"/>
      <c r="L81" s="282"/>
      <c r="M81" s="282"/>
      <c r="N81" s="282"/>
      <c r="O81" s="282"/>
      <c r="P81" s="282"/>
      <c r="Q81" s="282"/>
      <c r="R81" s="282"/>
      <c r="S81" s="282"/>
      <c r="T81" s="282"/>
      <c r="U81" s="32"/>
      <c r="V81" s="224"/>
    </row>
    <row r="82" spans="1:22">
      <c r="A82" t="str">
        <f>MLIST!A82</f>
        <v>Process Loads</v>
      </c>
      <c r="B82" s="7" t="str">
        <f>MLIST!D82</f>
        <v>Municipal Water Supply-Retro</v>
      </c>
      <c r="C82" s="282"/>
      <c r="D82" s="282"/>
      <c r="E82" s="282"/>
      <c r="F82" s="282"/>
      <c r="G82" s="282"/>
      <c r="H82" s="282"/>
      <c r="I82" s="282"/>
      <c r="J82" s="282"/>
      <c r="K82" s="282"/>
      <c r="L82" s="282"/>
      <c r="M82" s="282"/>
      <c r="N82" s="282"/>
      <c r="O82" s="282"/>
      <c r="P82" s="282"/>
      <c r="Q82" s="282"/>
      <c r="R82" s="282"/>
      <c r="S82" s="282"/>
      <c r="T82" s="282"/>
      <c r="U82" s="32"/>
      <c r="V82" s="224"/>
    </row>
    <row r="83" spans="1:22">
      <c r="A83" t="str">
        <f>MLIST!A83</f>
        <v>Process Loads</v>
      </c>
      <c r="B83" s="7" t="str">
        <f>MLIST!D83</f>
        <v>Engine Generator Block Heaters-Retro</v>
      </c>
      <c r="C83" s="227"/>
      <c r="D83" s="227"/>
      <c r="E83" s="227"/>
      <c r="F83" s="227"/>
      <c r="G83" s="227"/>
      <c r="H83" s="227"/>
      <c r="I83" s="227"/>
      <c r="J83" s="227"/>
      <c r="K83" s="227"/>
      <c r="L83" s="227"/>
      <c r="M83" s="227"/>
      <c r="N83" s="227"/>
      <c r="O83" s="227"/>
      <c r="P83" s="227"/>
      <c r="Q83" s="227"/>
      <c r="R83" s="227"/>
      <c r="S83" s="227"/>
      <c r="T83" s="227"/>
      <c r="U83" s="32"/>
      <c r="V83" s="224"/>
    </row>
    <row r="84" spans="1:22">
      <c r="A84" t="str">
        <f>MLIST!A84</f>
        <v>Refrigeration</v>
      </c>
      <c r="B84" s="7" t="str">
        <f>MLIST!D84</f>
        <v>Grocery Refrigeration Bundle-Retro</v>
      </c>
      <c r="C84" s="227"/>
      <c r="D84" s="227"/>
      <c r="E84" s="227"/>
      <c r="F84" s="227"/>
      <c r="G84" s="227"/>
      <c r="H84" s="227"/>
      <c r="I84" s="227"/>
      <c r="J84" s="227"/>
      <c r="K84" s="227"/>
      <c r="L84" s="227"/>
      <c r="M84" s="227"/>
      <c r="N84" s="227"/>
      <c r="O84" s="227"/>
      <c r="P84" s="227"/>
      <c r="Q84" s="227"/>
      <c r="R84" s="227"/>
      <c r="S84" s="227"/>
      <c r="T84" s="227"/>
      <c r="U84" s="256"/>
      <c r="V84" s="224"/>
    </row>
    <row r="85" spans="1:22">
      <c r="A85" t="str">
        <f>MLIST!A85</f>
        <v>Refrigeration</v>
      </c>
      <c r="B85" s="7" t="str">
        <f>MLIST!D85</f>
        <v>Packaged Refrigeration Equipment-New</v>
      </c>
      <c r="C85" s="227"/>
      <c r="D85" s="227"/>
      <c r="E85" s="227"/>
      <c r="F85" s="227"/>
      <c r="G85" s="227"/>
      <c r="H85" s="227"/>
      <c r="I85" s="227"/>
      <c r="J85" s="227"/>
      <c r="K85" s="227"/>
      <c r="L85" s="227"/>
      <c r="M85" s="227"/>
      <c r="N85" s="227"/>
      <c r="O85" s="227"/>
      <c r="P85" s="227"/>
      <c r="Q85" s="227"/>
      <c r="R85" s="227"/>
      <c r="S85" s="227"/>
      <c r="T85" s="227"/>
      <c r="U85" s="256"/>
      <c r="V85" s="224"/>
    </row>
    <row r="86" spans="1:22">
      <c r="A86" t="str">
        <f>MLIST!A86</f>
        <v>Refrigeration</v>
      </c>
      <c r="B86" s="7" t="str">
        <f>MLIST!D86</f>
        <v>Appliances - Freezers-NR</v>
      </c>
      <c r="C86" s="227"/>
      <c r="D86" s="227"/>
      <c r="E86" s="227"/>
      <c r="F86" s="227"/>
      <c r="G86" s="227"/>
      <c r="H86" s="227"/>
      <c r="I86" s="227"/>
      <c r="J86" s="227"/>
      <c r="K86" s="227"/>
      <c r="L86" s="227"/>
      <c r="M86" s="227"/>
      <c r="N86" s="227"/>
      <c r="O86" s="227"/>
      <c r="P86" s="227"/>
      <c r="Q86" s="227"/>
      <c r="R86" s="227"/>
      <c r="S86" s="227"/>
      <c r="T86" s="227"/>
      <c r="U86" s="256"/>
      <c r="V86" s="224"/>
    </row>
    <row r="87" spans="1:22">
      <c r="A87" t="str">
        <f>MLIST!A87</f>
        <v>Refrigeration</v>
      </c>
      <c r="B87" s="7" t="str">
        <f>MLIST!D87</f>
        <v>Appliances - Refrigerators-NR</v>
      </c>
      <c r="C87" s="227"/>
      <c r="D87" s="227"/>
      <c r="E87" s="227"/>
      <c r="F87" s="227"/>
      <c r="G87" s="227"/>
      <c r="H87" s="227"/>
      <c r="I87" s="227"/>
      <c r="J87" s="227"/>
      <c r="K87" s="227"/>
      <c r="L87" s="227"/>
      <c r="M87" s="227"/>
      <c r="N87" s="227"/>
      <c r="O87" s="227"/>
      <c r="P87" s="227"/>
      <c r="Q87" s="227"/>
      <c r="R87" s="227"/>
      <c r="S87" s="227"/>
      <c r="T87" s="227"/>
      <c r="U87" s="256"/>
      <c r="V87" s="224"/>
    </row>
    <row r="88" spans="1:22">
      <c r="A88" t="str">
        <f>MLIST!A88</f>
        <v>Refrigeration</v>
      </c>
      <c r="B88" s="7" t="str">
        <f>MLIST!D88</f>
        <v>Water Cooler Controls-NR</v>
      </c>
      <c r="C88" s="227"/>
      <c r="D88" s="227"/>
      <c r="E88" s="227"/>
      <c r="F88" s="227"/>
      <c r="G88" s="227"/>
      <c r="H88" s="227"/>
      <c r="I88" s="227"/>
      <c r="J88" s="227"/>
      <c r="K88" s="227"/>
      <c r="L88" s="227"/>
      <c r="M88" s="227"/>
      <c r="N88" s="227"/>
      <c r="O88" s="227"/>
      <c r="P88" s="227"/>
      <c r="Q88" s="227"/>
      <c r="R88" s="227"/>
      <c r="S88" s="227"/>
      <c r="T88" s="227"/>
      <c r="U88" s="256"/>
      <c r="V88" s="224"/>
    </row>
    <row r="89" spans="1:22">
      <c r="A89" t="str">
        <f>MLIST!A89</f>
        <v>Water Heating</v>
      </c>
      <c r="B89" s="7" t="str">
        <f>MLIST!D89</f>
        <v>WHTanks-New</v>
      </c>
      <c r="C89" s="227"/>
      <c r="D89" s="227"/>
      <c r="E89" s="227"/>
      <c r="F89" s="227"/>
      <c r="G89" s="227"/>
      <c r="H89" s="227"/>
      <c r="I89" s="227"/>
      <c r="J89" s="227"/>
      <c r="K89" s="227"/>
      <c r="L89" s="227"/>
      <c r="M89" s="227"/>
      <c r="N89" s="227"/>
      <c r="O89" s="227"/>
      <c r="P89" s="227"/>
      <c r="Q89" s="227"/>
      <c r="R89" s="227"/>
      <c r="S89" s="227"/>
      <c r="T89" s="227"/>
      <c r="U89" s="256"/>
      <c r="V89" s="224"/>
    </row>
    <row r="90" spans="1:22">
      <c r="A90" t="str">
        <f>MLIST!A90</f>
        <v>Water Heating</v>
      </c>
      <c r="B90" s="7" t="str">
        <f>MLIST!D90</f>
        <v>WHTanks-NR</v>
      </c>
      <c r="C90" s="227"/>
      <c r="D90" s="227"/>
      <c r="E90" s="227"/>
      <c r="F90" s="227"/>
      <c r="G90" s="227"/>
      <c r="H90" s="227"/>
      <c r="I90" s="227"/>
      <c r="J90" s="227"/>
      <c r="K90" s="227"/>
      <c r="L90" s="227"/>
      <c r="M90" s="227"/>
      <c r="N90" s="227"/>
      <c r="O90" s="227"/>
      <c r="P90" s="227"/>
      <c r="Q90" s="227"/>
      <c r="R90" s="227"/>
      <c r="S90" s="227"/>
      <c r="T90" s="227"/>
      <c r="U90" s="256"/>
      <c r="V90" s="224"/>
    </row>
    <row r="91" spans="1:22">
      <c r="A91" t="str">
        <f>MLIST!A91</f>
        <v>Water Heating</v>
      </c>
      <c r="B91" s="7" t="str">
        <f>MLIST!D91</f>
        <v>Appliances - Clothes Washers-NR</v>
      </c>
      <c r="C91" s="227"/>
      <c r="D91" s="227"/>
      <c r="E91" s="227"/>
      <c r="F91" s="227"/>
      <c r="G91" s="227"/>
      <c r="H91" s="227"/>
      <c r="I91" s="227"/>
      <c r="J91" s="227"/>
      <c r="K91" s="227"/>
      <c r="L91" s="227"/>
      <c r="M91" s="227"/>
      <c r="N91" s="227"/>
      <c r="O91" s="227"/>
      <c r="P91" s="227"/>
      <c r="Q91" s="227"/>
      <c r="R91" s="227"/>
      <c r="S91" s="227"/>
      <c r="T91" s="227"/>
      <c r="U91" s="256"/>
      <c r="V91" s="224"/>
    </row>
    <row r="92" spans="1:22">
      <c r="A92" t="str">
        <f>MLIST!A92</f>
        <v>Water Heating</v>
      </c>
      <c r="B92" s="7" t="str">
        <f>MLIST!D92</f>
        <v>Showerheads-Retro</v>
      </c>
      <c r="C92" s="227"/>
      <c r="D92" s="227"/>
      <c r="E92" s="227"/>
      <c r="F92" s="227"/>
      <c r="G92" s="227"/>
      <c r="H92" s="227"/>
      <c r="I92" s="227"/>
      <c r="J92" s="227"/>
      <c r="K92" s="227"/>
      <c r="L92" s="227"/>
      <c r="M92" s="227"/>
      <c r="N92" s="227"/>
      <c r="O92" s="227"/>
      <c r="P92" s="227"/>
      <c r="Q92" s="227"/>
      <c r="R92" s="227"/>
      <c r="S92" s="227"/>
      <c r="T92" s="227"/>
      <c r="U92" s="256"/>
      <c r="V92" s="224"/>
    </row>
    <row r="93" spans="1:22">
      <c r="A93" t="str">
        <f>MLIST!A93</f>
        <v>Water Heating</v>
      </c>
      <c r="B93" s="7" t="str">
        <f>MLIST!D93</f>
        <v>Water Heating - GFHX-New</v>
      </c>
      <c r="C93" s="227"/>
      <c r="D93" s="227"/>
      <c r="E93" s="227"/>
      <c r="F93" s="227"/>
      <c r="G93" s="227"/>
      <c r="H93" s="227"/>
      <c r="I93" s="227"/>
      <c r="J93" s="227"/>
      <c r="K93" s="227"/>
      <c r="L93" s="227"/>
      <c r="M93" s="227"/>
      <c r="N93" s="227"/>
      <c r="O93" s="227"/>
      <c r="P93" s="227"/>
      <c r="Q93" s="227"/>
      <c r="R93" s="227"/>
      <c r="S93" s="227"/>
      <c r="T93" s="227"/>
      <c r="U93" s="256"/>
      <c r="V93" s="224"/>
    </row>
    <row r="94" spans="1:22">
      <c r="A94" t="str">
        <f>MLIST!A94</f>
        <v>Water Heating</v>
      </c>
      <c r="B94" s="7" t="str">
        <f>MLIST!D94</f>
        <v>Demand Control Circulating system DHW-Retro</v>
      </c>
      <c r="C94" s="227"/>
      <c r="D94" s="227"/>
      <c r="E94" s="227"/>
      <c r="F94" s="227"/>
      <c r="G94" s="227"/>
      <c r="H94" s="227"/>
      <c r="I94" s="227"/>
      <c r="J94" s="227"/>
      <c r="K94" s="227"/>
      <c r="L94" s="227"/>
      <c r="M94" s="227"/>
      <c r="N94" s="227"/>
      <c r="O94" s="227"/>
      <c r="P94" s="227"/>
      <c r="Q94" s="227"/>
      <c r="R94" s="227"/>
      <c r="S94" s="227"/>
      <c r="T94" s="227"/>
      <c r="U94" s="256"/>
      <c r="V94" s="224"/>
    </row>
    <row r="95" spans="1:22">
      <c r="A95" t="str">
        <f>MLIST!A95</f>
        <v>Water Heating</v>
      </c>
      <c r="B95" s="7" t="str">
        <f>MLIST!D95</f>
        <v>Central HPWH MF-Retro</v>
      </c>
      <c r="C95" s="227"/>
      <c r="D95" s="227"/>
      <c r="E95" s="227"/>
      <c r="F95" s="227"/>
      <c r="G95" s="227"/>
      <c r="H95" s="227"/>
      <c r="I95" s="227"/>
      <c r="J95" s="227"/>
      <c r="K95" s="227"/>
      <c r="L95" s="227"/>
      <c r="M95" s="227"/>
      <c r="N95" s="227"/>
      <c r="O95" s="227"/>
      <c r="P95" s="227"/>
      <c r="Q95" s="227"/>
      <c r="R95" s="227"/>
      <c r="S95" s="227"/>
      <c r="T95" s="227"/>
      <c r="U95" s="256"/>
      <c r="V95" s="224"/>
    </row>
    <row r="96" spans="1:22">
      <c r="A96" t="str">
        <f>MLIST!A96</f>
        <v>Whole Bldg/Meter Level</v>
      </c>
      <c r="B96" s="7" t="str">
        <f>MLIST!D96</f>
        <v>Ultra Low Energy Building-New</v>
      </c>
      <c r="C96" s="282">
        <f ca="1">VLOOKUP(C$11,$AB$13:$AF$30,5,FALSE)</f>
        <v>0.95</v>
      </c>
      <c r="D96" s="282">
        <f t="shared" ref="D96:T96" ca="1" si="4">VLOOKUP(D11,$AB$13:$AF$30,5,FALSE)</f>
        <v>0.19999999999999996</v>
      </c>
      <c r="E96" s="282">
        <f t="shared" ca="1" si="4"/>
        <v>0.19999999999999996</v>
      </c>
      <c r="F96" s="282">
        <f t="shared" ca="1" si="4"/>
        <v>0.75</v>
      </c>
      <c r="G96" s="282">
        <f t="shared" ca="1" si="4"/>
        <v>0.75</v>
      </c>
      <c r="H96" s="282">
        <f t="shared" ca="1" si="4"/>
        <v>0.75</v>
      </c>
      <c r="I96" s="282">
        <f t="shared" ca="1" si="4"/>
        <v>0.75</v>
      </c>
      <c r="J96" s="282">
        <f t="shared" ca="1" si="4"/>
        <v>0.19999999999999996</v>
      </c>
      <c r="K96" s="282">
        <f t="shared" ca="1" si="4"/>
        <v>0.19999999999999996</v>
      </c>
      <c r="L96" s="282">
        <f t="shared" ca="1" si="4"/>
        <v>0.99</v>
      </c>
      <c r="M96" s="282">
        <f t="shared" ca="1" si="4"/>
        <v>0.95</v>
      </c>
      <c r="N96" s="282">
        <f t="shared" ca="1" si="4"/>
        <v>0.95</v>
      </c>
      <c r="O96" s="282">
        <f t="shared" ca="1" si="4"/>
        <v>0.75</v>
      </c>
      <c r="P96" s="282">
        <f t="shared" ca="1" si="4"/>
        <v>0.30000000000000004</v>
      </c>
      <c r="Q96" s="282">
        <f t="shared" ca="1" si="4"/>
        <v>0.95</v>
      </c>
      <c r="R96" s="282">
        <f t="shared" ca="1" si="4"/>
        <v>0.19999999999999996</v>
      </c>
      <c r="S96" s="282">
        <f t="shared" ca="1" si="4"/>
        <v>0.75</v>
      </c>
      <c r="T96" s="282">
        <f t="shared" ca="1" si="4"/>
        <v>0.19999999999999996</v>
      </c>
      <c r="U96" s="282"/>
      <c r="V96" s="224"/>
    </row>
    <row r="98" spans="2:22">
      <c r="B98" s="7"/>
      <c r="C98" s="7"/>
      <c r="D98" s="7"/>
      <c r="E98" s="7"/>
      <c r="F98" s="7"/>
      <c r="G98" s="7"/>
      <c r="H98" s="7"/>
      <c r="I98" s="7"/>
      <c r="J98" s="7"/>
      <c r="K98" s="7"/>
      <c r="L98" s="7"/>
      <c r="M98" s="7"/>
      <c r="N98" s="7"/>
      <c r="O98" s="7"/>
      <c r="P98" s="7"/>
      <c r="Q98" s="7"/>
      <c r="R98" s="7"/>
      <c r="S98" s="7"/>
      <c r="T98" s="7"/>
      <c r="U98" s="34"/>
      <c r="V98" s="224"/>
    </row>
    <row r="99" spans="2:22">
      <c r="B99" s="7"/>
      <c r="C99" s="221"/>
      <c r="D99" s="221"/>
      <c r="E99" s="221"/>
      <c r="F99" s="221"/>
      <c r="G99" s="221"/>
      <c r="H99" s="221"/>
      <c r="I99" s="221"/>
      <c r="J99" s="221"/>
      <c r="K99" s="221"/>
      <c r="L99" s="221"/>
      <c r="M99" s="221"/>
      <c r="N99" s="221"/>
      <c r="O99" s="221"/>
      <c r="P99" s="221"/>
      <c r="Q99" s="221"/>
      <c r="R99" s="221"/>
      <c r="S99" s="221"/>
      <c r="T99" s="221"/>
      <c r="U99" s="34"/>
      <c r="V99" s="224"/>
    </row>
    <row r="100" spans="2:22">
      <c r="B100" s="7"/>
      <c r="C100" s="221"/>
      <c r="D100" s="221"/>
      <c r="E100" s="221"/>
      <c r="F100" s="221"/>
      <c r="G100" s="221"/>
      <c r="H100" s="221"/>
      <c r="I100" s="221"/>
      <c r="J100" s="221"/>
      <c r="K100" s="221"/>
      <c r="L100" s="221"/>
      <c r="M100" s="221"/>
      <c r="N100" s="221"/>
      <c r="O100" s="221"/>
      <c r="P100" s="221"/>
      <c r="Q100" s="221"/>
      <c r="R100" s="221"/>
      <c r="S100" s="221"/>
      <c r="T100" s="221"/>
      <c r="U100" s="34"/>
      <c r="V100" s="224"/>
    </row>
    <row r="101" spans="2:22">
      <c r="B101" s="7"/>
      <c r="C101" s="221"/>
      <c r="D101" s="221"/>
      <c r="E101" s="221"/>
      <c r="F101" s="221"/>
      <c r="G101" s="221"/>
      <c r="H101" s="221"/>
      <c r="I101" s="221"/>
      <c r="J101" s="221"/>
      <c r="K101" s="221"/>
      <c r="L101" s="221"/>
      <c r="M101" s="221"/>
      <c r="N101" s="221"/>
      <c r="O101" s="221"/>
      <c r="P101" s="221"/>
      <c r="Q101" s="221"/>
      <c r="R101" s="221"/>
      <c r="S101" s="221"/>
      <c r="T101" s="221"/>
      <c r="U101" s="34"/>
      <c r="V101" s="224"/>
    </row>
    <row r="102" spans="2:22">
      <c r="B102" s="7"/>
      <c r="C102" s="7"/>
      <c r="D102" s="7"/>
      <c r="E102" s="7"/>
      <c r="F102" s="7"/>
      <c r="G102" s="7"/>
      <c r="H102" s="7"/>
      <c r="I102" s="7"/>
      <c r="J102" s="7"/>
      <c r="K102" s="7"/>
      <c r="L102" s="7"/>
      <c r="M102" s="7"/>
      <c r="N102" s="7"/>
      <c r="O102" s="7"/>
      <c r="P102" s="7"/>
      <c r="Q102" s="7"/>
      <c r="R102" s="7"/>
      <c r="S102" s="7"/>
      <c r="T102" s="7"/>
      <c r="U102" s="34"/>
      <c r="V102" s="224"/>
    </row>
    <row r="103" spans="2:22">
      <c r="B103" s="7"/>
      <c r="C103" s="7"/>
      <c r="D103" s="7"/>
      <c r="E103" s="7"/>
      <c r="F103" s="7"/>
      <c r="G103" s="7"/>
      <c r="H103" s="7"/>
      <c r="I103" s="7"/>
      <c r="J103" s="7"/>
      <c r="K103" s="7"/>
      <c r="L103" s="7"/>
      <c r="M103" s="7"/>
      <c r="N103" s="7"/>
      <c r="O103" s="7"/>
      <c r="P103" s="7"/>
      <c r="Q103" s="7"/>
      <c r="R103" s="7"/>
      <c r="S103" s="7"/>
      <c r="T103" s="7"/>
      <c r="U103" s="34"/>
      <c r="V103" s="224"/>
    </row>
    <row r="104" spans="2:22">
      <c r="B104" s="7"/>
      <c r="C104" s="178"/>
      <c r="D104" s="178"/>
      <c r="E104" s="178"/>
      <c r="F104" s="178"/>
      <c r="G104" s="178"/>
      <c r="H104" s="178"/>
      <c r="I104" s="178"/>
      <c r="J104" s="178"/>
      <c r="K104" s="178"/>
      <c r="L104" s="178"/>
      <c r="M104" s="178"/>
      <c r="N104" s="178"/>
      <c r="O104" s="178"/>
      <c r="P104" s="178"/>
      <c r="Q104" s="178"/>
      <c r="R104" s="178"/>
      <c r="S104" s="178"/>
      <c r="T104" s="178"/>
      <c r="U104" s="34"/>
      <c r="V104" s="224"/>
    </row>
    <row r="105" spans="2:22">
      <c r="B105" s="7"/>
      <c r="C105" s="178"/>
      <c r="D105" s="178"/>
      <c r="E105" s="178"/>
      <c r="F105" s="178"/>
      <c r="G105" s="178"/>
      <c r="H105" s="178"/>
      <c r="I105" s="178"/>
      <c r="J105" s="178"/>
      <c r="K105" s="178"/>
      <c r="L105" s="178"/>
      <c r="M105" s="178"/>
      <c r="N105" s="178"/>
      <c r="O105" s="178"/>
      <c r="P105" s="178"/>
      <c r="Q105" s="178"/>
      <c r="R105" s="178"/>
      <c r="S105" s="178"/>
      <c r="T105" s="178"/>
      <c r="U105" s="25"/>
      <c r="V105" s="225"/>
    </row>
    <row r="106" spans="2:22">
      <c r="B106" s="7"/>
      <c r="C106" s="2"/>
      <c r="D106" s="2"/>
      <c r="E106" s="2"/>
      <c r="F106" s="2"/>
      <c r="G106" s="2"/>
      <c r="H106" s="2"/>
      <c r="I106" s="2"/>
      <c r="J106" s="2"/>
      <c r="K106" s="2"/>
      <c r="L106" s="2"/>
      <c r="M106" s="2"/>
      <c r="N106" s="2"/>
      <c r="O106" s="2"/>
      <c r="P106" s="2"/>
      <c r="Q106" s="2"/>
      <c r="R106" s="2"/>
      <c r="S106" s="2"/>
      <c r="T106" s="2"/>
    </row>
    <row r="107" spans="2:22">
      <c r="B107" s="7"/>
      <c r="C107" s="2"/>
      <c r="D107" s="2"/>
      <c r="E107" s="2"/>
      <c r="F107" s="2"/>
      <c r="G107" s="2"/>
      <c r="H107" s="2"/>
      <c r="I107" s="2"/>
      <c r="J107" s="2"/>
      <c r="K107" s="2"/>
      <c r="L107" s="2"/>
      <c r="M107" s="2"/>
      <c r="N107" s="2"/>
      <c r="O107" s="2"/>
      <c r="P107" s="2"/>
      <c r="Q107" s="2"/>
      <c r="R107" s="2"/>
      <c r="S107" s="2"/>
      <c r="T107" s="2"/>
    </row>
    <row r="108" spans="2:22">
      <c r="B108" s="7"/>
      <c r="C108" s="2"/>
      <c r="D108" s="2"/>
      <c r="E108" s="2"/>
      <c r="F108" s="2"/>
      <c r="G108" s="2"/>
      <c r="H108" s="2"/>
      <c r="I108" s="2"/>
      <c r="J108" s="2"/>
      <c r="K108" s="2"/>
      <c r="L108" s="2"/>
      <c r="M108" s="2"/>
      <c r="N108" s="2"/>
      <c r="O108" s="2"/>
      <c r="P108" s="2"/>
      <c r="Q108" s="2"/>
      <c r="R108" s="2"/>
      <c r="S108" s="2"/>
      <c r="T108" s="2"/>
    </row>
    <row r="109" spans="2:22">
      <c r="B109" s="7"/>
      <c r="C109" s="2"/>
      <c r="D109" s="2"/>
      <c r="E109" s="2"/>
      <c r="F109" s="2"/>
      <c r="G109" s="2"/>
      <c r="H109" s="2"/>
      <c r="I109" s="2"/>
      <c r="J109" s="2"/>
      <c r="K109" s="2"/>
      <c r="L109" s="2"/>
      <c r="M109" s="2"/>
      <c r="N109" s="2"/>
      <c r="O109" s="2"/>
      <c r="P109" s="2"/>
      <c r="Q109" s="2"/>
      <c r="R109" s="2"/>
      <c r="S109" s="2"/>
      <c r="T109" s="2"/>
    </row>
    <row r="110" spans="2:22">
      <c r="B110" s="7"/>
      <c r="C110" s="2"/>
      <c r="D110" s="2"/>
      <c r="E110" s="2"/>
      <c r="F110" s="2"/>
      <c r="G110" s="2"/>
      <c r="H110" s="2"/>
      <c r="I110" s="2"/>
      <c r="J110" s="2"/>
      <c r="K110" s="2"/>
      <c r="L110" s="2"/>
      <c r="M110" s="2"/>
      <c r="N110" s="2"/>
      <c r="O110" s="2"/>
      <c r="P110" s="2"/>
      <c r="Q110" s="2"/>
      <c r="R110" s="2"/>
      <c r="S110" s="2"/>
      <c r="T110" s="2"/>
    </row>
    <row r="111" spans="2:22">
      <c r="B111" s="7"/>
      <c r="C111" s="2"/>
      <c r="D111" s="2"/>
      <c r="E111" s="2"/>
      <c r="F111" s="2"/>
      <c r="G111" s="2"/>
      <c r="H111" s="2"/>
      <c r="I111" s="2"/>
      <c r="J111" s="2"/>
      <c r="K111" s="2"/>
      <c r="L111" s="2"/>
      <c r="M111" s="2"/>
      <c r="N111" s="2"/>
      <c r="O111" s="2"/>
      <c r="P111" s="2"/>
      <c r="Q111" s="2"/>
      <c r="R111" s="2"/>
      <c r="S111" s="2"/>
      <c r="T111" s="2"/>
    </row>
    <row r="112" spans="2:22">
      <c r="B112" s="7"/>
      <c r="C112" s="2"/>
      <c r="D112" s="2"/>
      <c r="E112" s="2"/>
      <c r="F112" s="2"/>
      <c r="G112" s="2"/>
      <c r="H112" s="2"/>
      <c r="I112" s="2"/>
      <c r="J112" s="2"/>
      <c r="K112" s="2"/>
      <c r="L112" s="2"/>
      <c r="M112" s="2"/>
      <c r="N112" s="2"/>
      <c r="O112" s="2"/>
      <c r="P112" s="2"/>
      <c r="Q112" s="2"/>
      <c r="R112" s="2"/>
      <c r="S112" s="2"/>
      <c r="T112" s="2"/>
    </row>
    <row r="113" spans="3:20">
      <c r="C113" s="2"/>
      <c r="D113" s="2"/>
      <c r="E113" s="2"/>
      <c r="F113" s="2"/>
      <c r="G113" s="2"/>
      <c r="H113" s="2"/>
      <c r="I113" s="2"/>
      <c r="J113" s="2"/>
      <c r="K113" s="2"/>
      <c r="L113" s="2"/>
      <c r="M113" s="2"/>
      <c r="N113" s="2"/>
      <c r="O113" s="2"/>
      <c r="P113" s="2"/>
      <c r="Q113" s="2"/>
      <c r="R113" s="2"/>
      <c r="S113" s="2"/>
      <c r="T113" s="2"/>
    </row>
    <row r="114" spans="3:20">
      <c r="C114" s="2"/>
      <c r="D114" s="2"/>
      <c r="E114" s="2"/>
      <c r="F114" s="2"/>
      <c r="G114" s="2"/>
      <c r="H114" s="2"/>
      <c r="I114" s="2"/>
      <c r="J114" s="2"/>
      <c r="K114" s="2"/>
      <c r="L114" s="2"/>
      <c r="M114" s="2"/>
      <c r="N114" s="2"/>
      <c r="O114" s="2"/>
      <c r="P114" s="2"/>
      <c r="Q114" s="2"/>
      <c r="R114" s="2"/>
      <c r="S114" s="2"/>
      <c r="T114" s="2"/>
    </row>
    <row r="115" spans="3:20">
      <c r="C115" s="2"/>
      <c r="D115" s="2"/>
      <c r="E115" s="2"/>
      <c r="F115" s="2"/>
      <c r="G115" s="2"/>
      <c r="H115" s="2"/>
      <c r="I115" s="2"/>
      <c r="J115" s="2"/>
      <c r="K115" s="2"/>
      <c r="L115" s="2"/>
      <c r="M115" s="2"/>
      <c r="N115" s="2"/>
      <c r="O115" s="2"/>
      <c r="P115" s="2"/>
      <c r="Q115" s="2"/>
      <c r="R115" s="2"/>
      <c r="S115" s="2"/>
      <c r="T115" s="2"/>
    </row>
    <row r="116" spans="3:20">
      <c r="C116" s="2"/>
      <c r="D116" s="2"/>
      <c r="E116" s="2"/>
      <c r="F116" s="2"/>
      <c r="G116" s="2"/>
      <c r="H116" s="2"/>
      <c r="I116" s="2"/>
      <c r="J116" s="2"/>
      <c r="K116" s="2"/>
      <c r="L116" s="2"/>
      <c r="M116" s="2"/>
      <c r="N116" s="2"/>
      <c r="O116" s="2"/>
      <c r="P116" s="2"/>
      <c r="Q116" s="2"/>
      <c r="R116" s="2"/>
      <c r="S116" s="2"/>
      <c r="T116" s="2"/>
    </row>
    <row r="117" spans="3:20">
      <c r="C117" s="2"/>
      <c r="D117" s="2"/>
      <c r="E117" s="2"/>
      <c r="F117" s="2"/>
      <c r="G117" s="2"/>
      <c r="H117" s="2"/>
      <c r="I117" s="2"/>
      <c r="J117" s="2"/>
      <c r="K117" s="2"/>
      <c r="L117" s="2"/>
      <c r="M117" s="2"/>
      <c r="N117" s="2"/>
      <c r="O117" s="2"/>
      <c r="P117" s="2"/>
      <c r="Q117" s="2"/>
      <c r="R117" s="2"/>
      <c r="S117" s="2"/>
      <c r="T117" s="2"/>
    </row>
    <row r="118" spans="3:20">
      <c r="C118" s="2"/>
      <c r="D118" s="2"/>
      <c r="E118" s="2"/>
      <c r="F118" s="2"/>
      <c r="G118" s="2"/>
      <c r="H118" s="2"/>
      <c r="I118" s="2"/>
      <c r="J118" s="2"/>
      <c r="K118" s="2"/>
      <c r="L118" s="2"/>
      <c r="M118" s="2"/>
      <c r="N118" s="2"/>
      <c r="O118" s="2"/>
      <c r="P118" s="2"/>
      <c r="Q118" s="2"/>
      <c r="R118" s="2"/>
      <c r="S118" s="2"/>
      <c r="T118" s="2"/>
    </row>
    <row r="119" spans="3:20">
      <c r="C119" s="2"/>
      <c r="D119" s="2"/>
      <c r="E119" s="2"/>
      <c r="F119" s="2"/>
      <c r="G119" s="2"/>
      <c r="H119" s="2"/>
      <c r="I119" s="2"/>
      <c r="J119" s="2"/>
      <c r="K119" s="2"/>
      <c r="L119" s="2"/>
      <c r="M119" s="2"/>
      <c r="N119" s="2"/>
      <c r="O119" s="2"/>
      <c r="P119" s="2"/>
      <c r="Q119" s="2"/>
      <c r="R119" s="2"/>
      <c r="S119" s="2"/>
      <c r="T119" s="2"/>
    </row>
    <row r="120" spans="3:20">
      <c r="C120" s="2"/>
      <c r="D120" s="2"/>
      <c r="E120" s="2"/>
      <c r="F120" s="2"/>
      <c r="G120" s="2"/>
      <c r="H120" s="2"/>
      <c r="I120" s="2"/>
      <c r="J120" s="2"/>
      <c r="K120" s="2"/>
      <c r="L120" s="2"/>
      <c r="M120" s="2"/>
      <c r="N120" s="2"/>
      <c r="O120" s="2"/>
      <c r="P120" s="2"/>
      <c r="Q120" s="2"/>
      <c r="R120" s="2"/>
      <c r="S120" s="2"/>
      <c r="T120" s="2"/>
    </row>
    <row r="121" spans="3:20">
      <c r="C121" s="2"/>
      <c r="D121" s="2"/>
      <c r="E121" s="2"/>
      <c r="F121" s="2"/>
      <c r="G121" s="2"/>
      <c r="H121" s="2"/>
      <c r="I121" s="2"/>
      <c r="J121" s="2"/>
      <c r="K121" s="2"/>
      <c r="L121" s="2"/>
      <c r="M121" s="2"/>
      <c r="N121" s="2"/>
      <c r="O121" s="2"/>
      <c r="P121" s="2"/>
      <c r="Q121" s="2"/>
      <c r="R121" s="2"/>
      <c r="S121" s="2"/>
      <c r="T121" s="2"/>
    </row>
    <row r="122" spans="3:20">
      <c r="C122" s="2"/>
      <c r="D122" s="2"/>
      <c r="E122" s="2"/>
      <c r="F122" s="2"/>
      <c r="G122" s="2"/>
      <c r="H122" s="2"/>
      <c r="I122" s="2"/>
      <c r="J122" s="2"/>
      <c r="K122" s="2"/>
      <c r="L122" s="2"/>
      <c r="M122" s="2"/>
      <c r="N122" s="2"/>
      <c r="O122" s="2"/>
      <c r="P122" s="2"/>
      <c r="Q122" s="2"/>
      <c r="R122" s="2"/>
      <c r="S122" s="2"/>
      <c r="T122" s="2"/>
    </row>
    <row r="123" spans="3:20">
      <c r="C123" s="2"/>
      <c r="D123" s="2"/>
      <c r="E123" s="2"/>
      <c r="F123" s="2"/>
      <c r="G123" s="2"/>
      <c r="H123" s="2"/>
      <c r="I123" s="2"/>
      <c r="J123" s="2"/>
      <c r="K123" s="2"/>
      <c r="L123" s="2"/>
      <c r="M123" s="2"/>
      <c r="N123" s="2"/>
      <c r="O123" s="2"/>
      <c r="P123" s="2"/>
      <c r="Q123" s="2"/>
      <c r="R123" s="2"/>
      <c r="S123" s="2"/>
      <c r="T123" s="2"/>
    </row>
    <row r="124" spans="3:20">
      <c r="C124" s="2"/>
      <c r="D124" s="2"/>
      <c r="E124" s="2"/>
      <c r="F124" s="2"/>
      <c r="G124" s="2"/>
      <c r="H124" s="2"/>
      <c r="I124" s="2"/>
      <c r="J124" s="2"/>
      <c r="K124" s="2"/>
      <c r="L124" s="2"/>
      <c r="M124" s="2"/>
      <c r="N124" s="2"/>
      <c r="O124" s="2"/>
      <c r="P124" s="2"/>
      <c r="Q124" s="2"/>
      <c r="R124" s="2"/>
      <c r="S124" s="2"/>
      <c r="T124" s="2"/>
    </row>
    <row r="125" spans="3:20">
      <c r="C125" s="2"/>
      <c r="D125" s="2"/>
      <c r="E125" s="2"/>
      <c r="F125" s="2"/>
      <c r="G125" s="2"/>
      <c r="H125" s="2"/>
      <c r="I125" s="2"/>
      <c r="J125" s="2"/>
      <c r="K125" s="2"/>
      <c r="L125" s="2"/>
      <c r="M125" s="2"/>
      <c r="N125" s="2"/>
      <c r="O125" s="2"/>
      <c r="P125" s="2"/>
      <c r="Q125" s="2"/>
      <c r="R125" s="2"/>
      <c r="S125" s="2"/>
      <c r="T125" s="2"/>
    </row>
    <row r="126" spans="3:20">
      <c r="C126" s="2"/>
      <c r="D126" s="2"/>
      <c r="E126" s="2"/>
      <c r="F126" s="2"/>
      <c r="G126" s="2"/>
      <c r="H126" s="2"/>
      <c r="I126" s="2"/>
      <c r="J126" s="2"/>
      <c r="K126" s="2"/>
      <c r="L126" s="2"/>
      <c r="M126" s="2"/>
      <c r="N126" s="2"/>
      <c r="O126" s="2"/>
      <c r="P126" s="2"/>
      <c r="Q126" s="2"/>
      <c r="R126" s="2"/>
      <c r="S126" s="2"/>
      <c r="T126" s="2"/>
    </row>
    <row r="127" spans="3:20">
      <c r="C127" s="2"/>
      <c r="D127" s="2"/>
      <c r="E127" s="2"/>
      <c r="F127" s="2"/>
      <c r="G127" s="2"/>
      <c r="H127" s="2"/>
      <c r="I127" s="2"/>
      <c r="J127" s="2"/>
      <c r="K127" s="2"/>
      <c r="L127" s="2"/>
      <c r="M127" s="2"/>
      <c r="N127" s="2"/>
      <c r="O127" s="2"/>
      <c r="P127" s="2"/>
      <c r="Q127" s="2"/>
      <c r="R127" s="2"/>
      <c r="S127" s="2"/>
      <c r="T127" s="2"/>
    </row>
    <row r="128" spans="3:20">
      <c r="C128" s="2"/>
      <c r="D128" s="2"/>
      <c r="E128" s="2"/>
      <c r="F128" s="2"/>
      <c r="G128" s="2"/>
      <c r="H128" s="2"/>
      <c r="I128" s="2"/>
      <c r="J128" s="2"/>
      <c r="K128" s="2"/>
      <c r="L128" s="2"/>
      <c r="M128" s="2"/>
      <c r="N128" s="2"/>
      <c r="O128" s="2"/>
      <c r="P128" s="2"/>
      <c r="Q128" s="2"/>
      <c r="R128" s="2"/>
      <c r="S128" s="2"/>
      <c r="T128" s="2"/>
    </row>
    <row r="129" spans="3:20">
      <c r="C129" s="2"/>
      <c r="D129" s="2"/>
      <c r="E129" s="2"/>
      <c r="F129" s="2"/>
      <c r="G129" s="2"/>
      <c r="H129" s="2"/>
      <c r="I129" s="2"/>
      <c r="J129" s="2"/>
      <c r="K129" s="2"/>
      <c r="L129" s="2"/>
      <c r="M129" s="2"/>
      <c r="N129" s="2"/>
      <c r="O129" s="2"/>
      <c r="P129" s="2"/>
      <c r="Q129" s="2"/>
      <c r="R129" s="2"/>
      <c r="S129" s="2"/>
      <c r="T129" s="2"/>
    </row>
    <row r="130" spans="3:20">
      <c r="C130" s="2"/>
      <c r="D130" s="2"/>
      <c r="E130" s="2"/>
      <c r="F130" s="2"/>
      <c r="G130" s="2"/>
      <c r="H130" s="2"/>
      <c r="I130" s="2"/>
      <c r="J130" s="2"/>
      <c r="K130" s="2"/>
      <c r="L130" s="2"/>
      <c r="M130" s="2"/>
      <c r="N130" s="2"/>
      <c r="O130" s="2"/>
      <c r="P130" s="2"/>
      <c r="Q130" s="2"/>
      <c r="R130" s="2"/>
      <c r="S130" s="2"/>
      <c r="T130" s="2"/>
    </row>
    <row r="131" spans="3:20">
      <c r="C131" s="2"/>
      <c r="D131" s="2"/>
      <c r="E131" s="2"/>
      <c r="F131" s="2"/>
      <c r="G131" s="2"/>
      <c r="H131" s="2"/>
      <c r="I131" s="2"/>
      <c r="J131" s="2"/>
      <c r="K131" s="2"/>
      <c r="L131" s="2"/>
      <c r="M131" s="2"/>
      <c r="N131" s="2"/>
      <c r="O131" s="2"/>
      <c r="P131" s="2"/>
      <c r="Q131" s="2"/>
      <c r="R131" s="2"/>
      <c r="S131" s="2"/>
      <c r="T131" s="2"/>
    </row>
    <row r="132" spans="3:20">
      <c r="C132" s="2"/>
      <c r="D132" s="2"/>
      <c r="E132" s="2"/>
      <c r="F132" s="2"/>
      <c r="G132" s="2"/>
      <c r="H132" s="2"/>
      <c r="I132" s="2"/>
      <c r="J132" s="2"/>
      <c r="K132" s="2"/>
      <c r="L132" s="2"/>
      <c r="M132" s="2"/>
      <c r="N132" s="2"/>
      <c r="O132" s="2"/>
      <c r="P132" s="2"/>
      <c r="Q132" s="2"/>
      <c r="R132" s="2"/>
      <c r="S132" s="2"/>
      <c r="T132" s="2"/>
    </row>
    <row r="133" spans="3:20">
      <c r="C133" s="2"/>
      <c r="D133" s="2"/>
      <c r="E133" s="2"/>
      <c r="F133" s="2"/>
      <c r="G133" s="2"/>
      <c r="H133" s="2"/>
      <c r="I133" s="2"/>
      <c r="J133" s="2"/>
      <c r="K133" s="2"/>
      <c r="L133" s="2"/>
      <c r="M133" s="2"/>
      <c r="N133" s="2"/>
      <c r="O133" s="2"/>
      <c r="P133" s="2"/>
      <c r="Q133" s="2"/>
      <c r="R133" s="2"/>
      <c r="S133" s="2"/>
      <c r="T133" s="2"/>
    </row>
    <row r="134" spans="3:20">
      <c r="C134" s="2"/>
      <c r="D134" s="2"/>
      <c r="E134" s="2"/>
      <c r="F134" s="2"/>
      <c r="G134" s="2"/>
      <c r="H134" s="2"/>
      <c r="I134" s="2"/>
      <c r="J134" s="2"/>
      <c r="K134" s="2"/>
      <c r="L134" s="2"/>
      <c r="M134" s="2"/>
      <c r="N134" s="2"/>
      <c r="O134" s="2"/>
      <c r="P134" s="2"/>
      <c r="Q134" s="2"/>
      <c r="R134" s="2"/>
      <c r="S134" s="2"/>
      <c r="T134" s="2"/>
    </row>
    <row r="135" spans="3:20">
      <c r="C135" s="2"/>
      <c r="D135" s="2"/>
      <c r="E135" s="2"/>
      <c r="F135" s="2"/>
      <c r="G135" s="2"/>
      <c r="H135" s="2"/>
      <c r="I135" s="2"/>
      <c r="J135" s="2"/>
      <c r="K135" s="2"/>
      <c r="L135" s="2"/>
      <c r="M135" s="2"/>
      <c r="N135" s="2"/>
      <c r="O135" s="2"/>
      <c r="P135" s="2"/>
      <c r="Q135" s="2"/>
      <c r="R135" s="2"/>
      <c r="S135" s="2"/>
      <c r="T135" s="2"/>
    </row>
    <row r="136" spans="3:20">
      <c r="C136" s="2"/>
      <c r="D136" s="2"/>
      <c r="E136" s="2"/>
      <c r="F136" s="2"/>
      <c r="G136" s="2"/>
      <c r="H136" s="2"/>
      <c r="I136" s="2"/>
      <c r="J136" s="2"/>
      <c r="K136" s="2"/>
      <c r="L136" s="2"/>
      <c r="M136" s="2"/>
      <c r="N136" s="2"/>
      <c r="O136" s="2"/>
      <c r="P136" s="2"/>
      <c r="Q136" s="2"/>
      <c r="R136" s="2"/>
      <c r="S136" s="2"/>
      <c r="T136" s="2"/>
    </row>
    <row r="137" spans="3:20">
      <c r="C137" s="2"/>
      <c r="D137" s="2"/>
      <c r="E137" s="2"/>
      <c r="F137" s="2"/>
      <c r="G137" s="2"/>
      <c r="H137" s="2"/>
      <c r="I137" s="2"/>
      <c r="J137" s="2"/>
      <c r="K137" s="2"/>
      <c r="L137" s="2"/>
      <c r="M137" s="2"/>
      <c r="N137" s="2"/>
      <c r="O137" s="2"/>
      <c r="P137" s="2"/>
      <c r="Q137" s="2"/>
      <c r="R137" s="2"/>
      <c r="S137" s="2"/>
      <c r="T137" s="2"/>
    </row>
    <row r="138" spans="3:20">
      <c r="C138" s="2"/>
      <c r="D138" s="2"/>
      <c r="E138" s="2"/>
      <c r="F138" s="2"/>
      <c r="G138" s="2"/>
      <c r="H138" s="2"/>
      <c r="I138" s="2"/>
      <c r="J138" s="2"/>
      <c r="K138" s="2"/>
      <c r="L138" s="2"/>
      <c r="M138" s="2"/>
      <c r="N138" s="2"/>
      <c r="O138" s="2"/>
      <c r="P138" s="2"/>
      <c r="Q138" s="2"/>
      <c r="R138" s="2"/>
      <c r="S138" s="2"/>
      <c r="T138" s="2"/>
    </row>
    <row r="139" spans="3:20">
      <c r="C139" s="2"/>
      <c r="D139" s="2"/>
      <c r="E139" s="2"/>
      <c r="F139" s="2"/>
      <c r="G139" s="2"/>
      <c r="H139" s="2"/>
      <c r="I139" s="2"/>
      <c r="J139" s="2"/>
      <c r="K139" s="2"/>
      <c r="L139" s="2"/>
      <c r="M139" s="2"/>
      <c r="N139" s="2"/>
      <c r="O139" s="2"/>
      <c r="P139" s="2"/>
      <c r="Q139" s="2"/>
      <c r="R139" s="2"/>
      <c r="S139" s="2"/>
      <c r="T139" s="2"/>
    </row>
    <row r="140" spans="3:20">
      <c r="C140" s="2"/>
      <c r="D140" s="2"/>
      <c r="E140" s="2"/>
      <c r="F140" s="2"/>
      <c r="G140" s="2"/>
      <c r="H140" s="2"/>
      <c r="I140" s="2"/>
      <c r="J140" s="2"/>
      <c r="K140" s="2"/>
      <c r="L140" s="2"/>
      <c r="M140" s="2"/>
      <c r="N140" s="2"/>
      <c r="O140" s="2"/>
      <c r="P140" s="2"/>
      <c r="Q140" s="2"/>
      <c r="R140" s="2"/>
      <c r="S140" s="2"/>
      <c r="T140" s="2"/>
    </row>
    <row r="141" spans="3:20">
      <c r="C141" s="2"/>
      <c r="D141" s="2"/>
      <c r="E141" s="2"/>
      <c r="F141" s="2"/>
      <c r="G141" s="2"/>
      <c r="H141" s="2"/>
      <c r="I141" s="2"/>
      <c r="J141" s="2"/>
      <c r="K141" s="2"/>
      <c r="L141" s="2"/>
      <c r="M141" s="2"/>
      <c r="N141" s="2"/>
      <c r="O141" s="2"/>
      <c r="P141" s="2"/>
      <c r="Q141" s="2"/>
      <c r="R141" s="2"/>
      <c r="S141" s="2"/>
      <c r="T141" s="2"/>
    </row>
    <row r="142" spans="3:20">
      <c r="C142" s="2"/>
      <c r="D142" s="2"/>
      <c r="E142" s="2"/>
      <c r="F142" s="2"/>
      <c r="G142" s="2"/>
      <c r="H142" s="2"/>
      <c r="I142" s="2"/>
      <c r="J142" s="2"/>
      <c r="K142" s="2"/>
      <c r="L142" s="2"/>
      <c r="M142" s="2"/>
      <c r="N142" s="2"/>
      <c r="O142" s="2"/>
      <c r="P142" s="2"/>
      <c r="Q142" s="2"/>
      <c r="R142" s="2"/>
      <c r="S142" s="2"/>
      <c r="T142" s="2"/>
    </row>
    <row r="143" spans="3:20">
      <c r="C143" s="2"/>
      <c r="D143" s="2"/>
      <c r="E143" s="2"/>
      <c r="F143" s="2"/>
      <c r="G143" s="2"/>
      <c r="H143" s="2"/>
      <c r="I143" s="2"/>
      <c r="J143" s="2"/>
      <c r="K143" s="2"/>
      <c r="L143" s="2"/>
      <c r="M143" s="2"/>
      <c r="N143" s="2"/>
      <c r="O143" s="2"/>
      <c r="P143" s="2"/>
      <c r="Q143" s="2"/>
      <c r="R143" s="2"/>
      <c r="S143" s="2"/>
      <c r="T143" s="2"/>
    </row>
    <row r="144" spans="3:20">
      <c r="C144" s="2"/>
      <c r="D144" s="2"/>
      <c r="E144" s="2"/>
      <c r="F144" s="2"/>
      <c r="G144" s="2"/>
      <c r="H144" s="2"/>
      <c r="I144" s="2"/>
      <c r="J144" s="2"/>
      <c r="K144" s="2"/>
      <c r="L144" s="2"/>
      <c r="M144" s="2"/>
      <c r="N144" s="2"/>
      <c r="O144" s="2"/>
      <c r="P144" s="2"/>
      <c r="Q144" s="2"/>
      <c r="R144" s="2"/>
      <c r="S144" s="2"/>
      <c r="T144" s="2"/>
    </row>
    <row r="145" spans="3:20">
      <c r="C145" s="2"/>
      <c r="D145" s="2"/>
      <c r="E145" s="2"/>
      <c r="F145" s="2"/>
      <c r="G145" s="2"/>
      <c r="H145" s="2"/>
      <c r="I145" s="2"/>
      <c r="J145" s="2"/>
      <c r="K145" s="2"/>
      <c r="L145" s="2"/>
      <c r="M145" s="2"/>
      <c r="N145" s="2"/>
      <c r="O145" s="2"/>
      <c r="P145" s="2"/>
      <c r="Q145" s="2"/>
      <c r="R145" s="2"/>
      <c r="S145" s="2"/>
      <c r="T145" s="2"/>
    </row>
    <row r="146" spans="3:20">
      <c r="C146" s="2"/>
      <c r="D146" s="2"/>
      <c r="E146" s="2"/>
      <c r="F146" s="2"/>
      <c r="G146" s="2"/>
      <c r="H146" s="2"/>
      <c r="I146" s="2"/>
      <c r="J146" s="2"/>
      <c r="K146" s="2"/>
      <c r="L146" s="2"/>
      <c r="M146" s="2"/>
      <c r="N146" s="2"/>
      <c r="O146" s="2"/>
      <c r="P146" s="2"/>
      <c r="Q146" s="2"/>
      <c r="R146" s="2"/>
      <c r="S146" s="2"/>
      <c r="T146" s="2"/>
    </row>
    <row r="147" spans="3:20">
      <c r="C147" s="2"/>
      <c r="D147" s="2"/>
      <c r="E147" s="2"/>
      <c r="F147" s="2"/>
      <c r="G147" s="2"/>
      <c r="H147" s="2"/>
      <c r="I147" s="2"/>
      <c r="J147" s="2"/>
      <c r="K147" s="2"/>
      <c r="L147" s="2"/>
      <c r="M147" s="2"/>
      <c r="N147" s="2"/>
      <c r="O147" s="2"/>
      <c r="P147" s="2"/>
      <c r="Q147" s="2"/>
      <c r="R147" s="2"/>
      <c r="S147" s="2"/>
      <c r="T147" s="2"/>
    </row>
    <row r="148" spans="3:20">
      <c r="C148" s="2"/>
      <c r="D148" s="2"/>
      <c r="E148" s="2"/>
      <c r="F148" s="2"/>
      <c r="G148" s="2"/>
      <c r="H148" s="2"/>
      <c r="I148" s="2"/>
      <c r="J148" s="2"/>
      <c r="K148" s="2"/>
      <c r="L148" s="2"/>
      <c r="M148" s="2"/>
      <c r="N148" s="2"/>
      <c r="O148" s="2"/>
      <c r="P148" s="2"/>
      <c r="Q148" s="2"/>
      <c r="R148" s="2"/>
      <c r="S148" s="2"/>
      <c r="T148" s="2"/>
    </row>
    <row r="149" spans="3:20">
      <c r="C149" s="2"/>
      <c r="D149" s="2"/>
      <c r="E149" s="2"/>
      <c r="F149" s="2"/>
      <c r="G149" s="2"/>
      <c r="H149" s="2"/>
      <c r="I149" s="2"/>
      <c r="J149" s="2"/>
      <c r="K149" s="2"/>
      <c r="L149" s="2"/>
      <c r="M149" s="2"/>
      <c r="N149" s="2"/>
      <c r="O149" s="2"/>
      <c r="P149" s="2"/>
      <c r="Q149" s="2"/>
      <c r="R149" s="2"/>
      <c r="S149" s="2"/>
      <c r="T149" s="2"/>
    </row>
    <row r="150" spans="3:20">
      <c r="C150" s="2"/>
      <c r="D150" s="2"/>
      <c r="E150" s="2"/>
      <c r="F150" s="2"/>
      <c r="G150" s="2"/>
      <c r="H150" s="2"/>
      <c r="I150" s="2"/>
      <c r="J150" s="2"/>
      <c r="K150" s="2"/>
      <c r="L150" s="2"/>
      <c r="M150" s="2"/>
      <c r="N150" s="2"/>
      <c r="O150" s="2"/>
      <c r="P150" s="2"/>
      <c r="Q150" s="2"/>
      <c r="R150" s="2"/>
      <c r="S150" s="2"/>
      <c r="T150" s="2"/>
    </row>
    <row r="151" spans="3:20">
      <c r="C151" s="2"/>
      <c r="D151" s="2"/>
      <c r="E151" s="2"/>
      <c r="F151" s="2"/>
      <c r="G151" s="2"/>
      <c r="H151" s="2"/>
      <c r="I151" s="2"/>
      <c r="J151" s="2"/>
      <c r="K151" s="2"/>
      <c r="L151" s="2"/>
      <c r="M151" s="2"/>
      <c r="N151" s="2"/>
      <c r="O151" s="2"/>
      <c r="P151" s="2"/>
      <c r="Q151" s="2"/>
      <c r="R151" s="2"/>
      <c r="S151" s="2"/>
      <c r="T151" s="2"/>
    </row>
    <row r="152" spans="3:20">
      <c r="C152" s="2"/>
      <c r="D152" s="2"/>
      <c r="E152" s="2"/>
      <c r="F152" s="2"/>
      <c r="G152" s="2"/>
      <c r="H152" s="2"/>
      <c r="I152" s="2"/>
      <c r="J152" s="2"/>
      <c r="K152" s="2"/>
      <c r="L152" s="2"/>
      <c r="M152" s="2"/>
      <c r="N152" s="2"/>
      <c r="O152" s="2"/>
      <c r="P152" s="2"/>
      <c r="Q152" s="2"/>
      <c r="R152" s="2"/>
      <c r="S152" s="2"/>
      <c r="T152" s="2"/>
    </row>
    <row r="153" spans="3:20">
      <c r="C153" s="2"/>
      <c r="D153" s="2"/>
      <c r="E153" s="2"/>
      <c r="F153" s="2"/>
      <c r="G153" s="2"/>
      <c r="H153" s="2"/>
      <c r="I153" s="2"/>
      <c r="J153" s="2"/>
      <c r="K153" s="2"/>
      <c r="L153" s="2"/>
      <c r="M153" s="2"/>
      <c r="N153" s="2"/>
      <c r="O153" s="2"/>
      <c r="P153" s="2"/>
      <c r="Q153" s="2"/>
      <c r="R153" s="2"/>
      <c r="S153" s="2"/>
      <c r="T153" s="2"/>
    </row>
    <row r="154" spans="3:20">
      <c r="C154" s="2"/>
      <c r="D154" s="2"/>
      <c r="E154" s="2"/>
      <c r="F154" s="2"/>
      <c r="G154" s="2"/>
      <c r="H154" s="2"/>
      <c r="I154" s="2"/>
      <c r="J154" s="2"/>
      <c r="K154" s="2"/>
      <c r="L154" s="2"/>
      <c r="M154" s="2"/>
      <c r="N154" s="2"/>
      <c r="O154" s="2"/>
      <c r="P154" s="2"/>
      <c r="Q154" s="2"/>
      <c r="R154" s="2"/>
      <c r="S154" s="2"/>
      <c r="T154" s="2"/>
    </row>
    <row r="155" spans="3:20">
      <c r="C155" s="2"/>
      <c r="D155" s="2"/>
      <c r="E155" s="2"/>
      <c r="F155" s="2"/>
      <c r="G155" s="2"/>
      <c r="H155" s="2"/>
      <c r="I155" s="2"/>
      <c r="J155" s="2"/>
      <c r="K155" s="2"/>
      <c r="L155" s="2"/>
      <c r="M155" s="2"/>
      <c r="N155" s="2"/>
      <c r="O155" s="2"/>
      <c r="P155" s="2"/>
      <c r="Q155" s="2"/>
      <c r="R155" s="2"/>
      <c r="S155" s="2"/>
      <c r="T155" s="2"/>
    </row>
    <row r="156" spans="3:20">
      <c r="C156" s="2"/>
      <c r="D156" s="2"/>
      <c r="E156" s="2"/>
      <c r="F156" s="2"/>
      <c r="G156" s="2"/>
      <c r="H156" s="2"/>
      <c r="I156" s="2"/>
      <c r="J156" s="2"/>
      <c r="K156" s="2"/>
      <c r="L156" s="2"/>
      <c r="M156" s="2"/>
      <c r="N156" s="2"/>
      <c r="O156" s="2"/>
      <c r="P156" s="2"/>
      <c r="Q156" s="2"/>
      <c r="R156" s="2"/>
      <c r="S156" s="2"/>
      <c r="T156" s="2"/>
    </row>
    <row r="157" spans="3:20">
      <c r="C157" s="2"/>
      <c r="D157" s="2"/>
      <c r="E157" s="2"/>
      <c r="F157" s="2"/>
      <c r="G157" s="2"/>
      <c r="H157" s="2"/>
      <c r="I157" s="2"/>
      <c r="J157" s="2"/>
      <c r="K157" s="2"/>
      <c r="L157" s="2"/>
      <c r="M157" s="2"/>
      <c r="N157" s="2"/>
      <c r="O157" s="2"/>
      <c r="P157" s="2"/>
      <c r="Q157" s="2"/>
      <c r="R157" s="2"/>
      <c r="S157" s="2"/>
      <c r="T157" s="2"/>
    </row>
    <row r="158" spans="3:20">
      <c r="C158" s="2"/>
      <c r="D158" s="2"/>
      <c r="E158" s="2"/>
      <c r="F158" s="2"/>
      <c r="G158" s="2"/>
      <c r="H158" s="2"/>
      <c r="I158" s="2"/>
      <c r="J158" s="2"/>
      <c r="K158" s="2"/>
      <c r="L158" s="2"/>
      <c r="M158" s="2"/>
      <c r="N158" s="2"/>
      <c r="O158" s="2"/>
      <c r="P158" s="2"/>
      <c r="Q158" s="2"/>
      <c r="R158" s="2"/>
      <c r="S158" s="2"/>
      <c r="T158" s="2"/>
    </row>
    <row r="159" spans="3:20">
      <c r="C159" s="2"/>
      <c r="D159" s="2"/>
      <c r="E159" s="2"/>
      <c r="F159" s="2"/>
      <c r="G159" s="2"/>
      <c r="H159" s="2"/>
      <c r="I159" s="2"/>
      <c r="J159" s="2"/>
      <c r="K159" s="2"/>
      <c r="L159" s="2"/>
      <c r="M159" s="2"/>
      <c r="N159" s="2"/>
      <c r="O159" s="2"/>
      <c r="P159" s="2"/>
      <c r="Q159" s="2"/>
      <c r="R159" s="2"/>
      <c r="S159" s="2"/>
      <c r="T159" s="2"/>
    </row>
    <row r="160" spans="3:20">
      <c r="C160" s="2"/>
      <c r="D160" s="2"/>
      <c r="E160" s="2"/>
      <c r="F160" s="2"/>
      <c r="G160" s="2"/>
      <c r="H160" s="2"/>
      <c r="I160" s="2"/>
      <c r="J160" s="2"/>
      <c r="K160" s="2"/>
      <c r="L160" s="2"/>
      <c r="M160" s="2"/>
      <c r="N160" s="2"/>
      <c r="O160" s="2"/>
      <c r="P160" s="2"/>
      <c r="Q160" s="2"/>
      <c r="R160" s="2"/>
      <c r="S160" s="2"/>
      <c r="T160" s="2"/>
    </row>
    <row r="161" spans="3:20">
      <c r="C161" s="2"/>
      <c r="D161" s="2"/>
      <c r="E161" s="2"/>
      <c r="F161" s="2"/>
      <c r="G161" s="2"/>
      <c r="H161" s="2"/>
      <c r="I161" s="2"/>
      <c r="J161" s="2"/>
      <c r="K161" s="2"/>
      <c r="L161" s="2"/>
      <c r="M161" s="2"/>
      <c r="N161" s="2"/>
      <c r="O161" s="2"/>
      <c r="P161" s="2"/>
      <c r="Q161" s="2"/>
      <c r="R161" s="2"/>
      <c r="S161" s="2"/>
      <c r="T161" s="2"/>
    </row>
    <row r="162" spans="3:20">
      <c r="C162" s="2"/>
      <c r="D162" s="2"/>
      <c r="E162" s="2"/>
      <c r="F162" s="2"/>
      <c r="G162" s="2"/>
      <c r="H162" s="2"/>
      <c r="I162" s="2"/>
      <c r="J162" s="2"/>
      <c r="K162" s="2"/>
      <c r="L162" s="2"/>
      <c r="M162" s="2"/>
      <c r="N162" s="2"/>
      <c r="O162" s="2"/>
      <c r="P162" s="2"/>
      <c r="Q162" s="2"/>
      <c r="R162" s="2"/>
      <c r="S162" s="2"/>
      <c r="T162" s="2"/>
    </row>
    <row r="163" spans="3:20">
      <c r="C163" s="2"/>
      <c r="D163" s="2"/>
      <c r="E163" s="2"/>
      <c r="F163" s="2"/>
      <c r="G163" s="2"/>
      <c r="H163" s="2"/>
      <c r="I163" s="2"/>
      <c r="J163" s="2"/>
      <c r="K163" s="2"/>
      <c r="L163" s="2"/>
      <c r="M163" s="2"/>
      <c r="N163" s="2"/>
      <c r="O163" s="2"/>
      <c r="P163" s="2"/>
      <c r="Q163" s="2"/>
      <c r="R163" s="2"/>
      <c r="S163" s="2"/>
      <c r="T163" s="2"/>
    </row>
    <row r="164" spans="3:20">
      <c r="C164" s="2"/>
      <c r="D164" s="2"/>
      <c r="E164" s="2"/>
      <c r="F164" s="2"/>
      <c r="G164" s="2"/>
      <c r="H164" s="2"/>
      <c r="I164" s="2"/>
      <c r="J164" s="2"/>
      <c r="K164" s="2"/>
      <c r="L164" s="2"/>
      <c r="M164" s="2"/>
      <c r="N164" s="2"/>
      <c r="O164" s="2"/>
      <c r="P164" s="2"/>
      <c r="Q164" s="2"/>
      <c r="R164" s="2"/>
      <c r="S164" s="2"/>
      <c r="T164" s="2"/>
    </row>
    <row r="165" spans="3:20">
      <c r="C165" s="2"/>
      <c r="D165" s="2"/>
      <c r="E165" s="2"/>
      <c r="F165" s="2"/>
      <c r="G165" s="2"/>
      <c r="H165" s="2"/>
      <c r="I165" s="2"/>
      <c r="J165" s="2"/>
      <c r="K165" s="2"/>
      <c r="L165" s="2"/>
      <c r="M165" s="2"/>
      <c r="N165" s="2"/>
      <c r="O165" s="2"/>
      <c r="P165" s="2"/>
      <c r="Q165" s="2"/>
      <c r="R165" s="2"/>
      <c r="S165" s="2"/>
      <c r="T165" s="2"/>
    </row>
    <row r="166" spans="3:20">
      <c r="C166" s="2"/>
      <c r="D166" s="2"/>
      <c r="E166" s="2"/>
      <c r="F166" s="2"/>
      <c r="G166" s="2"/>
      <c r="H166" s="2"/>
      <c r="I166" s="2"/>
      <c r="J166" s="2"/>
      <c r="K166" s="2"/>
      <c r="L166" s="2"/>
      <c r="M166" s="2"/>
      <c r="N166" s="2"/>
      <c r="O166" s="2"/>
      <c r="P166" s="2"/>
      <c r="Q166" s="2"/>
      <c r="R166" s="2"/>
      <c r="S166" s="2"/>
      <c r="T166" s="2"/>
    </row>
    <row r="167" spans="3:20">
      <c r="C167" s="2"/>
      <c r="D167" s="2"/>
      <c r="E167" s="2"/>
      <c r="F167" s="2"/>
      <c r="G167" s="2"/>
      <c r="H167" s="2"/>
      <c r="I167" s="2"/>
      <c r="J167" s="2"/>
      <c r="K167" s="2"/>
      <c r="L167" s="2"/>
      <c r="M167" s="2"/>
      <c r="N167" s="2"/>
      <c r="O167" s="2"/>
      <c r="P167" s="2"/>
      <c r="Q167" s="2"/>
      <c r="R167" s="2"/>
      <c r="S167" s="2"/>
      <c r="T167" s="2"/>
    </row>
  </sheetData>
  <mergeCells count="5">
    <mergeCell ref="C10:E10"/>
    <mergeCell ref="F10:I10"/>
    <mergeCell ref="J10:K10"/>
    <mergeCell ref="M10:N10"/>
    <mergeCell ref="Q10:R10"/>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sheetPr codeName="Sheet6"/>
  <dimension ref="A2:AR18"/>
  <sheetViews>
    <sheetView zoomScale="115" zoomScaleNormal="115" workbookViewId="0">
      <selection activeCell="C12" sqref="C12:J12"/>
    </sheetView>
  </sheetViews>
  <sheetFormatPr defaultRowHeight="12.75"/>
  <cols>
    <col min="2" max="2" width="21.5703125" bestFit="1" customWidth="1"/>
    <col min="24" max="24" width="17" customWidth="1"/>
  </cols>
  <sheetData>
    <row r="2" spans="1:44">
      <c r="B2" s="3" t="s">
        <v>777</v>
      </c>
      <c r="C2" s="3">
        <v>2016</v>
      </c>
      <c r="D2" s="3">
        <f>C2+1</f>
        <v>2017</v>
      </c>
      <c r="E2" s="3">
        <f t="shared" ref="E2:V2" si="0">D2+1</f>
        <v>2018</v>
      </c>
      <c r="F2" s="3">
        <f t="shared" si="0"/>
        <v>2019</v>
      </c>
      <c r="G2" s="3">
        <f t="shared" si="0"/>
        <v>2020</v>
      </c>
      <c r="H2" s="3">
        <f t="shared" si="0"/>
        <v>2021</v>
      </c>
      <c r="I2" s="3">
        <f t="shared" si="0"/>
        <v>2022</v>
      </c>
      <c r="J2" s="3">
        <f t="shared" si="0"/>
        <v>2023</v>
      </c>
      <c r="K2" s="3">
        <f t="shared" si="0"/>
        <v>2024</v>
      </c>
      <c r="L2" s="3">
        <f t="shared" si="0"/>
        <v>2025</v>
      </c>
      <c r="M2" s="3">
        <f t="shared" si="0"/>
        <v>2026</v>
      </c>
      <c r="N2" s="3">
        <f t="shared" si="0"/>
        <v>2027</v>
      </c>
      <c r="O2" s="3">
        <f t="shared" si="0"/>
        <v>2028</v>
      </c>
      <c r="P2" s="3">
        <f t="shared" si="0"/>
        <v>2029</v>
      </c>
      <c r="Q2" s="3">
        <f t="shared" si="0"/>
        <v>2030</v>
      </c>
      <c r="R2" s="3">
        <f t="shared" si="0"/>
        <v>2031</v>
      </c>
      <c r="S2" s="3">
        <f t="shared" si="0"/>
        <v>2032</v>
      </c>
      <c r="T2" s="3">
        <f t="shared" si="0"/>
        <v>2033</v>
      </c>
      <c r="U2" s="3">
        <f t="shared" si="0"/>
        <v>2034</v>
      </c>
      <c r="V2" s="3">
        <f t="shared" si="0"/>
        <v>2035</v>
      </c>
      <c r="W2" s="3"/>
      <c r="X2" s="3"/>
      <c r="Y2" s="3"/>
      <c r="Z2" s="3"/>
      <c r="AA2" s="3"/>
      <c r="AB2" s="3"/>
      <c r="AC2" s="3"/>
      <c r="AD2" s="3"/>
      <c r="AE2" s="3"/>
      <c r="AF2" s="3"/>
      <c r="AG2" s="3"/>
      <c r="AH2" s="3"/>
      <c r="AI2" s="3"/>
      <c r="AJ2" s="3"/>
      <c r="AK2" s="3"/>
      <c r="AL2" s="3"/>
      <c r="AM2" s="3"/>
      <c r="AN2" s="3"/>
      <c r="AO2" s="3"/>
      <c r="AP2" s="3"/>
      <c r="AQ2" s="3"/>
      <c r="AR2" s="3"/>
    </row>
    <row r="3" spans="1:44">
      <c r="A3" s="218" t="s">
        <v>249</v>
      </c>
      <c r="B3" s="7" t="s">
        <v>830</v>
      </c>
      <c r="C3" s="364">
        <v>0.10937459468255628</v>
      </c>
      <c r="D3" s="364">
        <v>0.10937459468255628</v>
      </c>
      <c r="E3" s="364">
        <v>0.10937459468255628</v>
      </c>
      <c r="F3" s="364">
        <v>0.10937459468255628</v>
      </c>
      <c r="G3" s="364">
        <v>0.10937459468255628</v>
      </c>
      <c r="H3" s="364">
        <v>9.8437135214300656E-2</v>
      </c>
      <c r="I3" s="364">
        <v>7.874970817144053E-2</v>
      </c>
      <c r="J3" s="364">
        <v>6.2999766537152418E-2</v>
      </c>
      <c r="K3" s="364">
        <v>5.0399813229721938E-2</v>
      </c>
      <c r="L3" s="364">
        <v>4.0319850583777551E-2</v>
      </c>
      <c r="M3" s="364">
        <v>3.225588046702204E-2</v>
      </c>
      <c r="N3" s="364">
        <v>2.5804704373617631E-2</v>
      </c>
      <c r="O3" s="364">
        <v>2.0643763498894106E-2</v>
      </c>
      <c r="P3" s="364">
        <v>1.6515010799115284E-2</v>
      </c>
      <c r="Q3" s="364">
        <v>1.3212008639292228E-2</v>
      </c>
      <c r="R3" s="364">
        <v>1.0569606911433781E-2</v>
      </c>
      <c r="S3" s="364">
        <v>7.2092823794611682E-5</v>
      </c>
      <c r="T3" s="364">
        <v>2.5747437069512102E-5</v>
      </c>
      <c r="U3" s="364">
        <v>8.7775353646568632E-6</v>
      </c>
      <c r="V3" s="364">
        <v>2.8622397928446119E-6</v>
      </c>
      <c r="W3" s="364"/>
      <c r="X3" s="7"/>
      <c r="Y3" s="364"/>
      <c r="Z3" s="364"/>
      <c r="AA3" s="364"/>
      <c r="AB3" s="364"/>
      <c r="AC3" s="364"/>
      <c r="AD3" s="364"/>
      <c r="AE3" s="364"/>
      <c r="AF3" s="364"/>
      <c r="AG3" s="364"/>
      <c r="AH3" s="364"/>
      <c r="AI3" s="364"/>
      <c r="AJ3" s="364"/>
      <c r="AK3" s="364"/>
      <c r="AL3" s="364"/>
      <c r="AM3" s="364"/>
      <c r="AN3" s="364"/>
      <c r="AO3" s="364"/>
      <c r="AP3" s="364"/>
      <c r="AQ3" s="364"/>
      <c r="AR3" s="364"/>
    </row>
    <row r="4" spans="1:44">
      <c r="B4" s="7" t="s">
        <v>866</v>
      </c>
      <c r="C4" s="364">
        <v>4.2999999999999997E-2</v>
      </c>
      <c r="D4" s="364">
        <v>5.279714228027832E-2</v>
      </c>
      <c r="E4" s="364">
        <v>6.4608251467478173E-2</v>
      </c>
      <c r="F4" s="364">
        <v>7.4999999999999997E-2</v>
      </c>
      <c r="G4" s="364">
        <v>8.5546997470333563E-2</v>
      </c>
      <c r="H4" s="364">
        <v>0.10001472303820647</v>
      </c>
      <c r="I4" s="364">
        <v>0.10971770435235073</v>
      </c>
      <c r="J4" s="364">
        <v>0.11208438511970376</v>
      </c>
      <c r="K4" s="364">
        <v>0.10562608162722853</v>
      </c>
      <c r="L4" s="364">
        <v>9.0794563997872335E-2</v>
      </c>
      <c r="M4" s="364">
        <v>7.0260666991849297E-2</v>
      </c>
      <c r="N4" s="364">
        <v>4.8218360404944538E-2</v>
      </c>
      <c r="O4" s="364">
        <v>2.8854234614640095E-2</v>
      </c>
      <c r="P4" s="364">
        <v>1.4773964924806759E-2</v>
      </c>
      <c r="Q4" s="364">
        <v>6.3385343681182649E-3</v>
      </c>
      <c r="R4" s="364">
        <v>2.2268577196306039E-3</v>
      </c>
      <c r="S4" s="364">
        <v>6.2471001963848583E-4</v>
      </c>
      <c r="T4" s="364">
        <v>1.3615841889635938E-4</v>
      </c>
      <c r="U4" s="364">
        <v>2.2380636622298944E-5</v>
      </c>
      <c r="V4" s="364">
        <v>2.68643837586513E-6</v>
      </c>
      <c r="W4" s="364"/>
      <c r="X4" s="7"/>
      <c r="Y4" s="364"/>
      <c r="Z4" s="364"/>
      <c r="AA4" s="364"/>
      <c r="AB4" s="364"/>
      <c r="AC4" s="364"/>
      <c r="AD4" s="364"/>
      <c r="AE4" s="364"/>
      <c r="AF4" s="364"/>
      <c r="AG4" s="364"/>
      <c r="AH4" s="364"/>
      <c r="AI4" s="364"/>
      <c r="AJ4" s="364"/>
      <c r="AK4" s="364"/>
      <c r="AL4" s="364"/>
      <c r="AM4" s="364"/>
      <c r="AN4" s="364"/>
      <c r="AO4" s="364"/>
      <c r="AP4" s="364"/>
      <c r="AQ4" s="364"/>
      <c r="AR4" s="364"/>
    </row>
    <row r="5" spans="1:44">
      <c r="B5" s="7" t="s">
        <v>867</v>
      </c>
      <c r="C5" s="364">
        <v>2.5643970768378654E-3</v>
      </c>
      <c r="D5" s="364">
        <v>5.1260615529385989E-3</v>
      </c>
      <c r="E5" s="364">
        <v>9.1015544176433795E-3</v>
      </c>
      <c r="F5" s="364">
        <v>1.4804925730045659E-2</v>
      </c>
      <c r="G5" s="364">
        <v>2.2471809420486211E-2</v>
      </c>
      <c r="H5" s="364">
        <v>3.2184432813882391E-2</v>
      </c>
      <c r="I5" s="364">
        <v>4.3779667172004086E-2</v>
      </c>
      <c r="J5" s="364">
        <v>5.675426075474499E-2</v>
      </c>
      <c r="K5" s="364">
        <v>7.0195239068707532E-2</v>
      </c>
      <c r="L5" s="364">
        <v>8.2776861842756788E-2</v>
      </c>
      <c r="M5" s="364">
        <v>9.2870259507494834E-2</v>
      </c>
      <c r="N5" s="364">
        <v>9.8796470678915727E-2</v>
      </c>
      <c r="O5" s="364">
        <v>9.9208932889988999E-2</v>
      </c>
      <c r="P5" s="364">
        <v>9.3521150494244254E-2</v>
      </c>
      <c r="Q5" s="364">
        <v>8.2226007896862296E-2</v>
      </c>
      <c r="R5" s="364">
        <v>6.6933566027365665E-2</v>
      </c>
      <c r="S5" s="364">
        <v>5.0029565143448806E-2</v>
      </c>
      <c r="T5" s="364">
        <v>3.402486521893211E-2</v>
      </c>
      <c r="U5" s="364">
        <v>2.0846059340774659E-2</v>
      </c>
      <c r="V5" s="364">
        <v>0.01</v>
      </c>
      <c r="W5" s="364"/>
      <c r="X5" s="7"/>
      <c r="Y5" s="364"/>
      <c r="Z5" s="364"/>
      <c r="AA5" s="364"/>
      <c r="AB5" s="364"/>
      <c r="AC5" s="364"/>
      <c r="AD5" s="364"/>
      <c r="AE5" s="364"/>
      <c r="AF5" s="364"/>
      <c r="AG5" s="364"/>
      <c r="AH5" s="364"/>
      <c r="AI5" s="364"/>
      <c r="AJ5" s="364"/>
      <c r="AK5" s="364"/>
      <c r="AL5" s="364"/>
      <c r="AM5" s="364"/>
      <c r="AN5" s="364"/>
      <c r="AO5" s="364"/>
      <c r="AP5" s="364"/>
      <c r="AQ5" s="364"/>
      <c r="AR5" s="364"/>
    </row>
    <row r="6" spans="1:44">
      <c r="B6" s="7" t="s">
        <v>829</v>
      </c>
      <c r="C6" s="364">
        <v>0.45</v>
      </c>
      <c r="D6" s="364">
        <v>0.21</v>
      </c>
      <c r="E6" s="364">
        <v>0.14000000000000001</v>
      </c>
      <c r="F6" s="364">
        <v>0.09</v>
      </c>
      <c r="G6" s="364">
        <v>5.9540362609726505E-2</v>
      </c>
      <c r="H6" s="364">
        <v>2.9770181304863419E-2</v>
      </c>
      <c r="I6" s="364">
        <v>1.3231191691050248E-2</v>
      </c>
      <c r="J6" s="364">
        <v>5.2924766764202991E-3</v>
      </c>
      <c r="K6" s="364">
        <v>1.9245369732436846E-3</v>
      </c>
      <c r="L6" s="364">
        <v>6.415123244144505E-4</v>
      </c>
      <c r="M6" s="364">
        <v>1.9738840751215569E-4</v>
      </c>
      <c r="N6" s="364">
        <v>5.6396687860615913E-5</v>
      </c>
      <c r="O6" s="364">
        <v>1.5039116763038152E-5</v>
      </c>
      <c r="P6" s="364">
        <v>3.7597791905374933E-6</v>
      </c>
      <c r="Q6" s="364">
        <v>8.8465392733549919E-7</v>
      </c>
      <c r="R6" s="364">
        <v>1.9658976146974538E-7</v>
      </c>
      <c r="S6" s="364">
        <v>4.13873183502389E-8</v>
      </c>
      <c r="T6" s="364">
        <v>8.2774636034343985E-9</v>
      </c>
      <c r="U6" s="364">
        <v>1.5766598027155965E-9</v>
      </c>
      <c r="V6" s="364">
        <v>2.8666535811794347E-10</v>
      </c>
      <c r="W6" s="364"/>
      <c r="X6" s="7"/>
      <c r="Y6" s="364"/>
      <c r="Z6" s="364"/>
      <c r="AA6" s="364"/>
      <c r="AB6" s="364"/>
      <c r="AC6" s="364"/>
      <c r="AD6" s="364"/>
      <c r="AE6" s="364"/>
      <c r="AF6" s="364"/>
      <c r="AG6" s="364"/>
      <c r="AH6" s="364"/>
      <c r="AI6" s="364"/>
      <c r="AJ6" s="364"/>
      <c r="AK6" s="364"/>
      <c r="AL6" s="364"/>
      <c r="AM6" s="364"/>
      <c r="AN6" s="364"/>
      <c r="AO6" s="364"/>
      <c r="AP6" s="364"/>
      <c r="AQ6" s="364"/>
      <c r="AR6" s="364"/>
    </row>
    <row r="7" spans="1:44">
      <c r="B7" s="7" t="s">
        <v>831</v>
      </c>
      <c r="C7" s="364">
        <v>0.22119921692859512</v>
      </c>
      <c r="D7" s="364">
        <v>0.15504311102289431</v>
      </c>
      <c r="E7" s="364">
        <v>0.10733128557729499</v>
      </c>
      <c r="F7" s="364">
        <v>8.3589689255657879E-2</v>
      </c>
      <c r="G7" s="364">
        <v>7.3237179880126971E-2</v>
      </c>
      <c r="H7" s="364">
        <v>6.3374636711760357E-2</v>
      </c>
      <c r="I7" s="364">
        <v>5.4291838367783084E-2</v>
      </c>
      <c r="J7" s="364">
        <v>4.612639225659896E-2</v>
      </c>
      <c r="K7" s="364">
        <v>3.8916876277172864E-2</v>
      </c>
      <c r="L7" s="364">
        <v>3.2639916313151704E-2</v>
      </c>
      <c r="M7" s="364">
        <v>2.7235706125786907E-2</v>
      </c>
      <c r="N7" s="364">
        <v>2.1211189258265428E-2</v>
      </c>
      <c r="O7" s="364">
        <v>1.6519290804212883E-2</v>
      </c>
      <c r="P7" s="364">
        <v>1.2865236614105324E-2</v>
      </c>
      <c r="Q7" s="364">
        <v>1.0019456349464106E-2</v>
      </c>
      <c r="R7" s="364">
        <v>7.8031604509122832E-3</v>
      </c>
      <c r="S7" s="364">
        <v>6.077107469602494E-3</v>
      </c>
      <c r="T7" s="364">
        <v>4.7328560561354371E-3</v>
      </c>
      <c r="U7" s="364">
        <v>3.6859520026825132E-3</v>
      </c>
      <c r="V7" s="364">
        <v>2.8706223060526725E-3</v>
      </c>
      <c r="W7" s="364"/>
      <c r="X7" s="7"/>
      <c r="Y7" s="364"/>
      <c r="Z7" s="364"/>
      <c r="AA7" s="364"/>
      <c r="AB7" s="364"/>
      <c r="AC7" s="364"/>
      <c r="AD7" s="364"/>
      <c r="AE7" s="364"/>
      <c r="AF7" s="364"/>
      <c r="AG7" s="364"/>
      <c r="AH7" s="364"/>
      <c r="AI7" s="364"/>
      <c r="AJ7" s="364"/>
      <c r="AK7" s="364"/>
      <c r="AL7" s="364"/>
      <c r="AM7" s="364"/>
      <c r="AN7" s="364"/>
      <c r="AO7" s="364"/>
      <c r="AP7" s="364"/>
      <c r="AQ7" s="364"/>
      <c r="AR7" s="364"/>
    </row>
    <row r="8" spans="1:44">
      <c r="B8" s="7" t="s">
        <v>832</v>
      </c>
      <c r="C8" s="365">
        <v>0.05</v>
      </c>
      <c r="D8" s="365">
        <v>0.05</v>
      </c>
      <c r="E8" s="365">
        <v>0.05</v>
      </c>
      <c r="F8" s="365">
        <v>0.05</v>
      </c>
      <c r="G8" s="365">
        <v>0.05</v>
      </c>
      <c r="H8" s="365">
        <v>0.05</v>
      </c>
      <c r="I8" s="365">
        <v>0.05</v>
      </c>
      <c r="J8" s="365">
        <v>0.05</v>
      </c>
      <c r="K8" s="365">
        <v>0.05</v>
      </c>
      <c r="L8" s="365">
        <v>0.05</v>
      </c>
      <c r="M8" s="365">
        <v>0.05</v>
      </c>
      <c r="N8" s="365">
        <v>0.05</v>
      </c>
      <c r="O8" s="365">
        <v>0.05</v>
      </c>
      <c r="P8" s="365">
        <v>0.05</v>
      </c>
      <c r="Q8" s="365">
        <v>0.05</v>
      </c>
      <c r="R8" s="365">
        <v>0.05</v>
      </c>
      <c r="S8" s="365">
        <v>0.05</v>
      </c>
      <c r="T8" s="365">
        <v>0.05</v>
      </c>
      <c r="U8" s="365">
        <v>0.05</v>
      </c>
      <c r="V8" s="365">
        <v>0.05</v>
      </c>
      <c r="W8" s="365"/>
      <c r="X8" s="7"/>
      <c r="Y8" s="364"/>
      <c r="Z8" s="364"/>
      <c r="AA8" s="364"/>
      <c r="AB8" s="364"/>
      <c r="AC8" s="364"/>
      <c r="AD8" s="364"/>
      <c r="AE8" s="364"/>
      <c r="AF8" s="364"/>
      <c r="AG8" s="364"/>
      <c r="AH8" s="364"/>
      <c r="AI8" s="364"/>
      <c r="AJ8" s="364"/>
      <c r="AK8" s="364"/>
      <c r="AL8" s="364"/>
      <c r="AM8" s="364"/>
      <c r="AN8" s="364"/>
      <c r="AO8" s="364"/>
      <c r="AP8" s="364"/>
      <c r="AQ8" s="364"/>
      <c r="AR8" s="364"/>
    </row>
    <row r="9" spans="1:44">
      <c r="B9" s="7" t="s">
        <v>833</v>
      </c>
      <c r="C9" s="34">
        <v>0.01</v>
      </c>
      <c r="D9" s="34">
        <v>1.9799999999999998E-2</v>
      </c>
      <c r="E9" s="34">
        <v>2.9106E-2</v>
      </c>
      <c r="F9" s="34">
        <v>3.7643759999999998E-2</v>
      </c>
      <c r="G9" s="34">
        <v>4.5172511999999984E-2</v>
      </c>
      <c r="H9" s="34">
        <v>4.8635737920000005E-2</v>
      </c>
      <c r="I9" s="34">
        <v>4.587971277120001E-2</v>
      </c>
      <c r="J9" s="34">
        <v>4.3279862380832007E-2</v>
      </c>
      <c r="K9" s="34">
        <v>4.0827336845918161E-2</v>
      </c>
      <c r="L9" s="34">
        <v>3.8513787757982809E-2</v>
      </c>
      <c r="M9" s="34">
        <v>3.6331339785030448E-2</v>
      </c>
      <c r="N9" s="34">
        <v>3.4272563863878724E-2</v>
      </c>
      <c r="O9" s="34">
        <v>3.2330451911592284E-2</v>
      </c>
      <c r="P9" s="34">
        <v>3.0498392969935395E-2</v>
      </c>
      <c r="Q9" s="34">
        <v>2.8770150701639075E-2</v>
      </c>
      <c r="R9" s="34">
        <v>2.7139842161879479E-2</v>
      </c>
      <c r="S9" s="34">
        <v>2.5601917772706373E-2</v>
      </c>
      <c r="T9" s="34">
        <v>2.4151142432252914E-2</v>
      </c>
      <c r="U9" s="34">
        <v>2.2782577694425266E-2</v>
      </c>
      <c r="V9" s="34">
        <v>2.1491564958407872E-2</v>
      </c>
      <c r="W9" s="34"/>
      <c r="X9" s="7"/>
      <c r="Y9" s="221"/>
      <c r="Z9" s="221"/>
      <c r="AA9" s="221"/>
      <c r="AB9" s="221"/>
      <c r="AC9" s="221"/>
      <c r="AD9" s="221"/>
      <c r="AE9" s="221"/>
      <c r="AF9" s="221"/>
      <c r="AG9" s="221"/>
      <c r="AH9" s="221"/>
      <c r="AI9" s="221"/>
      <c r="AJ9" s="221"/>
      <c r="AK9" s="221"/>
      <c r="AL9" s="221"/>
      <c r="AM9" s="221"/>
      <c r="AN9" s="221"/>
      <c r="AO9" s="221"/>
      <c r="AP9" s="221"/>
      <c r="AQ9" s="221"/>
      <c r="AR9" s="221"/>
    </row>
    <row r="10" spans="1:44">
      <c r="B10" s="7" t="s">
        <v>865</v>
      </c>
      <c r="C10" s="34">
        <v>5.5320496977002724E-3</v>
      </c>
      <c r="D10" s="34">
        <v>8.6958686465615706E-3</v>
      </c>
      <c r="E10" s="34">
        <v>1.7391737293123145E-2</v>
      </c>
      <c r="F10" s="34">
        <v>3.0435540262965514E-2</v>
      </c>
      <c r="G10" s="34">
        <v>4.7344173742390784E-2</v>
      </c>
      <c r="H10" s="34">
        <v>6.6281843239347063E-2</v>
      </c>
      <c r="I10" s="34">
        <v>8.4358709577350838E-2</v>
      </c>
      <c r="J10" s="34">
        <v>9.8418494506909315E-2</v>
      </c>
      <c r="K10" s="34">
        <v>0.10598914793051767</v>
      </c>
      <c r="L10" s="34">
        <v>0.10598914793051767</v>
      </c>
      <c r="M10" s="34">
        <v>9.8923204735149928E-2</v>
      </c>
      <c r="N10" s="34">
        <v>8.655780414325609E-2</v>
      </c>
      <c r="O10" s="34">
        <v>7.1282897529740263E-2</v>
      </c>
      <c r="P10" s="34">
        <v>5.5442253634242489E-2</v>
      </c>
      <c r="Q10" s="34">
        <v>4.0852186888389319E-2</v>
      </c>
      <c r="R10" s="34">
        <v>2.8596530821872412E-2</v>
      </c>
      <c r="S10" s="34">
        <v>1.9064353881248275E-2</v>
      </c>
      <c r="T10" s="34">
        <v>1.2131861560794377E-2</v>
      </c>
      <c r="U10" s="34">
        <v>7.3846113848314854E-3</v>
      </c>
      <c r="V10" s="34">
        <v>4.3076899744848296E-3</v>
      </c>
      <c r="W10" s="34"/>
      <c r="X10" s="7"/>
      <c r="Y10" s="221"/>
      <c r="Z10" s="221"/>
      <c r="AA10" s="221"/>
      <c r="AB10" s="221"/>
      <c r="AC10" s="221"/>
      <c r="AD10" s="221"/>
      <c r="AE10" s="221"/>
      <c r="AF10" s="221"/>
      <c r="AG10" s="221"/>
      <c r="AH10" s="221"/>
      <c r="AI10" s="221"/>
      <c r="AJ10" s="221"/>
      <c r="AK10" s="221"/>
      <c r="AL10" s="221"/>
      <c r="AM10" s="221"/>
      <c r="AN10" s="221"/>
      <c r="AO10" s="221"/>
      <c r="AP10" s="221"/>
      <c r="AQ10" s="221"/>
      <c r="AR10" s="221"/>
    </row>
    <row r="11" spans="1:44">
      <c r="A11" s="218" t="s">
        <v>917</v>
      </c>
      <c r="B11" s="7" t="s">
        <v>825</v>
      </c>
      <c r="C11" s="34">
        <v>0.10937459468255628</v>
      </c>
      <c r="D11" s="34">
        <v>0.21874918936511256</v>
      </c>
      <c r="E11" s="34">
        <v>0.32812378404766884</v>
      </c>
      <c r="F11" s="34">
        <v>0.43749837873022512</v>
      </c>
      <c r="G11" s="34">
        <v>0.5468729734127814</v>
      </c>
      <c r="H11" s="34">
        <v>0.64531010862708205</v>
      </c>
      <c r="I11" s="34">
        <v>0.7240598167985226</v>
      </c>
      <c r="J11" s="34">
        <v>0.78705958333567505</v>
      </c>
      <c r="K11" s="34">
        <v>0.83745939656539703</v>
      </c>
      <c r="L11" s="34">
        <v>0.87777924714917455</v>
      </c>
      <c r="M11" s="34">
        <v>0.91003512761619654</v>
      </c>
      <c r="N11" s="34">
        <v>0.93583983198981413</v>
      </c>
      <c r="O11" s="34">
        <v>0.9564835954887082</v>
      </c>
      <c r="P11" s="34">
        <v>0.97299860628782353</v>
      </c>
      <c r="Q11" s="34">
        <v>0.9862106149271157</v>
      </c>
      <c r="R11" s="34">
        <v>0.99678022183854953</v>
      </c>
      <c r="S11" s="34">
        <v>0.99685231466234414</v>
      </c>
      <c r="T11" s="34">
        <v>0.99687806209941365</v>
      </c>
      <c r="U11" s="34">
        <v>0.99688683963477831</v>
      </c>
      <c r="V11" s="34">
        <v>0.99688970187457115</v>
      </c>
      <c r="W11" s="34"/>
      <c r="X11" s="7"/>
      <c r="Y11" s="366"/>
      <c r="Z11" s="366"/>
      <c r="AA11" s="366"/>
      <c r="AB11" s="366"/>
      <c r="AC11" s="366"/>
      <c r="AD11" s="366"/>
      <c r="AE11" s="366"/>
      <c r="AF11" s="366"/>
      <c r="AG11" s="366"/>
      <c r="AH11" s="366"/>
      <c r="AI11" s="366"/>
      <c r="AJ11" s="366"/>
      <c r="AK11" s="366"/>
      <c r="AL11" s="366"/>
      <c r="AM11" s="366"/>
      <c r="AN11" s="366"/>
      <c r="AO11" s="366"/>
      <c r="AP11" s="366"/>
      <c r="AQ11" s="366"/>
      <c r="AR11" s="366"/>
    </row>
    <row r="12" spans="1:44">
      <c r="B12" s="7" t="s">
        <v>869</v>
      </c>
      <c r="C12" s="34">
        <v>4.2999999999999997E-2</v>
      </c>
      <c r="D12" s="34">
        <v>9.5797142280278316E-2</v>
      </c>
      <c r="E12" s="34">
        <v>0.16040539374775648</v>
      </c>
      <c r="F12" s="34">
        <v>0.23540539374775649</v>
      </c>
      <c r="G12" s="34">
        <v>0.32095239121809005</v>
      </c>
      <c r="H12" s="34">
        <v>0.42096711425629652</v>
      </c>
      <c r="I12" s="34">
        <v>0.53068481860864725</v>
      </c>
      <c r="J12" s="34">
        <v>0.642769203728351</v>
      </c>
      <c r="K12" s="34">
        <v>0.74839528535557953</v>
      </c>
      <c r="L12" s="34">
        <v>0.83918984935345187</v>
      </c>
      <c r="M12" s="34">
        <v>0.90945051634530116</v>
      </c>
      <c r="N12" s="34">
        <v>0.9576688767502457</v>
      </c>
      <c r="O12" s="34">
        <v>0.9865231113648858</v>
      </c>
      <c r="P12" s="34">
        <v>1.0012970762896924</v>
      </c>
      <c r="Q12" s="34">
        <v>1.0076356106578106</v>
      </c>
      <c r="R12" s="34">
        <v>1.0098624683774413</v>
      </c>
      <c r="S12" s="34">
        <v>1.0104871783970797</v>
      </c>
      <c r="T12" s="34">
        <v>1.010623336815976</v>
      </c>
      <c r="U12" s="34">
        <v>1.0106457174525985</v>
      </c>
      <c r="V12" s="34">
        <v>1.0106484038909742</v>
      </c>
      <c r="W12" s="34"/>
      <c r="X12" s="7"/>
      <c r="Y12" s="364"/>
      <c r="Z12" s="364"/>
      <c r="AA12" s="364"/>
      <c r="AB12" s="364"/>
      <c r="AC12" s="364"/>
      <c r="AD12" s="364"/>
      <c r="AE12" s="364"/>
      <c r="AF12" s="364"/>
      <c r="AG12" s="364"/>
      <c r="AH12" s="364"/>
      <c r="AI12" s="364"/>
      <c r="AJ12" s="364"/>
      <c r="AK12" s="364"/>
      <c r="AL12" s="364"/>
      <c r="AM12" s="364"/>
      <c r="AN12" s="364"/>
      <c r="AO12" s="364"/>
      <c r="AP12" s="364"/>
      <c r="AQ12" s="364"/>
      <c r="AR12" s="366"/>
    </row>
    <row r="13" spans="1:44" s="32" customFormat="1">
      <c r="B13" s="25" t="s">
        <v>870</v>
      </c>
      <c r="C13" s="32">
        <v>2.5643970768378654E-3</v>
      </c>
      <c r="D13" s="32">
        <v>7.6904586297764643E-3</v>
      </c>
      <c r="E13" s="32">
        <v>1.6792013047419844E-2</v>
      </c>
      <c r="F13" s="32">
        <v>3.15969387774655E-2</v>
      </c>
      <c r="G13" s="32">
        <v>5.406874819795171E-2</v>
      </c>
      <c r="H13" s="32">
        <v>8.6253181011834101E-2</v>
      </c>
      <c r="I13" s="32">
        <v>0.1300328481838382</v>
      </c>
      <c r="J13" s="32">
        <v>0.18678710893858319</v>
      </c>
      <c r="K13" s="32">
        <v>0.2569823480072907</v>
      </c>
      <c r="L13" s="32">
        <v>0.33975920985004748</v>
      </c>
      <c r="M13" s="32">
        <v>0.43262946935754232</v>
      </c>
      <c r="N13" s="32">
        <v>0.53142594003645804</v>
      </c>
      <c r="O13" s="32">
        <v>0.63063487292644704</v>
      </c>
      <c r="P13" s="32">
        <v>0.7241560234206913</v>
      </c>
      <c r="Q13" s="32">
        <v>0.80638203131755359</v>
      </c>
      <c r="R13" s="32">
        <v>0.87331559734491926</v>
      </c>
      <c r="S13" s="32">
        <v>0.92334516248836807</v>
      </c>
      <c r="T13" s="32">
        <v>0.95737002770730018</v>
      </c>
      <c r="U13" s="32">
        <v>0.97821608704807483</v>
      </c>
      <c r="V13" s="32">
        <v>0.98821608704807484</v>
      </c>
      <c r="X13" s="25"/>
      <c r="Y13" s="364"/>
      <c r="Z13" s="364"/>
      <c r="AA13" s="364"/>
      <c r="AB13" s="364"/>
      <c r="AC13" s="364"/>
      <c r="AD13" s="364"/>
      <c r="AE13" s="364"/>
      <c r="AF13" s="364"/>
      <c r="AG13" s="364"/>
      <c r="AH13" s="364"/>
      <c r="AI13" s="364"/>
      <c r="AJ13" s="364"/>
      <c r="AK13" s="364"/>
      <c r="AL13" s="364"/>
      <c r="AM13" s="364"/>
      <c r="AN13" s="364"/>
      <c r="AO13" s="364"/>
      <c r="AP13" s="364"/>
      <c r="AQ13" s="364"/>
      <c r="AR13" s="364"/>
    </row>
    <row r="14" spans="1:44" s="32" customFormat="1">
      <c r="B14" s="25" t="s">
        <v>824</v>
      </c>
      <c r="C14" s="32">
        <v>0.45</v>
      </c>
      <c r="D14" s="32">
        <v>0.66</v>
      </c>
      <c r="E14" s="32">
        <v>0.8</v>
      </c>
      <c r="F14" s="32">
        <v>0.89</v>
      </c>
      <c r="G14" s="32">
        <v>0.94954036260972652</v>
      </c>
      <c r="H14" s="32">
        <v>0.97931054391458994</v>
      </c>
      <c r="I14" s="32">
        <v>0.99254173560564019</v>
      </c>
      <c r="J14" s="32">
        <v>0.99783421228206048</v>
      </c>
      <c r="K14" s="32">
        <v>0.99975874925530417</v>
      </c>
      <c r="L14" s="32">
        <v>1.0004002615797187</v>
      </c>
      <c r="M14" s="32">
        <v>1.0005976499872309</v>
      </c>
      <c r="N14" s="32">
        <v>1.0006540466750915</v>
      </c>
      <c r="O14" s="32">
        <v>1.0006690857918545</v>
      </c>
      <c r="P14" s="32">
        <v>1.000672845571045</v>
      </c>
      <c r="Q14" s="32">
        <v>1.0006737302249724</v>
      </c>
      <c r="R14" s="32">
        <v>1.0006739268147338</v>
      </c>
      <c r="S14" s="32">
        <v>1.0006739682020522</v>
      </c>
      <c r="T14" s="32">
        <v>1.0006739764795158</v>
      </c>
      <c r="U14" s="32">
        <v>1.0006739780561755</v>
      </c>
      <c r="V14" s="32">
        <v>1.0006739783428409</v>
      </c>
      <c r="X14" s="25"/>
    </row>
    <row r="15" spans="1:44" s="32" customFormat="1">
      <c r="B15" s="25" t="s">
        <v>826</v>
      </c>
      <c r="C15" s="32">
        <v>0.22119921692859512</v>
      </c>
      <c r="D15" s="32">
        <v>0.37624232795148943</v>
      </c>
      <c r="E15" s="32">
        <v>0.48357361352878442</v>
      </c>
      <c r="F15" s="32">
        <v>0.56716330278444227</v>
      </c>
      <c r="G15" s="32">
        <v>0.64040048266456928</v>
      </c>
      <c r="H15" s="32">
        <v>0.70377511937632964</v>
      </c>
      <c r="I15" s="32">
        <v>0.7580669577441127</v>
      </c>
      <c r="J15" s="32">
        <v>0.80419335000071168</v>
      </c>
      <c r="K15" s="32">
        <v>0.84311022627788457</v>
      </c>
      <c r="L15" s="32">
        <v>0.87575014259103623</v>
      </c>
      <c r="M15" s="32">
        <v>0.90298584871682319</v>
      </c>
      <c r="N15" s="32">
        <v>0.92419703797508856</v>
      </c>
      <c r="O15" s="32">
        <v>0.94071632877930145</v>
      </c>
      <c r="P15" s="32">
        <v>0.95358156539340677</v>
      </c>
      <c r="Q15" s="32">
        <v>0.96360102174287088</v>
      </c>
      <c r="R15" s="32">
        <v>0.97140418219378311</v>
      </c>
      <c r="S15" s="32">
        <v>0.97748128966338554</v>
      </c>
      <c r="T15" s="32">
        <v>0.98221414571952104</v>
      </c>
      <c r="U15" s="32">
        <v>0.98590009772220355</v>
      </c>
      <c r="V15" s="32">
        <v>0.98877072002825628</v>
      </c>
      <c r="X15" s="25"/>
    </row>
    <row r="16" spans="1:44" s="32" customFormat="1">
      <c r="B16" s="25" t="s">
        <v>827</v>
      </c>
      <c r="C16" s="32">
        <v>0.05</v>
      </c>
      <c r="D16" s="32">
        <v>0.1</v>
      </c>
      <c r="E16" s="32">
        <v>0.15000000000000002</v>
      </c>
      <c r="F16" s="32">
        <v>0.2</v>
      </c>
      <c r="G16" s="32">
        <v>0.25</v>
      </c>
      <c r="H16" s="32">
        <v>0.3</v>
      </c>
      <c r="I16" s="32">
        <v>0.35</v>
      </c>
      <c r="J16" s="32">
        <v>0.39999999999999997</v>
      </c>
      <c r="K16" s="32">
        <v>0.44999999999999996</v>
      </c>
      <c r="L16" s="32">
        <v>0.49999999999999994</v>
      </c>
      <c r="M16" s="32">
        <v>0.54999999999999993</v>
      </c>
      <c r="N16" s="32">
        <v>0.6</v>
      </c>
      <c r="O16" s="32">
        <v>0.65</v>
      </c>
      <c r="P16" s="32">
        <v>0.70000000000000007</v>
      </c>
      <c r="Q16" s="32">
        <v>0.75000000000000011</v>
      </c>
      <c r="R16" s="32">
        <v>0.80000000000000016</v>
      </c>
      <c r="S16" s="32">
        <v>0.8500000000000002</v>
      </c>
      <c r="T16" s="32">
        <v>0.90000000000000024</v>
      </c>
      <c r="U16" s="32">
        <v>0.95000000000000029</v>
      </c>
      <c r="V16" s="32">
        <v>1.0000000000000002</v>
      </c>
      <c r="X16" s="25"/>
    </row>
    <row r="17" spans="2:22">
      <c r="B17" t="s">
        <v>828</v>
      </c>
      <c r="C17" s="32">
        <v>0.01</v>
      </c>
      <c r="D17" s="32">
        <v>2.98E-2</v>
      </c>
      <c r="E17" s="32">
        <v>5.8906E-2</v>
      </c>
      <c r="F17" s="32">
        <v>9.6549759999999998E-2</v>
      </c>
      <c r="G17" s="32">
        <v>0.14172227199999998</v>
      </c>
      <c r="H17" s="32">
        <v>0.19035800991999999</v>
      </c>
      <c r="I17" s="32">
        <v>0.2362377226912</v>
      </c>
      <c r="J17" s="32">
        <v>0.279517585072032</v>
      </c>
      <c r="K17" s="32">
        <v>0.32034492191795017</v>
      </c>
      <c r="L17" s="32">
        <v>0.35885870967593297</v>
      </c>
      <c r="M17" s="32">
        <v>0.39519004946096342</v>
      </c>
      <c r="N17" s="32">
        <v>0.42946261332484215</v>
      </c>
      <c r="O17" s="32">
        <v>0.46179306523643443</v>
      </c>
      <c r="P17" s="32">
        <v>0.49229145820636983</v>
      </c>
      <c r="Q17" s="32">
        <v>0.5210616089080089</v>
      </c>
      <c r="R17" s="32">
        <v>0.54820145106988838</v>
      </c>
      <c r="S17" s="32">
        <v>0.57380336884259475</v>
      </c>
      <c r="T17" s="32">
        <v>0.59795451127484767</v>
      </c>
      <c r="U17" s="32">
        <v>0.62073708896927293</v>
      </c>
      <c r="V17" s="32">
        <v>0.6422286539276808</v>
      </c>
    </row>
    <row r="18" spans="2:22">
      <c r="B18" t="s">
        <v>868</v>
      </c>
      <c r="C18" s="32">
        <v>5.5320496977002724E-3</v>
      </c>
      <c r="D18" s="32">
        <v>1.4227918344261844E-2</v>
      </c>
      <c r="E18" s="32">
        <v>3.1619655637384989E-2</v>
      </c>
      <c r="F18" s="32">
        <v>6.2055195900350503E-2</v>
      </c>
      <c r="G18" s="32">
        <v>0.10939936964274129</v>
      </c>
      <c r="H18" s="32">
        <v>0.17568121288208835</v>
      </c>
      <c r="I18" s="32">
        <v>0.26003992245943919</v>
      </c>
      <c r="J18" s="32">
        <v>0.3584584169663485</v>
      </c>
      <c r="K18" s="32">
        <v>0.46444756489686617</v>
      </c>
      <c r="L18" s="32">
        <v>0.57043671282738384</v>
      </c>
      <c r="M18" s="32">
        <v>0.66935991756253377</v>
      </c>
      <c r="N18" s="32">
        <v>0.75591772170578986</v>
      </c>
      <c r="O18" s="32">
        <v>0.82720061923553012</v>
      </c>
      <c r="P18" s="32">
        <v>0.88264287286977261</v>
      </c>
      <c r="Q18" s="32">
        <v>0.92349505975816193</v>
      </c>
      <c r="R18" s="32">
        <v>0.95209159058003434</v>
      </c>
      <c r="S18" s="32">
        <v>0.97115594446128262</v>
      </c>
      <c r="T18" s="32">
        <v>0.98328780602207699</v>
      </c>
      <c r="U18" s="32">
        <v>0.99067241740690848</v>
      </c>
      <c r="V18" s="32">
        <v>0.99498010738139331</v>
      </c>
    </row>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sheetPr codeName="Sheet16" enableFormatConditionsCalculation="0">
    <tabColor theme="6" tint="0.59999389629810485"/>
  </sheetPr>
  <dimension ref="A1:X105"/>
  <sheetViews>
    <sheetView topLeftCell="D1" zoomScale="72" workbookViewId="0">
      <selection activeCell="P44" sqref="P44"/>
    </sheetView>
  </sheetViews>
  <sheetFormatPr defaultRowHeight="12.75"/>
  <cols>
    <col min="1" max="1" width="14.7109375" customWidth="1"/>
    <col min="2" max="2" width="45.28515625" customWidth="1"/>
    <col min="3" max="3" width="80.5703125" customWidth="1"/>
    <col min="4" max="4" width="10" customWidth="1"/>
    <col min="5" max="5" width="11.28515625" customWidth="1"/>
    <col min="6" max="6" width="39.140625" customWidth="1"/>
  </cols>
  <sheetData>
    <row r="1" spans="1:24">
      <c r="A1" t="s">
        <v>107</v>
      </c>
      <c r="B1" t="s">
        <v>48</v>
      </c>
    </row>
    <row r="3" spans="1:24">
      <c r="F3" s="219"/>
    </row>
    <row r="8" spans="1:24">
      <c r="B8" s="13"/>
      <c r="C8" s="13"/>
      <c r="D8" s="16"/>
      <c r="E8" s="16"/>
      <c r="G8" s="561" t="s">
        <v>256</v>
      </c>
      <c r="H8" s="561"/>
      <c r="I8" s="561"/>
      <c r="J8" s="561" t="s">
        <v>261</v>
      </c>
      <c r="K8" s="561"/>
      <c r="L8" s="561"/>
      <c r="M8" s="561"/>
      <c r="N8" s="562" t="s">
        <v>262</v>
      </c>
      <c r="O8" s="563"/>
      <c r="P8" s="5" t="s">
        <v>264</v>
      </c>
      <c r="Q8" s="562" t="s">
        <v>265</v>
      </c>
      <c r="R8" s="563"/>
      <c r="S8" s="5" t="s">
        <v>266</v>
      </c>
      <c r="T8" s="5" t="s">
        <v>267</v>
      </c>
      <c r="U8" s="561" t="s">
        <v>270</v>
      </c>
      <c r="V8" s="561"/>
      <c r="W8" s="349" t="s">
        <v>311</v>
      </c>
      <c r="X8" s="349" t="s">
        <v>272</v>
      </c>
    </row>
    <row r="9" spans="1:24">
      <c r="A9" s="31" t="s">
        <v>111</v>
      </c>
      <c r="B9" s="31" t="str">
        <f>APPLIC!B11</f>
        <v>Measure Index Name</v>
      </c>
      <c r="C9" s="31" t="s">
        <v>48</v>
      </c>
      <c r="D9" s="16"/>
      <c r="E9" s="16"/>
      <c r="G9" s="13" t="s">
        <v>274</v>
      </c>
      <c r="H9" s="13" t="s">
        <v>275</v>
      </c>
      <c r="I9" s="13" t="s">
        <v>276</v>
      </c>
      <c r="J9" s="13" t="s">
        <v>721</v>
      </c>
      <c r="K9" s="13" t="s">
        <v>722</v>
      </c>
      <c r="L9" s="13" t="s">
        <v>723</v>
      </c>
      <c r="M9" s="13" t="s">
        <v>724</v>
      </c>
      <c r="N9" s="13" t="s">
        <v>725</v>
      </c>
      <c r="O9" s="13" t="s">
        <v>273</v>
      </c>
      <c r="P9" s="13" t="s">
        <v>264</v>
      </c>
      <c r="Q9" s="13" t="s">
        <v>278</v>
      </c>
      <c r="R9" s="13" t="s">
        <v>446</v>
      </c>
      <c r="S9" s="13" t="s">
        <v>266</v>
      </c>
      <c r="T9" s="13" t="s">
        <v>267</v>
      </c>
      <c r="U9" s="13" t="s">
        <v>268</v>
      </c>
      <c r="V9" s="13" t="s">
        <v>726</v>
      </c>
      <c r="W9" s="4" t="s">
        <v>311</v>
      </c>
      <c r="X9" s="4" t="s">
        <v>272</v>
      </c>
    </row>
    <row r="10" spans="1:24">
      <c r="B10" s="16" t="str">
        <f>MLIST!D12</f>
        <v>Compressed Air-Retro</v>
      </c>
      <c r="E10" s="558" t="str">
        <f>$B$29</f>
        <v>Glass-NR</v>
      </c>
      <c r="F10" s="15" t="s">
        <v>285</v>
      </c>
      <c r="G10" s="87">
        <f>CHAR!C18</f>
        <v>0.15073291148870363</v>
      </c>
      <c r="H10" s="87">
        <f>CHAR!D18</f>
        <v>0.12013270538231059</v>
      </c>
      <c r="I10" s="87">
        <f>CHAR!E18</f>
        <v>3.1538695729415013E-2</v>
      </c>
      <c r="J10" s="87">
        <f>CHAR!F18</f>
        <v>2.6820893655991742E-2</v>
      </c>
      <c r="K10" s="87">
        <f>CHAR!G18</f>
        <v>1.0839638408159987E-2</v>
      </c>
      <c r="L10" s="87">
        <f>CHAR!H18</f>
        <v>4.0894012773033235E-2</v>
      </c>
      <c r="M10" s="87">
        <f>CHAR!I18</f>
        <v>1.3016203517984767E-2</v>
      </c>
      <c r="N10" s="87">
        <f>CHAR!J18</f>
        <v>3.0886857559635036E-2</v>
      </c>
      <c r="O10" s="87">
        <f>CHAR!K18</f>
        <v>2.2325826170102026E-2</v>
      </c>
      <c r="P10" s="87">
        <f>CHAR!L18</f>
        <v>0.10087192274660353</v>
      </c>
      <c r="Q10" s="87">
        <f>CHAR!M18</f>
        <v>6.1675003194375045E-3</v>
      </c>
      <c r="R10" s="87">
        <f>CHAR!N18</f>
        <v>2.5477723102065148E-3</v>
      </c>
      <c r="S10" s="87">
        <f>CHAR!O18</f>
        <v>1.1693580853842011E-2</v>
      </c>
      <c r="T10" s="87">
        <f>CHAR!P18</f>
        <v>2.3957473342185561E-2</v>
      </c>
      <c r="U10" s="87">
        <f>CHAR!Q18</f>
        <v>4.4965056377242296E-2</v>
      </c>
      <c r="V10" s="87">
        <f>CHAR!R18</f>
        <v>5.827742495837801E-2</v>
      </c>
      <c r="W10" s="87">
        <f>CHAR!S18</f>
        <v>9.0984350406775827E-2</v>
      </c>
      <c r="X10" s="88">
        <f>CHAR!T18</f>
        <v>0.21334717399999265</v>
      </c>
    </row>
    <row r="11" spans="1:24">
      <c r="B11" s="16" t="str">
        <f>MLIST!D13</f>
        <v>Compressed Air-NR</v>
      </c>
      <c r="C11" t="s">
        <v>30</v>
      </c>
      <c r="E11" s="559"/>
      <c r="F11" s="12"/>
      <c r="G11" s="12"/>
      <c r="H11" s="12"/>
      <c r="I11" s="12"/>
      <c r="J11" s="12"/>
      <c r="K11" s="12"/>
      <c r="L11" s="12"/>
      <c r="M11" s="12"/>
      <c r="N11" s="12"/>
      <c r="O11" s="12"/>
      <c r="P11" s="12"/>
      <c r="Q11" s="12"/>
      <c r="R11" s="12"/>
      <c r="S11" s="12"/>
      <c r="T11" s="12"/>
      <c r="U11" s="12"/>
      <c r="V11" s="12"/>
      <c r="W11" s="12"/>
      <c r="X11" s="37"/>
    </row>
    <row r="12" spans="1:24">
      <c r="B12" s="16" t="str">
        <f>MLIST!D14</f>
        <v>Network PC Power Management-Retro</v>
      </c>
      <c r="C12" t="s">
        <v>26</v>
      </c>
      <c r="E12" s="559"/>
      <c r="F12" s="12" t="s">
        <v>58</v>
      </c>
      <c r="G12" s="89">
        <v>0.22</v>
      </c>
      <c r="H12" s="89">
        <v>0.22</v>
      </c>
      <c r="I12" s="89">
        <v>0.22</v>
      </c>
      <c r="J12" s="89">
        <v>0.33</v>
      </c>
      <c r="K12" s="89">
        <v>0.33</v>
      </c>
      <c r="L12" s="89">
        <v>0.33</v>
      </c>
      <c r="M12" s="89">
        <v>0.33</v>
      </c>
      <c r="N12" s="89">
        <v>0.15</v>
      </c>
      <c r="O12" s="89">
        <v>0.15</v>
      </c>
      <c r="P12" s="89">
        <v>0.42</v>
      </c>
      <c r="Q12" s="89">
        <v>0.17</v>
      </c>
      <c r="R12" s="89">
        <v>0.17</v>
      </c>
      <c r="S12" s="89">
        <v>0.35</v>
      </c>
      <c r="T12" s="89">
        <v>0.38</v>
      </c>
      <c r="U12" s="89">
        <v>0.25</v>
      </c>
      <c r="V12" s="89">
        <v>0.24</v>
      </c>
      <c r="W12" s="89">
        <v>0.24</v>
      </c>
      <c r="X12" s="90">
        <v>0.21</v>
      </c>
    </row>
    <row r="13" spans="1:24">
      <c r="B13" s="16" t="str">
        <f>MLIST!D15</f>
        <v>Laptop-NR</v>
      </c>
      <c r="C13" t="s">
        <v>45</v>
      </c>
      <c r="E13" s="559"/>
      <c r="F13" s="12" t="s">
        <v>59</v>
      </c>
      <c r="G13" s="89">
        <v>0.5</v>
      </c>
      <c r="H13" s="89">
        <v>0.5</v>
      </c>
      <c r="I13" s="89">
        <v>0.5</v>
      </c>
      <c r="J13" s="89">
        <v>0</v>
      </c>
      <c r="K13" s="89">
        <v>0</v>
      </c>
      <c r="L13" s="89">
        <v>0.5</v>
      </c>
      <c r="M13" s="89">
        <v>0</v>
      </c>
      <c r="N13" s="89">
        <v>0.4</v>
      </c>
      <c r="O13" s="89">
        <v>0.4</v>
      </c>
      <c r="P13" s="89">
        <v>0</v>
      </c>
      <c r="Q13" s="89">
        <v>0.05</v>
      </c>
      <c r="R13" s="89">
        <v>0</v>
      </c>
      <c r="S13" s="89">
        <v>0.5</v>
      </c>
      <c r="T13" s="89">
        <v>0.5</v>
      </c>
      <c r="U13" s="89">
        <v>0.5</v>
      </c>
      <c r="V13" s="89">
        <v>0.5</v>
      </c>
      <c r="W13" s="89">
        <v>0.5</v>
      </c>
      <c r="X13" s="90">
        <v>0.2</v>
      </c>
    </row>
    <row r="14" spans="1:24">
      <c r="B14" s="16" t="str">
        <f>MLIST!D16</f>
        <v>Smart Plug Power Strips-Retro</v>
      </c>
      <c r="E14" s="559"/>
      <c r="F14" s="12" t="s">
        <v>60</v>
      </c>
      <c r="G14" s="91">
        <f>G12*(1-G13)</f>
        <v>0.11</v>
      </c>
      <c r="H14" s="91">
        <f t="shared" ref="H14:X14" si="0">H12*(1-H13)</f>
        <v>0.11</v>
      </c>
      <c r="I14" s="91">
        <f t="shared" si="0"/>
        <v>0.11</v>
      </c>
      <c r="J14" s="91">
        <f t="shared" si="0"/>
        <v>0.33</v>
      </c>
      <c r="K14" s="91">
        <f t="shared" si="0"/>
        <v>0.33</v>
      </c>
      <c r="L14" s="91">
        <f t="shared" si="0"/>
        <v>0.16500000000000001</v>
      </c>
      <c r="M14" s="91">
        <f t="shared" si="0"/>
        <v>0.33</v>
      </c>
      <c r="N14" s="91">
        <f t="shared" si="0"/>
        <v>0.09</v>
      </c>
      <c r="O14" s="91">
        <f t="shared" si="0"/>
        <v>0.09</v>
      </c>
      <c r="P14" s="91">
        <f t="shared" si="0"/>
        <v>0.42</v>
      </c>
      <c r="Q14" s="91">
        <f t="shared" si="0"/>
        <v>0.1615</v>
      </c>
      <c r="R14" s="91">
        <f t="shared" si="0"/>
        <v>0.17</v>
      </c>
      <c r="S14" s="91">
        <f t="shared" si="0"/>
        <v>0.17499999999999999</v>
      </c>
      <c r="T14" s="91">
        <f t="shared" si="0"/>
        <v>0.19</v>
      </c>
      <c r="U14" s="91">
        <f t="shared" si="0"/>
        <v>0.125</v>
      </c>
      <c r="V14" s="91">
        <f t="shared" si="0"/>
        <v>0.12</v>
      </c>
      <c r="W14" s="91">
        <f t="shared" si="0"/>
        <v>0.12</v>
      </c>
      <c r="X14" s="92">
        <f t="shared" si="0"/>
        <v>0.16800000000000001</v>
      </c>
    </row>
    <row r="15" spans="1:24">
      <c r="B15" s="16" t="e">
        <f>MLIST!#REF!</f>
        <v>#REF!</v>
      </c>
      <c r="C15" t="s">
        <v>46</v>
      </c>
      <c r="E15" s="559"/>
      <c r="F15" s="12"/>
      <c r="G15" s="12"/>
      <c r="H15" s="12"/>
      <c r="I15" s="12"/>
      <c r="J15" s="12"/>
      <c r="K15" s="12"/>
      <c r="L15" s="12"/>
      <c r="M15" s="12"/>
      <c r="N15" s="12"/>
      <c r="O15" s="12"/>
      <c r="P15" s="12"/>
      <c r="Q15" s="12"/>
      <c r="R15" s="12"/>
      <c r="S15" s="12"/>
      <c r="T15" s="12"/>
      <c r="U15" s="12"/>
      <c r="V15" s="12"/>
      <c r="W15" s="12"/>
      <c r="X15" s="37"/>
    </row>
    <row r="16" spans="1:24">
      <c r="B16" s="16" t="e">
        <f>MLIST!#REF!</f>
        <v>#REF!</v>
      </c>
      <c r="E16" s="559"/>
      <c r="F16" s="12" t="s">
        <v>61</v>
      </c>
      <c r="G16" s="89">
        <v>0.72</v>
      </c>
      <c r="H16" s="89">
        <v>0.72</v>
      </c>
      <c r="I16" s="89">
        <v>0.72</v>
      </c>
      <c r="J16" s="89">
        <v>0.61</v>
      </c>
      <c r="K16" s="89">
        <v>0.61</v>
      </c>
      <c r="L16" s="89">
        <v>0.61</v>
      </c>
      <c r="M16" s="89">
        <v>0.61</v>
      </c>
      <c r="N16" s="89">
        <v>0.68</v>
      </c>
      <c r="O16" s="89">
        <v>0.68</v>
      </c>
      <c r="P16" s="89">
        <v>0.49</v>
      </c>
      <c r="Q16" s="89">
        <v>0.62</v>
      </c>
      <c r="R16" s="89">
        <v>0.62</v>
      </c>
      <c r="S16" s="89">
        <v>0.56000000000000005</v>
      </c>
      <c r="T16" s="89">
        <v>0.49</v>
      </c>
      <c r="U16" s="89">
        <v>0.56000000000000005</v>
      </c>
      <c r="V16" s="89">
        <v>0.59</v>
      </c>
      <c r="W16" s="89">
        <v>0.6</v>
      </c>
      <c r="X16" s="90">
        <v>0.67</v>
      </c>
    </row>
    <row r="17" spans="2:24">
      <c r="B17" s="16" t="str">
        <f>MLIST!D17</f>
        <v>Data Centers-NR</v>
      </c>
      <c r="C17" t="s">
        <v>27</v>
      </c>
      <c r="E17" s="559"/>
      <c r="F17" s="12" t="s">
        <v>62</v>
      </c>
      <c r="G17" s="89">
        <f>CHAR!C19</f>
        <v>9.379008321141083E-2</v>
      </c>
      <c r="H17" s="89">
        <f>CHAR!D19</f>
        <v>5.7141018201974592E-2</v>
      </c>
      <c r="I17" s="89">
        <f>CHAR!E19</f>
        <v>6.3540893141458221E-2</v>
      </c>
      <c r="J17" s="89">
        <f>CHAR!F19</f>
        <v>0.52114684573848291</v>
      </c>
      <c r="K17" s="89">
        <f>CHAR!G19</f>
        <v>0.64094486042254439</v>
      </c>
      <c r="L17" s="89">
        <f>CHAR!H19</f>
        <v>0.56159710090996928</v>
      </c>
      <c r="M17" s="89">
        <f>CHAR!I19</f>
        <v>0.19952525247533903</v>
      </c>
      <c r="N17" s="89">
        <f>CHAR!J19</f>
        <v>0.22286467137317267</v>
      </c>
      <c r="O17" s="89">
        <f>CHAR!K19</f>
        <v>0.15885643507420852</v>
      </c>
      <c r="P17" s="89">
        <f>CHAR!L19</f>
        <v>0.52114684573848291</v>
      </c>
      <c r="Q17" s="89">
        <f>CHAR!M19</f>
        <v>1.5377816133020691E-2</v>
      </c>
      <c r="R17" s="89">
        <f>CHAR!N19</f>
        <v>0</v>
      </c>
      <c r="S17" s="89">
        <f>CHAR!O19</f>
        <v>5.5212362541074519E-2</v>
      </c>
      <c r="T17" s="89">
        <f>CHAR!P19</f>
        <v>0.34342063041492848</v>
      </c>
      <c r="U17" s="89">
        <f>CHAR!Q19</f>
        <v>0.10311447532768504</v>
      </c>
      <c r="V17" s="89">
        <f>CHAR!R19</f>
        <v>5.6083613809662864E-3</v>
      </c>
      <c r="W17" s="89">
        <f>CHAR!S19</f>
        <v>5.6083613809662864E-3</v>
      </c>
      <c r="X17" s="90">
        <f>CHAR!T19</f>
        <v>0.24031041917780901</v>
      </c>
    </row>
    <row r="18" spans="2:24">
      <c r="B18" s="16" t="str">
        <f>MLIST!D18</f>
        <v>Monitor-NR</v>
      </c>
      <c r="C18" t="s">
        <v>27</v>
      </c>
      <c r="E18" s="559"/>
      <c r="F18" s="12" t="s">
        <v>63</v>
      </c>
      <c r="G18" s="89">
        <v>0.5</v>
      </c>
      <c r="H18" s="89">
        <v>0.5</v>
      </c>
      <c r="I18" s="89">
        <v>0.5</v>
      </c>
      <c r="J18" s="89">
        <v>0.9</v>
      </c>
      <c r="K18" s="89">
        <v>0.9</v>
      </c>
      <c r="L18" s="89">
        <v>0.9</v>
      </c>
      <c r="M18" s="89">
        <v>0.5</v>
      </c>
      <c r="N18" s="89">
        <v>0.5</v>
      </c>
      <c r="O18" s="89">
        <v>0.5</v>
      </c>
      <c r="P18" s="89">
        <v>0.9</v>
      </c>
      <c r="Q18" s="89">
        <v>0.9</v>
      </c>
      <c r="R18" s="89">
        <v>0.9</v>
      </c>
      <c r="S18" s="89">
        <v>0.9</v>
      </c>
      <c r="T18" s="89">
        <v>0.9</v>
      </c>
      <c r="U18" s="89">
        <v>0.5</v>
      </c>
      <c r="V18" s="89">
        <v>0.5</v>
      </c>
      <c r="W18" s="89">
        <v>0.5</v>
      </c>
      <c r="X18" s="90">
        <v>0.9</v>
      </c>
    </row>
    <row r="19" spans="2:24">
      <c r="B19" s="16" t="e">
        <f>MLIST!#REF!</f>
        <v>#REF!</v>
      </c>
      <c r="E19" s="559"/>
      <c r="F19" s="12" t="s">
        <v>64</v>
      </c>
      <c r="G19" s="86">
        <f t="shared" ref="G19:X19" si="1">G16*G17*(1-G18)</f>
        <v>3.37644299561079E-2</v>
      </c>
      <c r="H19" s="86">
        <f t="shared" si="1"/>
        <v>2.0570766552710854E-2</v>
      </c>
      <c r="I19" s="86">
        <f t="shared" si="1"/>
        <v>2.2874721530924957E-2</v>
      </c>
      <c r="J19" s="86">
        <f t="shared" si="1"/>
        <v>3.1789957590047449E-2</v>
      </c>
      <c r="K19" s="86">
        <f t="shared" si="1"/>
        <v>3.9097636485775196E-2</v>
      </c>
      <c r="L19" s="86">
        <f t="shared" si="1"/>
        <v>3.4257423155508122E-2</v>
      </c>
      <c r="M19" s="86">
        <f t="shared" si="1"/>
        <v>6.0855202004978404E-2</v>
      </c>
      <c r="N19" s="86">
        <f t="shared" si="1"/>
        <v>7.5773988266878714E-2</v>
      </c>
      <c r="O19" s="86">
        <f t="shared" si="1"/>
        <v>5.4011187925230901E-2</v>
      </c>
      <c r="P19" s="86">
        <f t="shared" si="1"/>
        <v>2.5536195441185655E-2</v>
      </c>
      <c r="Q19" s="86">
        <f t="shared" si="1"/>
        <v>9.5342460024728268E-4</v>
      </c>
      <c r="R19" s="86">
        <f t="shared" si="1"/>
        <v>0</v>
      </c>
      <c r="S19" s="86">
        <f t="shared" si="1"/>
        <v>3.0918923023001725E-3</v>
      </c>
      <c r="T19" s="86">
        <f t="shared" si="1"/>
        <v>1.6827610890331492E-2</v>
      </c>
      <c r="U19" s="86">
        <f t="shared" si="1"/>
        <v>2.8872053091751816E-2</v>
      </c>
      <c r="V19" s="86">
        <f t="shared" si="1"/>
        <v>1.6544666073850544E-3</v>
      </c>
      <c r="W19" s="86">
        <f t="shared" si="1"/>
        <v>1.6825084142898859E-3</v>
      </c>
      <c r="X19" s="93">
        <f t="shared" si="1"/>
        <v>1.6100798084913201E-2</v>
      </c>
    </row>
    <row r="20" spans="2:24">
      <c r="B20" s="16" t="str">
        <f>MLIST!D19</f>
        <v>Desktop-NR</v>
      </c>
      <c r="E20" s="559"/>
      <c r="F20" s="12"/>
      <c r="G20" s="12"/>
      <c r="H20" s="12"/>
      <c r="I20" s="12"/>
      <c r="J20" s="12"/>
      <c r="K20" s="12"/>
      <c r="L20" s="12"/>
      <c r="M20" s="12"/>
      <c r="N20" s="12"/>
      <c r="O20" s="12"/>
      <c r="P20" s="12"/>
      <c r="Q20" s="12"/>
      <c r="R20" s="12"/>
      <c r="S20" s="12"/>
      <c r="T20" s="12"/>
      <c r="U20" s="12"/>
      <c r="V20" s="12"/>
      <c r="W20" s="12"/>
      <c r="X20" s="37"/>
    </row>
    <row r="21" spans="2:24">
      <c r="B21" s="16" t="str">
        <f>MLIST!D20</f>
        <v>Pre-Rinse Spray Valve-Retro</v>
      </c>
      <c r="E21" s="559"/>
      <c r="F21" s="12" t="s">
        <v>66</v>
      </c>
      <c r="G21" s="89">
        <v>0.05</v>
      </c>
      <c r="H21" s="89">
        <v>0.05</v>
      </c>
      <c r="I21" s="89">
        <v>0.05</v>
      </c>
      <c r="J21" s="89">
        <v>0.05</v>
      </c>
      <c r="K21" s="89">
        <v>0.05</v>
      </c>
      <c r="L21" s="89">
        <v>0.05</v>
      </c>
      <c r="M21" s="89">
        <v>0.05</v>
      </c>
      <c r="N21" s="89">
        <v>0.05</v>
      </c>
      <c r="O21" s="89">
        <v>0.05</v>
      </c>
      <c r="P21" s="89">
        <v>0.05</v>
      </c>
      <c r="Q21" s="89">
        <v>0.05</v>
      </c>
      <c r="R21" s="89">
        <v>0.05</v>
      </c>
      <c r="S21" s="89">
        <v>0.05</v>
      </c>
      <c r="T21" s="89">
        <v>0.05</v>
      </c>
      <c r="U21" s="89">
        <v>0.05</v>
      </c>
      <c r="V21" s="89">
        <v>0.05</v>
      </c>
      <c r="W21" s="89">
        <v>0.05</v>
      </c>
      <c r="X21" s="90">
        <v>0.05</v>
      </c>
    </row>
    <row r="22" spans="2:24">
      <c r="B22" s="16" t="e">
        <f>MLIST!#REF!</f>
        <v>#REF!</v>
      </c>
      <c r="E22" s="559"/>
      <c r="F22" s="12"/>
      <c r="G22" s="12"/>
      <c r="H22" s="12"/>
      <c r="I22" s="12"/>
      <c r="J22" s="12"/>
      <c r="K22" s="12"/>
      <c r="L22" s="12"/>
      <c r="M22" s="12"/>
      <c r="N22" s="12"/>
      <c r="O22" s="12"/>
      <c r="P22" s="12"/>
      <c r="Q22" s="12"/>
      <c r="R22" s="12"/>
      <c r="S22" s="12"/>
      <c r="T22" s="12"/>
      <c r="U22" s="12"/>
      <c r="V22" s="12"/>
      <c r="W22" s="12"/>
      <c r="X22" s="37"/>
    </row>
    <row r="23" spans="2:24">
      <c r="B23" s="16" t="str">
        <f>MLIST!D21</f>
        <v>Cooking Equipment-NR</v>
      </c>
      <c r="C23" t="s">
        <v>28</v>
      </c>
      <c r="E23" s="559"/>
      <c r="F23" s="12"/>
      <c r="G23" s="12"/>
      <c r="H23" s="12"/>
      <c r="I23" s="12"/>
      <c r="J23" s="12"/>
      <c r="K23" s="12"/>
      <c r="L23" s="12"/>
      <c r="M23" s="12"/>
      <c r="N23" s="12"/>
      <c r="O23" s="12"/>
      <c r="P23" s="12"/>
      <c r="Q23" s="12"/>
      <c r="R23" s="12"/>
      <c r="S23" s="12"/>
      <c r="T23" s="12"/>
      <c r="U23" s="12"/>
      <c r="V23" s="12"/>
      <c r="W23" s="12"/>
      <c r="X23" s="37"/>
    </row>
    <row r="24" spans="2:24">
      <c r="B24" s="16" t="str">
        <f>MLIST!D22</f>
        <v>DHP-New</v>
      </c>
      <c r="C24" t="s">
        <v>28</v>
      </c>
      <c r="E24" s="560"/>
      <c r="F24" s="38" t="s">
        <v>65</v>
      </c>
      <c r="G24" s="94">
        <f>G14+G19+G21</f>
        <v>0.19376442995610788</v>
      </c>
      <c r="H24" s="94">
        <f t="shared" ref="H24:X24" si="2">H14+H19+H21</f>
        <v>0.18057076655271087</v>
      </c>
      <c r="I24" s="94">
        <f t="shared" si="2"/>
        <v>0.18287472153092493</v>
      </c>
      <c r="J24" s="94">
        <f t="shared" si="2"/>
        <v>0.41178995759004744</v>
      </c>
      <c r="K24" s="94">
        <f t="shared" si="2"/>
        <v>0.41909763648577519</v>
      </c>
      <c r="L24" s="94">
        <f t="shared" si="2"/>
        <v>0.24925742315550814</v>
      </c>
      <c r="M24" s="94">
        <f t="shared" si="2"/>
        <v>0.44085520200497841</v>
      </c>
      <c r="N24" s="94">
        <f t="shared" si="2"/>
        <v>0.21577398826687871</v>
      </c>
      <c r="O24" s="94">
        <f t="shared" si="2"/>
        <v>0.19401118792523092</v>
      </c>
      <c r="P24" s="94">
        <f t="shared" si="2"/>
        <v>0.4955361954411856</v>
      </c>
      <c r="Q24" s="94">
        <f t="shared" si="2"/>
        <v>0.2124534246002473</v>
      </c>
      <c r="R24" s="94">
        <f t="shared" si="2"/>
        <v>0.22000000000000003</v>
      </c>
      <c r="S24" s="94">
        <f t="shared" si="2"/>
        <v>0.22809189230230015</v>
      </c>
      <c r="T24" s="94">
        <f t="shared" si="2"/>
        <v>0.25682761089033151</v>
      </c>
      <c r="U24" s="94">
        <f t="shared" si="2"/>
        <v>0.20387205309175183</v>
      </c>
      <c r="V24" s="94">
        <f t="shared" si="2"/>
        <v>0.17165446660738504</v>
      </c>
      <c r="W24" s="94">
        <f t="shared" si="2"/>
        <v>0.17168250841428989</v>
      </c>
      <c r="X24" s="95">
        <f t="shared" si="2"/>
        <v>0.23410079808491319</v>
      </c>
    </row>
    <row r="25" spans="2:24">
      <c r="B25" s="16" t="e">
        <f>MLIST!#REF!</f>
        <v>#REF!</v>
      </c>
    </row>
    <row r="26" spans="2:24">
      <c r="B26" s="16" t="str">
        <f>MLIST!D23</f>
        <v>DHP-Retro</v>
      </c>
      <c r="C26" t="s">
        <v>29</v>
      </c>
      <c r="F26" s="98" t="s">
        <v>240</v>
      </c>
      <c r="G26" s="102">
        <v>0.45</v>
      </c>
      <c r="H26" s="102">
        <v>0.45</v>
      </c>
      <c r="I26" s="102">
        <v>0.45</v>
      </c>
      <c r="J26" s="102">
        <v>0.2</v>
      </c>
      <c r="K26" s="102">
        <v>0.2</v>
      </c>
      <c r="L26" s="102">
        <v>0.2</v>
      </c>
      <c r="M26" s="102">
        <v>0.2</v>
      </c>
      <c r="N26" s="102">
        <v>0.45</v>
      </c>
      <c r="O26" s="102">
        <v>0.9</v>
      </c>
      <c r="P26" s="102">
        <v>0.2</v>
      </c>
      <c r="Q26" s="102">
        <v>0.1</v>
      </c>
      <c r="R26" s="102">
        <v>0.1</v>
      </c>
      <c r="S26" s="102">
        <v>0.25</v>
      </c>
      <c r="T26" s="102">
        <v>0.5</v>
      </c>
      <c r="U26" s="102">
        <v>0.75</v>
      </c>
      <c r="V26" s="102">
        <v>0.25</v>
      </c>
      <c r="W26" s="102">
        <v>0.2</v>
      </c>
      <c r="X26" s="102">
        <v>0.3</v>
      </c>
    </row>
    <row r="27" spans="2:24">
      <c r="B27" s="16" t="str">
        <f>MLIST!D24</f>
        <v>Glass-New</v>
      </c>
      <c r="C27" t="s">
        <v>29</v>
      </c>
      <c r="F27" s="12"/>
      <c r="G27" s="89"/>
      <c r="H27" s="89"/>
      <c r="I27" s="89"/>
      <c r="J27" s="89"/>
      <c r="K27" s="89"/>
      <c r="L27" s="89"/>
      <c r="M27" s="89"/>
      <c r="N27" s="89"/>
      <c r="O27" s="89"/>
      <c r="P27" s="89"/>
      <c r="Q27" s="89"/>
      <c r="R27" s="89"/>
      <c r="S27" s="89"/>
      <c r="T27" s="89"/>
      <c r="U27" s="89"/>
      <c r="V27" s="89"/>
      <c r="W27" s="89"/>
      <c r="X27" s="90"/>
    </row>
    <row r="28" spans="2:24">
      <c r="B28" s="16" t="e">
        <f>MLIST!#REF!</f>
        <v>#REF!</v>
      </c>
    </row>
    <row r="29" spans="2:24">
      <c r="B29" s="16" t="str">
        <f>MLIST!D25</f>
        <v>Glass-NR</v>
      </c>
      <c r="C29" t="s">
        <v>57</v>
      </c>
    </row>
    <row r="30" spans="2:24">
      <c r="B30" s="16" t="str">
        <f>MLIST!D26</f>
        <v>ControllerLite-Retro</v>
      </c>
      <c r="C30" t="s">
        <v>29</v>
      </c>
    </row>
    <row r="31" spans="2:24">
      <c r="B31" s="16" t="str">
        <f>MLIST!D27</f>
        <v>Advanced Rooftop Controller-New</v>
      </c>
      <c r="C31" t="s">
        <v>71</v>
      </c>
    </row>
    <row r="32" spans="2:24">
      <c r="B32" s="16" t="str">
        <f>MLIST!D28</f>
        <v>Advanced Rooftop Controller-NR</v>
      </c>
    </row>
    <row r="33" spans="2:3">
      <c r="B33" s="16" t="str">
        <f>MLIST!D29</f>
        <v>Advanced Rooftop Controller-Retro</v>
      </c>
    </row>
    <row r="34" spans="2:3">
      <c r="B34" s="16" t="str">
        <f>MLIST!D30</f>
        <v>Variable Speed Chiller-New</v>
      </c>
      <c r="C34" t="s">
        <v>31</v>
      </c>
    </row>
    <row r="35" spans="2:3">
      <c r="B35" s="16" t="str">
        <f>MLIST!D31</f>
        <v>Variable Speed Chiller-NR</v>
      </c>
      <c r="C35" t="s">
        <v>32</v>
      </c>
    </row>
    <row r="36" spans="2:3">
      <c r="B36" s="16" t="str">
        <f>MLIST!D32</f>
        <v>Commercial EM-New</v>
      </c>
      <c r="C36" t="s">
        <v>32</v>
      </c>
    </row>
    <row r="37" spans="2:3">
      <c r="B37" s="16" t="e">
        <f>MLIST!#REF!</f>
        <v>#REF!</v>
      </c>
      <c r="C37" t="s">
        <v>47</v>
      </c>
    </row>
    <row r="38" spans="2:3">
      <c r="B38" s="16" t="str">
        <f>MLIST!D33</f>
        <v>Commercial EM-NR</v>
      </c>
      <c r="C38" t="s">
        <v>38</v>
      </c>
    </row>
    <row r="39" spans="2:3">
      <c r="B39" s="16" t="str">
        <f>MLIST!D34</f>
        <v>Commercial EM-Retro</v>
      </c>
    </row>
    <row r="40" spans="2:3">
      <c r="B40" s="16" t="str">
        <f>MLIST!D35</f>
        <v>Evaporative Assist Cooling-New</v>
      </c>
    </row>
    <row r="41" spans="2:3">
      <c r="B41" s="16" t="str">
        <f>MLIST!D36</f>
        <v>Evaporative Assist Cooling-NR</v>
      </c>
      <c r="C41" t="s">
        <v>31</v>
      </c>
    </row>
    <row r="42" spans="2:3">
      <c r="B42" s="16" t="str">
        <f>MLIST!D37</f>
        <v>Economizer-Retro</v>
      </c>
      <c r="C42" t="s">
        <v>31</v>
      </c>
    </row>
    <row r="43" spans="2:3">
      <c r="B43" s="16" t="e">
        <f>MLIST!#REF!</f>
        <v>#REF!</v>
      </c>
    </row>
    <row r="44" spans="2:3">
      <c r="B44" s="16" t="str">
        <f>MLIST!D38</f>
        <v>Demand Control Ventilation-New</v>
      </c>
      <c r="C44" t="s">
        <v>49</v>
      </c>
    </row>
    <row r="45" spans="2:3">
      <c r="B45" s="16" t="e">
        <f>MLIST!#REF!</f>
        <v>#REF!</v>
      </c>
      <c r="C45" t="s">
        <v>49</v>
      </c>
    </row>
    <row r="46" spans="2:3">
      <c r="B46" s="16" t="e">
        <f>MLIST!#REF!</f>
        <v>#REF!</v>
      </c>
    </row>
    <row r="47" spans="2:3">
      <c r="B47" s="16" t="str">
        <f>MLIST!D39</f>
        <v>Demand Control Ventilation-NR</v>
      </c>
      <c r="C47" t="s">
        <v>50</v>
      </c>
    </row>
    <row r="48" spans="2:3">
      <c r="B48" s="16" t="str">
        <f>MLIST!D40</f>
        <v>Demand Control Ventilation-Retro</v>
      </c>
      <c r="C48" t="s">
        <v>50</v>
      </c>
    </row>
    <row r="49" spans="2:2">
      <c r="B49" s="16" t="str">
        <f>MLIST!D41</f>
        <v>Premium Fume Hood-NR</v>
      </c>
    </row>
    <row r="50" spans="2:2">
      <c r="B50" s="16" t="e">
        <f>MLIST!#REF!</f>
        <v>#REF!</v>
      </c>
    </row>
    <row r="51" spans="2:2">
      <c r="B51" s="16" t="e">
        <f>MLIST!#REF!</f>
        <v>#REF!</v>
      </c>
    </row>
    <row r="52" spans="2:2">
      <c r="B52" s="16" t="e">
        <f>MLIST!#REF!</f>
        <v>#REF!</v>
      </c>
    </row>
    <row r="53" spans="2:2">
      <c r="B53" s="16" t="e">
        <f>MLIST!#REF!</f>
        <v>#REF!</v>
      </c>
    </row>
    <row r="54" spans="2:2">
      <c r="B54" s="16" t="e">
        <f>MLIST!#REF!</f>
        <v>#REF!</v>
      </c>
    </row>
    <row r="55" spans="2:2">
      <c r="B55" s="16" t="e">
        <f>MLIST!#REF!</f>
        <v>#REF!</v>
      </c>
    </row>
    <row r="56" spans="2:2">
      <c r="B56" s="16" t="e">
        <f>MLIST!#REF!</f>
        <v>#REF!</v>
      </c>
    </row>
    <row r="57" spans="2:2">
      <c r="B57" s="16" t="e">
        <f>MLIST!#REF!</f>
        <v>#REF!</v>
      </c>
    </row>
    <row r="58" spans="2:2">
      <c r="B58" s="16" t="e">
        <f>MLIST!#REF!</f>
        <v>#REF!</v>
      </c>
    </row>
    <row r="59" spans="2:2">
      <c r="B59" s="16" t="e">
        <f>MLIST!#REF!</f>
        <v>#REF!</v>
      </c>
    </row>
    <row r="60" spans="2:2">
      <c r="B60" s="16" t="e">
        <f>MLIST!#REF!</f>
        <v>#REF!</v>
      </c>
    </row>
    <row r="61" spans="2:2">
      <c r="B61" s="16" t="str">
        <f>MLIST!D42</f>
        <v>DCV Restaurant Hood-Retro</v>
      </c>
    </row>
    <row r="62" spans="2:2">
      <c r="B62" s="16" t="e">
        <f>MLIST!#REF!</f>
        <v>#REF!</v>
      </c>
    </row>
    <row r="63" spans="2:2">
      <c r="B63" s="16" t="e">
        <f>MLIST!#REF!</f>
        <v>#REF!</v>
      </c>
    </row>
    <row r="64" spans="2:2">
      <c r="B64" s="16" t="e">
        <f>MLIST!#REF!</f>
        <v>#REF!</v>
      </c>
    </row>
    <row r="65" spans="2:3">
      <c r="B65" s="16" t="e">
        <f>MLIST!#REF!</f>
        <v>#REF!</v>
      </c>
    </row>
    <row r="66" spans="2:3">
      <c r="B66" s="16" t="e">
        <f>MLIST!#REF!</f>
        <v>#REF!</v>
      </c>
    </row>
    <row r="67" spans="2:3">
      <c r="B67" s="16" t="e">
        <f>MLIST!#REF!</f>
        <v>#REF!</v>
      </c>
    </row>
    <row r="68" spans="2:3">
      <c r="B68" s="16" t="e">
        <f>MLIST!#REF!</f>
        <v>#REF!</v>
      </c>
    </row>
    <row r="69" spans="2:3">
      <c r="B69" s="16" t="e">
        <f>MLIST!#REF!</f>
        <v>#REF!</v>
      </c>
    </row>
    <row r="70" spans="2:3">
      <c r="B70" s="16" t="e">
        <f>MLIST!#REF!</f>
        <v>#REF!</v>
      </c>
    </row>
    <row r="71" spans="2:3">
      <c r="B71" s="16" t="e">
        <f>MLIST!#REF!</f>
        <v>#REF!</v>
      </c>
    </row>
    <row r="72" spans="2:3">
      <c r="B72" s="16" t="str">
        <f>MLIST!D43</f>
        <v>DCV Parking Garage-Retro</v>
      </c>
    </row>
    <row r="73" spans="2:3">
      <c r="B73" s="16" t="str">
        <f>MLIST!D44</f>
        <v>Weatherization - School-Retro</v>
      </c>
    </row>
    <row r="74" spans="2:3">
      <c r="B74" s="16" t="e">
        <f>MLIST!#REF!</f>
        <v>#REF!</v>
      </c>
    </row>
    <row r="75" spans="2:3">
      <c r="B75" s="16" t="str">
        <f>MLIST!D45</f>
        <v>Energy Recovery Ventilator-NR</v>
      </c>
    </row>
    <row r="76" spans="2:3">
      <c r="B76" s="16" t="str">
        <f>MLIST!D46</f>
        <v>AC Heat Recovery for Water Heating-NR</v>
      </c>
    </row>
    <row r="77" spans="2:3">
      <c r="B77" s="16" t="str">
        <f>MLIST!D47</f>
        <v>Room Occupancy Sensors in Lodging-Retro</v>
      </c>
    </row>
    <row r="78" spans="2:3">
      <c r="B78" s="16" t="str">
        <f>MLIST!D48</f>
        <v>Chiller - chilled water retrofit-Retro</v>
      </c>
    </row>
    <row r="79" spans="2:3">
      <c r="B79" s="16" t="s">
        <v>67</v>
      </c>
      <c r="C79" t="s">
        <v>247</v>
      </c>
    </row>
    <row r="80" spans="2:3">
      <c r="B80" s="16" t="s">
        <v>112</v>
      </c>
      <c r="C80" t="s">
        <v>247</v>
      </c>
    </row>
    <row r="81" spans="2:2">
      <c r="B81" s="16" t="e">
        <f>MLIST!#REF!</f>
        <v>#REF!</v>
      </c>
    </row>
    <row r="82" spans="2:2">
      <c r="B82" s="16" t="str">
        <f>MLIST!D50</f>
        <v>Pool Blankets-Retro</v>
      </c>
    </row>
    <row r="83" spans="2:2">
      <c r="B83" s="16" t="e">
        <f>MLIST!#REF!</f>
        <v>#REF!</v>
      </c>
    </row>
    <row r="84" spans="2:2">
      <c r="B84" s="16" t="e">
        <f>MLIST!#REF!</f>
        <v>#REF!</v>
      </c>
    </row>
    <row r="85" spans="2:2">
      <c r="B85" s="16" t="str">
        <f>MLIST!D51</f>
        <v>Web-Enabled Thermostats-Retro</v>
      </c>
    </row>
    <row r="86" spans="2:2">
      <c r="B86" s="16" t="e">
        <f>MLIST!#REF!</f>
        <v>#REF!</v>
      </c>
    </row>
    <row r="87" spans="2:2">
      <c r="B87" s="16" t="e">
        <f>MLIST!#REF!</f>
        <v>#REF!</v>
      </c>
    </row>
    <row r="88" spans="2:2">
      <c r="B88" s="16" t="str">
        <f>MLIST!D52</f>
        <v>Garage CO2 ventilation-Retro</v>
      </c>
    </row>
    <row r="89" spans="2:2">
      <c r="B89" s="16" t="e">
        <f>MLIST!#REF!</f>
        <v>#REF!</v>
      </c>
    </row>
    <row r="90" spans="2:2">
      <c r="B90" s="16" t="e">
        <f>MLIST!#REF!</f>
        <v>#REF!</v>
      </c>
    </row>
    <row r="91" spans="2:2">
      <c r="B91" s="16" t="e">
        <f>MLIST!#REF!</f>
        <v>#REF!</v>
      </c>
    </row>
    <row r="92" spans="2:2">
      <c r="B92" s="16" t="e">
        <f>MLIST!#REF!</f>
        <v>#REF!</v>
      </c>
    </row>
    <row r="93" spans="2:2">
      <c r="B93" s="16" t="e">
        <f>MLIST!#REF!</f>
        <v>#REF!</v>
      </c>
    </row>
    <row r="94" spans="2:2">
      <c r="B94" s="16" t="str">
        <f>MLIST!D53</f>
        <v>Circ Pump ECM and drive-Retro</v>
      </c>
    </row>
    <row r="95" spans="2:2">
      <c r="B95" s="16" t="str">
        <f>MLIST!D54</f>
        <v>VRF-New</v>
      </c>
    </row>
    <row r="96" spans="2:2">
      <c r="B96" s="16">
        <f>APPLIC!B104</f>
        <v>0</v>
      </c>
    </row>
    <row r="97" spans="2:2">
      <c r="B97" s="16">
        <f>APPLIC!B105</f>
        <v>0</v>
      </c>
    </row>
    <row r="98" spans="2:2">
      <c r="B98" s="16">
        <f>APPLIC!B106</f>
        <v>0</v>
      </c>
    </row>
    <row r="99" spans="2:2">
      <c r="B99" s="16">
        <f>APPLIC!B107</f>
        <v>0</v>
      </c>
    </row>
    <row r="100" spans="2:2">
      <c r="B100" s="16">
        <f>APPLIC!B108</f>
        <v>0</v>
      </c>
    </row>
    <row r="101" spans="2:2">
      <c r="B101" s="16">
        <f>APPLIC!B109</f>
        <v>0</v>
      </c>
    </row>
    <row r="102" spans="2:2">
      <c r="B102" s="16">
        <f>APPLIC!B110</f>
        <v>0</v>
      </c>
    </row>
    <row r="103" spans="2:2">
      <c r="B103" s="16">
        <f>APPLIC!B111</f>
        <v>0</v>
      </c>
    </row>
    <row r="104" spans="2:2">
      <c r="B104" s="16">
        <f>APPLIC!B112</f>
        <v>0</v>
      </c>
    </row>
    <row r="105" spans="2:2">
      <c r="B105" s="16">
        <f>APPLIC!B113</f>
        <v>0</v>
      </c>
    </row>
  </sheetData>
  <mergeCells count="6">
    <mergeCell ref="E10:E24"/>
    <mergeCell ref="U8:V8"/>
    <mergeCell ref="G8:I8"/>
    <mergeCell ref="J8:M8"/>
    <mergeCell ref="N8:O8"/>
    <mergeCell ref="Q8:R8"/>
  </mergeCells>
  <phoneticPr fontId="0" type="noConversion"/>
  <pageMargins left="0.75" right="0.75" top="1" bottom="1" header="0.5" footer="0.5"/>
  <headerFooter alignWithMargins="0"/>
  <legacyDrawing r:id="rId1"/>
</worksheet>
</file>

<file path=xl/worksheets/sheet12.xml><?xml version="1.0" encoding="utf-8"?>
<worksheet xmlns="http://schemas.openxmlformats.org/spreadsheetml/2006/main" xmlns:r="http://schemas.openxmlformats.org/officeDocument/2006/relationships">
  <sheetPr codeName="Sheet7" enableFormatConditionsCalculation="0">
    <tabColor indexed="42"/>
    <pageSetUpPr fitToPage="1"/>
  </sheetPr>
  <dimension ref="A1:AG175"/>
  <sheetViews>
    <sheetView zoomScale="88" zoomScaleNormal="58" zoomScaleSheetLayoutView="55" workbookViewId="0">
      <pane xSplit="2" ySplit="9" topLeftCell="C69" activePane="bottomRight" state="frozen"/>
      <selection pane="topRight" activeCell="C1" sqref="C1"/>
      <selection pane="bottomLeft" activeCell="A10" sqref="A10"/>
      <selection pane="bottomRight" activeCell="AF120" sqref="AF120"/>
    </sheetView>
  </sheetViews>
  <sheetFormatPr defaultRowHeight="12.75"/>
  <cols>
    <col min="1" max="1" width="14" customWidth="1"/>
    <col min="2" max="2" width="28.5703125" customWidth="1"/>
    <col min="3" max="3" width="9.85546875" customWidth="1"/>
    <col min="4" max="9" width="9.28515625" bestFit="1" customWidth="1"/>
    <col min="10" max="11" width="9.28515625" customWidth="1"/>
    <col min="12" max="12" width="12.5703125" customWidth="1"/>
    <col min="13" max="20" width="9.28515625" customWidth="1"/>
    <col min="21" max="21" width="8" style="7" customWidth="1"/>
    <col min="22" max="22" width="7.7109375" style="12" customWidth="1"/>
    <col min="23" max="23" width="7.140625" customWidth="1"/>
    <col min="24" max="24" width="8" customWidth="1"/>
    <col min="25" max="25" width="17.140625" customWidth="1"/>
    <col min="26" max="26" width="17.42578125" customWidth="1"/>
    <col min="27" max="27" width="18" customWidth="1"/>
    <col min="28" max="28" width="17.140625" customWidth="1"/>
    <col min="29" max="29" width="17.85546875" customWidth="1"/>
    <col min="30" max="30" width="16.28515625" customWidth="1"/>
    <col min="31" max="31" width="13.5703125" customWidth="1"/>
    <col min="32" max="32" width="12.42578125" customWidth="1"/>
  </cols>
  <sheetData>
    <row r="1" spans="1:31">
      <c r="A1" s="28"/>
    </row>
    <row r="2" spans="1:31">
      <c r="A2" s="28" t="s">
        <v>778</v>
      </c>
    </row>
    <row r="3" spans="1:31">
      <c r="A3" s="28"/>
      <c r="F3" s="401" t="s">
        <v>822</v>
      </c>
    </row>
    <row r="4" spans="1:31">
      <c r="A4" s="28"/>
    </row>
    <row r="5" spans="1:31">
      <c r="A5" s="28"/>
    </row>
    <row r="6" spans="1:31">
      <c r="A6" s="28"/>
    </row>
    <row r="7" spans="1:31">
      <c r="A7" t="s">
        <v>6</v>
      </c>
    </row>
    <row r="8" spans="1:31">
      <c r="A8" s="378" t="s">
        <v>2</v>
      </c>
      <c r="B8" s="30"/>
    </row>
    <row r="9" spans="1:31">
      <c r="B9" s="30"/>
    </row>
    <row r="10" spans="1:31" ht="15">
      <c r="A10" s="376" t="s">
        <v>781</v>
      </c>
      <c r="B10" s="30"/>
    </row>
    <row r="11" spans="1:31">
      <c r="B11" s="7"/>
      <c r="C11" s="493"/>
      <c r="D11" s="493"/>
      <c r="E11" s="493"/>
      <c r="F11" s="493"/>
      <c r="G11" s="493"/>
      <c r="H11" s="493"/>
      <c r="I11" s="493"/>
      <c r="J11" s="493"/>
      <c r="K11" s="493"/>
      <c r="L11" s="493"/>
      <c r="M11" s="493"/>
      <c r="N11" s="494"/>
      <c r="O11" s="493"/>
      <c r="P11" s="493"/>
      <c r="Q11" s="493"/>
      <c r="R11" s="493"/>
      <c r="S11" s="493"/>
      <c r="T11" s="493"/>
      <c r="V11" s="16"/>
      <c r="W11" s="7"/>
      <c r="X11" s="7"/>
      <c r="Y11" s="7"/>
    </row>
    <row r="12" spans="1:31">
      <c r="A12" s="377" t="s">
        <v>779</v>
      </c>
      <c r="B12" s="7"/>
      <c r="C12" s="234"/>
      <c r="D12" s="7"/>
      <c r="E12" s="7"/>
      <c r="F12" s="25"/>
      <c r="G12" s="7"/>
      <c r="H12" s="7"/>
      <c r="I12" s="7"/>
      <c r="J12" s="25"/>
      <c r="K12" s="7"/>
      <c r="L12" s="221"/>
      <c r="M12" s="25"/>
      <c r="N12" s="7"/>
      <c r="O12" s="221"/>
      <c r="P12" s="221"/>
      <c r="Q12" s="25"/>
      <c r="R12" s="7"/>
      <c r="S12" s="7"/>
      <c r="T12" s="221"/>
      <c r="V12" s="16"/>
      <c r="W12" s="7"/>
      <c r="X12" s="7"/>
      <c r="Y12" s="7"/>
    </row>
    <row r="13" spans="1:31">
      <c r="A13" s="259" t="str">
        <f>Lookup!C11</f>
        <v>POST2013</v>
      </c>
      <c r="B13" s="265" t="s">
        <v>5</v>
      </c>
      <c r="C13" s="571"/>
      <c r="D13" s="571"/>
      <c r="E13" s="571"/>
      <c r="F13" s="571"/>
      <c r="G13" s="571"/>
      <c r="H13" s="571"/>
      <c r="I13" s="571"/>
      <c r="J13" s="571"/>
      <c r="K13" s="571"/>
      <c r="L13" s="375"/>
      <c r="M13" s="574"/>
      <c r="N13" s="575"/>
      <c r="O13" s="375"/>
      <c r="P13" s="375"/>
      <c r="Q13" s="571"/>
      <c r="R13" s="571"/>
      <c r="S13" s="375"/>
      <c r="T13" s="375"/>
      <c r="V13" s="16"/>
      <c r="W13" s="7"/>
      <c r="X13" s="7"/>
      <c r="Y13" s="7"/>
    </row>
    <row r="14" spans="1:31">
      <c r="A14" s="260" t="s">
        <v>289</v>
      </c>
      <c r="B14" s="260" t="s">
        <v>767</v>
      </c>
      <c r="C14" s="557" t="s">
        <v>256</v>
      </c>
      <c r="D14" s="557"/>
      <c r="E14" s="557"/>
      <c r="F14" s="557" t="s">
        <v>261</v>
      </c>
      <c r="G14" s="557"/>
      <c r="H14" s="557"/>
      <c r="I14" s="557"/>
      <c r="J14" s="572" t="s">
        <v>262</v>
      </c>
      <c r="K14" s="573"/>
      <c r="L14" s="383" t="s">
        <v>264</v>
      </c>
      <c r="M14" s="572" t="s">
        <v>265</v>
      </c>
      <c r="N14" s="573"/>
      <c r="O14" s="383" t="s">
        <v>266</v>
      </c>
      <c r="P14" s="383" t="s">
        <v>267</v>
      </c>
      <c r="Q14" s="557" t="s">
        <v>270</v>
      </c>
      <c r="R14" s="557"/>
      <c r="S14" s="383" t="s">
        <v>311</v>
      </c>
      <c r="T14" s="383" t="s">
        <v>272</v>
      </c>
      <c r="V14" s="16"/>
      <c r="W14" s="7"/>
      <c r="X14" s="7"/>
      <c r="Y14" s="7"/>
      <c r="Z14" s="378" t="s">
        <v>915</v>
      </c>
      <c r="AA14" s="378"/>
      <c r="AB14" s="378" t="s">
        <v>916</v>
      </c>
      <c r="AC14" s="378"/>
    </row>
    <row r="15" spans="1:31">
      <c r="A15" s="196" t="str">
        <f>A13</f>
        <v>POST2013</v>
      </c>
      <c r="B15" s="196" t="s">
        <v>290</v>
      </c>
      <c r="C15" s="568">
        <f>VLOOKUP(C14,'CBSA Data New'!$A$10:$B$21,2,FALSE)</f>
        <v>0.23374291413554329</v>
      </c>
      <c r="D15" s="569"/>
      <c r="E15" s="570"/>
      <c r="F15" s="568">
        <f>'CBSA Data New'!B18</f>
        <v>0.16379453573805774</v>
      </c>
      <c r="G15" s="569"/>
      <c r="H15" s="569"/>
      <c r="I15" s="570"/>
      <c r="J15" s="568">
        <f>'CBSA Data New'!B19</f>
        <v>8.8639553331737689E-2</v>
      </c>
      <c r="K15" s="570"/>
      <c r="L15" s="436">
        <f>'CBSA Data New'!B21</f>
        <v>9.6266945662747766E-2</v>
      </c>
      <c r="M15" s="569">
        <f>'CBSA Data New'!B11</f>
        <v>2.0434554153352484E-2</v>
      </c>
      <c r="N15" s="570"/>
      <c r="O15" s="437">
        <f>'CBSA Data New'!B17</f>
        <v>1.255060122823257E-2</v>
      </c>
      <c r="P15" s="437">
        <f>'CBSA Data New'!B13</f>
        <v>5.5794347273117245E-2</v>
      </c>
      <c r="Q15" s="568">
        <f>'CBSA Data New'!B23</f>
        <v>7.398534349162611E-2</v>
      </c>
      <c r="R15" s="570"/>
      <c r="S15" s="437">
        <f>'CBSA Data New'!B10</f>
        <v>0.12949316922883081</v>
      </c>
      <c r="T15" s="437">
        <f>'CBSA Data New'!B15</f>
        <v>0.12270755891365608</v>
      </c>
      <c r="V15" s="441"/>
      <c r="W15" s="442"/>
      <c r="X15" s="443"/>
      <c r="Y15" s="7"/>
      <c r="Z15" s="486" t="s">
        <v>910</v>
      </c>
      <c r="AA15" s="487"/>
      <c r="AB15" s="487"/>
      <c r="AC15" s="487"/>
      <c r="AD15" s="487"/>
      <c r="AE15" s="487"/>
    </row>
    <row r="16" spans="1:31">
      <c r="A16" s="246" t="s">
        <v>282</v>
      </c>
      <c r="B16" s="246" t="s">
        <v>767</v>
      </c>
      <c r="C16" s="438" t="s">
        <v>274</v>
      </c>
      <c r="D16" s="438" t="s">
        <v>275</v>
      </c>
      <c r="E16" s="438" t="s">
        <v>276</v>
      </c>
      <c r="F16" s="438" t="s">
        <v>721</v>
      </c>
      <c r="G16" s="438" t="s">
        <v>722</v>
      </c>
      <c r="H16" s="438" t="s">
        <v>723</v>
      </c>
      <c r="I16" s="438" t="s">
        <v>724</v>
      </c>
      <c r="J16" s="438" t="s">
        <v>725</v>
      </c>
      <c r="K16" s="438" t="s">
        <v>273</v>
      </c>
      <c r="L16" s="438" t="s">
        <v>264</v>
      </c>
      <c r="M16" s="438" t="s">
        <v>278</v>
      </c>
      <c r="N16" s="438" t="s">
        <v>446</v>
      </c>
      <c r="O16" s="438" t="s">
        <v>266</v>
      </c>
      <c r="P16" s="438" t="s">
        <v>267</v>
      </c>
      <c r="Q16" s="438" t="s">
        <v>268</v>
      </c>
      <c r="R16" s="438" t="s">
        <v>726</v>
      </c>
      <c r="S16" s="438" t="s">
        <v>311</v>
      </c>
      <c r="T16" s="438" t="s">
        <v>272</v>
      </c>
      <c r="U16" s="63"/>
      <c r="V16" s="16"/>
      <c r="W16" s="7"/>
      <c r="X16" s="7"/>
      <c r="Y16" s="7"/>
      <c r="Z16" s="488" t="s">
        <v>911</v>
      </c>
      <c r="AA16" s="488" t="s">
        <v>912</v>
      </c>
      <c r="AB16" s="488" t="s">
        <v>913</v>
      </c>
      <c r="AC16" s="489"/>
      <c r="AD16" s="489"/>
      <c r="AE16" s="489"/>
    </row>
    <row r="17" spans="1:31">
      <c r="A17" s="7"/>
      <c r="B17" s="1" t="s">
        <v>287</v>
      </c>
      <c r="C17" s="427">
        <f>C18/SUM($C$18:$E$18)</f>
        <v>0.49844828664156315</v>
      </c>
      <c r="D17" s="427">
        <f>D18/SUM($C$18:$E$18)</f>
        <v>0.39725857197361958</v>
      </c>
      <c r="E17" s="427">
        <f>E18/SUM($C$18:$E$18)</f>
        <v>0.10429314138481716</v>
      </c>
      <c r="F17" s="427">
        <f>F18/SUM($F$18:$I$18)</f>
        <v>0.29289805028089561</v>
      </c>
      <c r="G17" s="427">
        <f>G18/SUM($F$18:$I$18)</f>
        <v>0.11837446567671327</v>
      </c>
      <c r="H17" s="427">
        <f>H18/SUM($F$18:$I$18)</f>
        <v>0.44658380004081855</v>
      </c>
      <c r="I17" s="427">
        <f>I18/SUM($F$18:$I$18)</f>
        <v>0.14214368400157257</v>
      </c>
      <c r="J17" s="444">
        <f>J18/($K$18+$J$18)</f>
        <v>0.58044164275770982</v>
      </c>
      <c r="K17" s="444">
        <f>K18/($K$18+$J$18)</f>
        <v>0.41955835724229024</v>
      </c>
      <c r="L17" s="444">
        <v>1</v>
      </c>
      <c r="M17" s="444">
        <f>M18/($N$18+$M$18)</f>
        <v>0.70766579331774959</v>
      </c>
      <c r="N17" s="444">
        <f>N18/($N$18+$M$18)</f>
        <v>0.29233420668225041</v>
      </c>
      <c r="O17" s="427">
        <v>1</v>
      </c>
      <c r="P17" s="427">
        <v>1</v>
      </c>
      <c r="Q17" s="449">
        <v>1</v>
      </c>
      <c r="R17" s="449">
        <v>1</v>
      </c>
      <c r="S17" s="427">
        <v>1</v>
      </c>
      <c r="T17" s="427">
        <v>1</v>
      </c>
      <c r="V17" s="16"/>
      <c r="W17" s="7"/>
      <c r="X17" s="7"/>
      <c r="Y17" s="7"/>
      <c r="Z17" s="490" t="s">
        <v>274</v>
      </c>
      <c r="AA17" s="490">
        <v>138.07256529501262</v>
      </c>
      <c r="AB17" s="485">
        <v>0.15073291148870363</v>
      </c>
      <c r="AC17" s="490"/>
      <c r="AD17" s="490"/>
      <c r="AE17" s="490"/>
    </row>
    <row r="18" spans="1:31">
      <c r="A18" s="7"/>
      <c r="B18" s="1" t="s">
        <v>285</v>
      </c>
      <c r="C18" s="492">
        <f>VLOOKUP(C16,$Z$17:$AB$34,3,FALSE)</f>
        <v>0.15073291148870363</v>
      </c>
      <c r="D18" s="492">
        <f t="shared" ref="D18:T18" si="0">VLOOKUP(D16,$Z$17:$AB$34,3,FALSE)</f>
        <v>0.12013270538231059</v>
      </c>
      <c r="E18" s="492">
        <f t="shared" si="0"/>
        <v>3.1538695729415013E-2</v>
      </c>
      <c r="F18" s="492">
        <f t="shared" si="0"/>
        <v>2.6820893655991742E-2</v>
      </c>
      <c r="G18" s="492">
        <f t="shared" si="0"/>
        <v>1.0839638408159987E-2</v>
      </c>
      <c r="H18" s="492">
        <f t="shared" si="0"/>
        <v>4.0894012773033235E-2</v>
      </c>
      <c r="I18" s="492">
        <f t="shared" si="0"/>
        <v>1.3016203517984767E-2</v>
      </c>
      <c r="J18" s="492">
        <f t="shared" si="0"/>
        <v>3.0886857559635036E-2</v>
      </c>
      <c r="K18" s="492">
        <f t="shared" si="0"/>
        <v>2.2325826170102026E-2</v>
      </c>
      <c r="L18" s="492">
        <f t="shared" si="0"/>
        <v>0.10087192274660353</v>
      </c>
      <c r="M18" s="492">
        <f t="shared" si="0"/>
        <v>6.1675003194375045E-3</v>
      </c>
      <c r="N18" s="492">
        <f t="shared" si="0"/>
        <v>2.5477723102065148E-3</v>
      </c>
      <c r="O18" s="492">
        <f t="shared" si="0"/>
        <v>1.1693580853842011E-2</v>
      </c>
      <c r="P18" s="492">
        <f t="shared" si="0"/>
        <v>2.3957473342185561E-2</v>
      </c>
      <c r="Q18" s="492">
        <f t="shared" si="0"/>
        <v>4.4965056377242296E-2</v>
      </c>
      <c r="R18" s="492">
        <f t="shared" si="0"/>
        <v>5.827742495837801E-2</v>
      </c>
      <c r="S18" s="492">
        <f t="shared" si="0"/>
        <v>9.0984350406775827E-2</v>
      </c>
      <c r="T18" s="492">
        <f t="shared" si="0"/>
        <v>0.21334717399999265</v>
      </c>
      <c r="V18" s="16"/>
      <c r="W18" s="7"/>
      <c r="X18" s="7"/>
      <c r="Y18" s="7"/>
      <c r="Z18" s="490" t="s">
        <v>275</v>
      </c>
      <c r="AA18" s="490">
        <v>110.04252916065165</v>
      </c>
      <c r="AB18" s="485">
        <v>0.12013270538231059</v>
      </c>
      <c r="AC18" s="490"/>
      <c r="AD18" s="490"/>
      <c r="AE18" s="490"/>
    </row>
    <row r="19" spans="1:31">
      <c r="A19" s="7"/>
      <c r="B19" s="1" t="s">
        <v>296</v>
      </c>
      <c r="C19" s="449">
        <f>VLOOKUP(C$16,'CBSA Data New'!$O$103:$R$120,3,FALSE)</f>
        <v>9.379008321141083E-2</v>
      </c>
      <c r="D19" s="449">
        <f>VLOOKUP(D$16,'CBSA Data New'!$O$103:$R$120,3,FALSE)</f>
        <v>5.7141018201974592E-2</v>
      </c>
      <c r="E19" s="449">
        <f>VLOOKUP(E$16,'CBSA Data New'!$O$103:$R$120,3,FALSE)</f>
        <v>6.3540893141458221E-2</v>
      </c>
      <c r="F19" s="449">
        <f>VLOOKUP(F$16,'CBSA Data New'!$O$103:$R$120,3,FALSE)</f>
        <v>0.52114684573848291</v>
      </c>
      <c r="G19" s="449">
        <f>VLOOKUP(G$16,'CBSA Data New'!$O$103:$R$120,3,FALSE)</f>
        <v>0.64094486042254439</v>
      </c>
      <c r="H19" s="449">
        <f>VLOOKUP(H$16,'CBSA Data New'!$O$103:$R$120,3,FALSE)</f>
        <v>0.56159710090996928</v>
      </c>
      <c r="I19" s="449">
        <f>VLOOKUP(I$16,'CBSA Data New'!$O$103:$R$120,3,FALSE)</f>
        <v>0.19952525247533903</v>
      </c>
      <c r="J19" s="449">
        <f>VLOOKUP(J$16,'CBSA Data New'!$O$103:$R$120,3,FALSE)</f>
        <v>0.22286467137317267</v>
      </c>
      <c r="K19" s="449">
        <f>VLOOKUP(K$16,'CBSA Data New'!$O$103:$R$120,3,FALSE)</f>
        <v>0.15885643507420852</v>
      </c>
      <c r="L19" s="449">
        <f>VLOOKUP(L$16,'CBSA Data New'!$O$103:$R$120,3,FALSE)</f>
        <v>0.52114684573848291</v>
      </c>
      <c r="M19" s="449">
        <f>VLOOKUP(M$16,'CBSA Data New'!$O$103:$R$120,3,FALSE)</f>
        <v>1.5377816133020691E-2</v>
      </c>
      <c r="N19" s="449">
        <f>VLOOKUP(N$16,'CBSA Data New'!$O$103:$R$120,3,FALSE)</f>
        <v>0</v>
      </c>
      <c r="O19" s="449">
        <f>VLOOKUP(O$16,'CBSA Data New'!$O$103:$R$120,3,FALSE)</f>
        <v>5.5212362541074519E-2</v>
      </c>
      <c r="P19" s="449">
        <f>VLOOKUP(P$16,'CBSA Data New'!$O$103:$R$120,3,FALSE)</f>
        <v>0.34342063041492848</v>
      </c>
      <c r="Q19" s="449">
        <f>VLOOKUP(Q$16,'CBSA Data New'!$O$103:$R$120,3,FALSE)</f>
        <v>0.10311447532768504</v>
      </c>
      <c r="R19" s="449">
        <f>VLOOKUP(R$16,'CBSA Data New'!$O$103:$R$120,3,FALSE)</f>
        <v>5.6083613809662864E-3</v>
      </c>
      <c r="S19" s="449">
        <f>VLOOKUP(S$16,'CBSA Data New'!$O$103:$R$120,3,FALSE)</f>
        <v>5.6083613809662864E-3</v>
      </c>
      <c r="T19" s="449">
        <f>VLOOKUP(T$16,'CBSA Data New'!$O$103:$R$120,3,FALSE)</f>
        <v>0.24031041917780901</v>
      </c>
      <c r="V19" s="16"/>
      <c r="W19" s="7"/>
      <c r="X19" s="7"/>
      <c r="Y19" s="7"/>
      <c r="Z19" s="490" t="s">
        <v>276</v>
      </c>
      <c r="AA19" s="490">
        <v>28.889700214843518</v>
      </c>
      <c r="AB19" s="485">
        <v>3.1538695729415013E-2</v>
      </c>
      <c r="AC19" s="490"/>
      <c r="AD19" s="490"/>
      <c r="AE19" s="490"/>
    </row>
    <row r="20" spans="1:31">
      <c r="A20" s="7"/>
      <c r="B20" s="1" t="s">
        <v>298</v>
      </c>
      <c r="C20" s="449">
        <f>VLOOKUP(C$16,'CBSA Data New'!$O$103:$R$120,2,FALSE)</f>
        <v>0.80872784176745371</v>
      </c>
      <c r="D20" s="449">
        <f>VLOOKUP(D$16,'CBSA Data New'!$O$103:$R$120,2,FALSE)</f>
        <v>0.93108561158422598</v>
      </c>
      <c r="E20" s="449">
        <f>VLOOKUP(E$16,'CBSA Data New'!$O$103:$R$120,2,FALSE)</f>
        <v>0.65879042006554966</v>
      </c>
      <c r="F20" s="449">
        <f>VLOOKUP(F$16,'CBSA Data New'!$O$103:$R$120,2,FALSE)</f>
        <v>0.30364464955032466</v>
      </c>
      <c r="G20" s="449">
        <f>VLOOKUP(G$16,'CBSA Data New'!$O$103:$R$120,2,FALSE)</f>
        <v>0.20980203614718312</v>
      </c>
      <c r="H20" s="449">
        <f>VLOOKUP(H$16,'CBSA Data New'!$O$103:$R$120,2,FALSE)</f>
        <v>0.42422729730852854</v>
      </c>
      <c r="I20" s="449">
        <f>VLOOKUP(I$16,'CBSA Data New'!$O$103:$R$120,2,FALSE)</f>
        <v>0.44747439425166918</v>
      </c>
      <c r="J20" s="449">
        <f>VLOOKUP(J$16,'CBSA Data New'!$O$103:$R$120,2,FALSE)</f>
        <v>0.53090550528653346</v>
      </c>
      <c r="K20" s="449">
        <f>VLOOKUP(K$16,'CBSA Data New'!$O$103:$R$120,2,FALSE)</f>
        <v>0.73038501205930684</v>
      </c>
      <c r="L20" s="449">
        <f>VLOOKUP(L$16,'CBSA Data New'!$O$103:$R$120,2,FALSE)</f>
        <v>0.30364464955032466</v>
      </c>
      <c r="M20" s="449">
        <f>VLOOKUP(M$16,'CBSA Data New'!$O$103:$R$120,2,FALSE)</f>
        <v>0.88455863187555051</v>
      </c>
      <c r="N20" s="449">
        <f>VLOOKUP(N$16,'CBSA Data New'!$O$103:$R$120,2,FALSE)</f>
        <v>0.99620809267302346</v>
      </c>
      <c r="O20" s="449">
        <f>VLOOKUP(O$16,'CBSA Data New'!$O$103:$R$120,2,FALSE)</f>
        <v>0.88366906107173016</v>
      </c>
      <c r="P20" s="449">
        <f>VLOOKUP(P$16,'CBSA Data New'!$O$103:$R$120,2,FALSE)</f>
        <v>0.53617368361870132</v>
      </c>
      <c r="Q20" s="449">
        <f>VLOOKUP(Q$16,'CBSA Data New'!$O$103:$R$120,2,FALSE)</f>
        <v>0.74192623135844471</v>
      </c>
      <c r="R20" s="449">
        <f>VLOOKUP(R$16,'CBSA Data New'!$O$103:$R$120,2,FALSE)</f>
        <v>0.98575716289794368</v>
      </c>
      <c r="S20" s="449">
        <f>VLOOKUP(S$16,'CBSA Data New'!$O$103:$R$120,2,FALSE)</f>
        <v>0.98575716289794368</v>
      </c>
      <c r="T20" s="449">
        <f>VLOOKUP(T$16,'CBSA Data New'!$O$103:$R$120,2,FALSE)</f>
        <v>0.6783643954380898</v>
      </c>
      <c r="V20" s="16"/>
      <c r="W20" s="7"/>
      <c r="X20" s="7"/>
      <c r="Y20" s="7"/>
      <c r="Z20" s="490" t="s">
        <v>914</v>
      </c>
      <c r="AA20" s="490">
        <v>24.568155381680135</v>
      </c>
      <c r="AB20" s="485">
        <v>2.6820893655991742E-2</v>
      </c>
      <c r="AC20" s="490"/>
      <c r="AD20" s="490"/>
      <c r="AE20" s="490"/>
    </row>
    <row r="21" spans="1:31">
      <c r="A21" s="7"/>
      <c r="B21" s="1" t="s">
        <v>299</v>
      </c>
      <c r="C21" s="449">
        <f>VLOOKUP(C$16,'CBSA Data New'!$O$103:$R$120,4,FALSE)</f>
        <v>9.7482075021135345E-2</v>
      </c>
      <c r="D21" s="449">
        <f>VLOOKUP(D$16,'CBSA Data New'!$O$103:$R$120,4,FALSE)</f>
        <v>1.1773370213799438E-2</v>
      </c>
      <c r="E21" s="449">
        <f>VLOOKUP(E$16,'CBSA Data New'!$O$103:$R$120,4,FALSE)</f>
        <v>0.27766868679299217</v>
      </c>
      <c r="F21" s="449">
        <f>VLOOKUP(F$16,'CBSA Data New'!$O$103:$R$120,4,FALSE)</f>
        <v>0.17520850471119245</v>
      </c>
      <c r="G21" s="449">
        <f>VLOOKUP(G$16,'CBSA Data New'!$O$103:$R$120,4,FALSE)</f>
        <v>0.14925310343027248</v>
      </c>
      <c r="H21" s="449">
        <f>VLOOKUP(H$16,'CBSA Data New'!$O$103:$R$120,4,FALSE)</f>
        <v>1.4175601781502387E-2</v>
      </c>
      <c r="I21" s="449">
        <f>VLOOKUP(I$16,'CBSA Data New'!$O$103:$R$120,4,FALSE)</f>
        <v>0.35300035327299167</v>
      </c>
      <c r="J21" s="449">
        <f>VLOOKUP(J$16,'CBSA Data New'!$O$103:$R$120,4,FALSE)</f>
        <v>0.24622982334029381</v>
      </c>
      <c r="K21" s="449">
        <f>VLOOKUP(K$16,'CBSA Data New'!$O$103:$R$120,4,FALSE)</f>
        <v>0.1107585528664846</v>
      </c>
      <c r="L21" s="449">
        <f>VLOOKUP(L$16,'CBSA Data New'!$O$103:$R$120,4,FALSE)</f>
        <v>0.17520850471119245</v>
      </c>
      <c r="M21" s="449">
        <f>VLOOKUP(M$16,'CBSA Data New'!$O$103:$R$120,4,FALSE)</f>
        <v>0.1000635519914288</v>
      </c>
      <c r="N21" s="449">
        <f>VLOOKUP(N$16,'CBSA Data New'!$O$103:$R$120,4,FALSE)</f>
        <v>3.7919073269764856E-3</v>
      </c>
      <c r="O21" s="449">
        <f>VLOOKUP(O$16,'CBSA Data New'!$O$103:$R$120,4,FALSE)</f>
        <v>6.1118576387195395E-2</v>
      </c>
      <c r="P21" s="449">
        <f>VLOOKUP(P$16,'CBSA Data New'!$O$103:$R$120,4,FALSE)</f>
        <v>0.12040568596637012</v>
      </c>
      <c r="Q21" s="449">
        <f>VLOOKUP(Q$16,'CBSA Data New'!$O$103:$R$120,4,FALSE)</f>
        <v>0.15495929331387026</v>
      </c>
      <c r="R21" s="449">
        <f>VLOOKUP(R$16,'CBSA Data New'!$O$103:$R$120,4,FALSE)</f>
        <v>8.6344757210899958E-3</v>
      </c>
      <c r="S21" s="449">
        <f>VLOOKUP(S$16,'CBSA Data New'!$O$103:$R$120,4,FALSE)</f>
        <v>8.6344757210899958E-3</v>
      </c>
      <c r="T21" s="449">
        <f>VLOOKUP(T$16,'CBSA Data New'!$O$103:$R$120,4,FALSE)</f>
        <v>8.1325185384101065E-2</v>
      </c>
      <c r="V21" s="16"/>
      <c r="W21" s="7"/>
      <c r="X21" s="7"/>
      <c r="Y21" s="7"/>
      <c r="Z21" s="490" t="s">
        <v>722</v>
      </c>
      <c r="AA21" s="490">
        <v>9.9291963984730724</v>
      </c>
      <c r="AB21" s="485">
        <v>1.0839638408159987E-2</v>
      </c>
      <c r="AC21" s="490"/>
      <c r="AD21" s="490"/>
      <c r="AE21" s="490"/>
    </row>
    <row r="22" spans="1:31">
      <c r="A22" s="7"/>
      <c r="B22" s="1" t="s">
        <v>303</v>
      </c>
      <c r="C22" s="449">
        <f>VLOOKUP(C$16,'CBSA Data New'!$I$30:$L$47,4,FALSE)</f>
        <v>0.95128694884061893</v>
      </c>
      <c r="D22" s="449">
        <f>VLOOKUP(D$16,'CBSA Data New'!$I$30:$L$47,4,FALSE)</f>
        <v>0.97665874571205136</v>
      </c>
      <c r="E22" s="449">
        <f>VLOOKUP(E$16,'CBSA Data New'!$I$30:$L$47,4,FALSE)</f>
        <v>0.91122609210258287</v>
      </c>
      <c r="F22" s="449">
        <f>VLOOKUP(F$16,'CBSA Data New'!$I$30:$L$47,4,FALSE)</f>
        <v>0.98608503921852686</v>
      </c>
      <c r="G22" s="449">
        <f>VLOOKUP(G$16,'CBSA Data New'!$I$30:$L$47,4,FALSE)</f>
        <v>0.77181511362305244</v>
      </c>
      <c r="H22" s="449">
        <f>VLOOKUP(H$16,'CBSA Data New'!$I$30:$L$47,4,FALSE)</f>
        <v>0.90527535536267667</v>
      </c>
      <c r="I22" s="449">
        <f>VLOOKUP(I$16,'CBSA Data New'!$I$30:$L$47,4,FALSE)</f>
        <v>0.53668215741883951</v>
      </c>
      <c r="J22" s="449">
        <f>VLOOKUP(J$16,'CBSA Data New'!$I$30:$L$47,4,FALSE)</f>
        <v>0.96128535178408803</v>
      </c>
      <c r="K22" s="449">
        <v>0.75</v>
      </c>
      <c r="L22" s="449">
        <f>VLOOKUP(L$16,'CBSA Data New'!$I$30:$L$47,4,FALSE)</f>
        <v>0.18162271351024481</v>
      </c>
      <c r="M22" s="449">
        <f>VLOOKUP(M$16,'CBSA Data New'!$I$30:$L$47,4,FALSE)</f>
        <v>0.92147944946531313</v>
      </c>
      <c r="N22" s="449">
        <f>VLOOKUP(N$16,'CBSA Data New'!$I$30:$L$47,4,FALSE)</f>
        <v>0.83868998628257874</v>
      </c>
      <c r="O22" s="449">
        <f>VLOOKUP(O$16,'CBSA Data New'!$I$30:$L$47,4,FALSE)</f>
        <v>0.99999997512427186</v>
      </c>
      <c r="P22" s="449">
        <f>VLOOKUP(P$16,'CBSA Data New'!$I$30:$L$47,4,FALSE)</f>
        <v>0.94438859080377269</v>
      </c>
      <c r="Q22" s="449">
        <v>0.95</v>
      </c>
      <c r="R22" s="449">
        <f>VLOOKUP(R$16,'CBSA Data New'!$I$30:$L$47,4,FALSE)</f>
        <v>0.8423386600487599</v>
      </c>
      <c r="S22" s="449">
        <f>VLOOKUP(S$16,'CBSA Data New'!$I$30:$L$47,4,FALSE)</f>
        <v>0.91177234717447209</v>
      </c>
      <c r="T22" s="449">
        <f>VLOOKUP(T$16,'CBSA Data New'!$I$30:$L$47,4,FALSE)</f>
        <v>0.87717751610580841</v>
      </c>
      <c r="V22" s="16"/>
      <c r="W22" s="7"/>
      <c r="X22" s="7"/>
      <c r="Y22" s="7"/>
      <c r="Z22" s="490" t="s">
        <v>723</v>
      </c>
      <c r="AA22" s="490">
        <v>37.459246245653958</v>
      </c>
      <c r="AB22" s="485">
        <v>4.0894012773033235E-2</v>
      </c>
      <c r="AC22" s="490"/>
      <c r="AD22" s="490"/>
      <c r="AE22" s="490"/>
    </row>
    <row r="23" spans="1:31">
      <c r="A23" s="7"/>
      <c r="B23" s="1" t="s">
        <v>304</v>
      </c>
      <c r="C23" s="567">
        <f>SUMPRODUCT(C17:E17,C22:E22)</f>
        <v>0.95718804003839186</v>
      </c>
      <c r="D23" s="567"/>
      <c r="E23" s="567"/>
      <c r="F23" s="567">
        <f>SUMPRODUCT(F17:I17,F22:I22)</f>
        <v>0.86075287434919978</v>
      </c>
      <c r="G23" s="567"/>
      <c r="H23" s="567"/>
      <c r="I23" s="567"/>
      <c r="J23" s="567">
        <f>SUMPRODUCT(J17:K17,J22:K22)</f>
        <v>0.87263881668019661</v>
      </c>
      <c r="K23" s="567"/>
      <c r="L23" s="449">
        <f>L22</f>
        <v>0.18162271351024481</v>
      </c>
      <c r="M23" s="567">
        <f>SUMPRODUCT(M17:N17,M22:N22)</f>
        <v>0.897277257424139</v>
      </c>
      <c r="N23" s="567"/>
      <c r="O23" s="449">
        <f>O22</f>
        <v>0.99999997512427186</v>
      </c>
      <c r="P23" s="449">
        <f>P22</f>
        <v>0.94438859080377269</v>
      </c>
      <c r="Q23" s="567">
        <f>AVERAGE(Q22:R22)</f>
        <v>0.89616933002437993</v>
      </c>
      <c r="R23" s="567"/>
      <c r="S23" s="449">
        <f>S22</f>
        <v>0.91177234717447209</v>
      </c>
      <c r="T23" s="449">
        <f>T22</f>
        <v>0.87717751610580841</v>
      </c>
      <c r="V23" s="16"/>
      <c r="W23" s="7"/>
      <c r="X23" s="7"/>
      <c r="Y23" s="7"/>
      <c r="Z23" s="490" t="s">
        <v>724</v>
      </c>
      <c r="AA23" s="490">
        <v>11.92294763220845</v>
      </c>
      <c r="AB23" s="485">
        <v>1.3016203517984767E-2</v>
      </c>
      <c r="AC23" s="490"/>
      <c r="AD23" s="490"/>
      <c r="AE23" s="490"/>
    </row>
    <row r="24" spans="1:31">
      <c r="A24" s="7"/>
      <c r="B24" s="1" t="s">
        <v>329</v>
      </c>
      <c r="C24" s="370">
        <v>0.15</v>
      </c>
      <c r="D24" s="370">
        <v>0.75</v>
      </c>
      <c r="E24" s="370">
        <v>0.95</v>
      </c>
      <c r="F24" s="370">
        <v>0.95</v>
      </c>
      <c r="G24" s="370">
        <v>0.9</v>
      </c>
      <c r="H24" s="370">
        <v>0.9</v>
      </c>
      <c r="I24" s="370">
        <v>0.3</v>
      </c>
      <c r="J24" s="370">
        <v>0.3</v>
      </c>
      <c r="K24" s="370">
        <v>0.5</v>
      </c>
      <c r="L24" s="370">
        <v>0.35</v>
      </c>
      <c r="M24" s="370">
        <v>0.9</v>
      </c>
      <c r="N24" s="370">
        <v>0.9</v>
      </c>
      <c r="O24" s="370">
        <v>0.95</v>
      </c>
      <c r="P24" s="370">
        <v>0.5</v>
      </c>
      <c r="Q24" s="370">
        <v>0.1</v>
      </c>
      <c r="R24" s="370">
        <v>0.6</v>
      </c>
      <c r="S24" s="370">
        <v>0.5</v>
      </c>
      <c r="T24" s="370">
        <v>0.5</v>
      </c>
      <c r="V24" s="16"/>
      <c r="W24" s="7"/>
      <c r="X24" s="7"/>
      <c r="Y24" s="7"/>
      <c r="Z24" s="490" t="s">
        <v>725</v>
      </c>
      <c r="AA24" s="490">
        <v>28.292611182529082</v>
      </c>
      <c r="AB24" s="485">
        <v>3.0886857559635036E-2</v>
      </c>
      <c r="AC24" s="490"/>
      <c r="AD24" s="490"/>
      <c r="AE24" s="490"/>
    </row>
    <row r="25" spans="1:31">
      <c r="A25" s="7"/>
      <c r="B25" s="1" t="s">
        <v>330</v>
      </c>
      <c r="C25" s="576">
        <v>0.50026702886083674</v>
      </c>
      <c r="D25" s="576"/>
      <c r="E25" s="576"/>
      <c r="F25" s="565">
        <v>0.78455381811533043</v>
      </c>
      <c r="G25" s="565"/>
      <c r="H25" s="565"/>
      <c r="I25" s="565"/>
      <c r="J25" s="565">
        <v>0.36953195539995587</v>
      </c>
      <c r="K25" s="565"/>
      <c r="L25" s="370">
        <v>0.35</v>
      </c>
      <c r="M25" s="565">
        <v>0.90000000000000013</v>
      </c>
      <c r="N25" s="565"/>
      <c r="O25" s="370">
        <v>0.95</v>
      </c>
      <c r="P25" s="370">
        <v>0.5</v>
      </c>
      <c r="Q25" s="565">
        <v>0.45832204515370584</v>
      </c>
      <c r="R25" s="565"/>
      <c r="S25" s="370">
        <v>0.5</v>
      </c>
      <c r="T25" s="370">
        <v>0.5</v>
      </c>
      <c r="V25" s="16"/>
      <c r="W25" s="7"/>
      <c r="X25" s="7"/>
      <c r="Y25" s="7"/>
      <c r="Z25" s="490" t="s">
        <v>273</v>
      </c>
      <c r="AA25" s="490">
        <v>20.450637231057076</v>
      </c>
      <c r="AB25" s="485">
        <v>2.2325826170102026E-2</v>
      </c>
      <c r="AC25" s="490"/>
      <c r="AD25" s="490"/>
      <c r="AE25" s="490"/>
    </row>
    <row r="26" spans="1:31">
      <c r="A26" s="7"/>
      <c r="B26" s="1" t="s">
        <v>367</v>
      </c>
      <c r="C26" s="370">
        <v>0.85</v>
      </c>
      <c r="D26" s="370">
        <v>0.35</v>
      </c>
      <c r="E26" s="520">
        <f>E74</f>
        <v>2.9006395725036469E-2</v>
      </c>
      <c r="F26" s="520">
        <f t="shared" ref="F26:T26" si="1">F74</f>
        <v>3.9164397027771525E-2</v>
      </c>
      <c r="G26" s="520">
        <f t="shared" si="1"/>
        <v>0.25776672816535129</v>
      </c>
      <c r="H26" s="520">
        <f t="shared" si="1"/>
        <v>2.7574670878248778E-2</v>
      </c>
      <c r="I26" s="520">
        <f t="shared" si="1"/>
        <v>0.10146503328904084</v>
      </c>
      <c r="J26" s="520">
        <f t="shared" si="1"/>
        <v>0.29515325476216947</v>
      </c>
      <c r="K26" s="520">
        <f t="shared" si="1"/>
        <v>0.77756785592800526</v>
      </c>
      <c r="L26" s="520">
        <f t="shared" si="1"/>
        <v>0.13082984106717208</v>
      </c>
      <c r="M26" s="520">
        <f t="shared" si="1"/>
        <v>7.1447125331852143E-2</v>
      </c>
      <c r="N26" s="520">
        <f t="shared" si="1"/>
        <v>0</v>
      </c>
      <c r="O26" s="520">
        <f t="shared" si="1"/>
        <v>2.3525905182962954E-2</v>
      </c>
      <c r="P26" s="520">
        <f t="shared" si="1"/>
        <v>7.934694377848886E-2</v>
      </c>
      <c r="Q26" s="520">
        <f t="shared" si="1"/>
        <v>0.85339696790936803</v>
      </c>
      <c r="R26" s="520">
        <f t="shared" si="1"/>
        <v>7.6228114216259218E-2</v>
      </c>
      <c r="S26" s="520">
        <f t="shared" si="1"/>
        <v>0.16854152512418574</v>
      </c>
      <c r="T26" s="520">
        <f t="shared" si="1"/>
        <v>0.20051702037858005</v>
      </c>
      <c r="U26" s="278" t="s">
        <v>959</v>
      </c>
      <c r="V26" s="16"/>
      <c r="W26" s="7"/>
      <c r="X26" s="7"/>
      <c r="Y26" s="7"/>
      <c r="Z26" s="490" t="s">
        <v>264</v>
      </c>
      <c r="AA26" s="490">
        <v>92.399496581791055</v>
      </c>
      <c r="AB26" s="485">
        <v>0.10087192274660353</v>
      </c>
      <c r="AC26" s="490"/>
      <c r="AD26" s="490"/>
      <c r="AE26" s="490"/>
    </row>
    <row r="27" spans="1:31">
      <c r="A27" s="7"/>
      <c r="B27" s="1" t="s">
        <v>369</v>
      </c>
      <c r="C27" s="564">
        <v>0.52249684792760431</v>
      </c>
      <c r="D27" s="565"/>
      <c r="E27" s="565"/>
      <c r="F27" s="565">
        <v>6.2181060258327321E-2</v>
      </c>
      <c r="G27" s="565"/>
      <c r="H27" s="565"/>
      <c r="I27" s="565"/>
      <c r="J27" s="566">
        <v>0.75664862673331257</v>
      </c>
      <c r="K27" s="564"/>
      <c r="L27" s="370">
        <v>0.10310000000000001</v>
      </c>
      <c r="M27" s="566">
        <v>0.11560000000000001</v>
      </c>
      <c r="N27" s="564"/>
      <c r="O27" s="370">
        <v>0.11560000000000001</v>
      </c>
      <c r="P27" s="370">
        <v>0.32380000000000003</v>
      </c>
      <c r="Q27" s="566">
        <v>0.83345440239005475</v>
      </c>
      <c r="R27" s="564"/>
      <c r="S27" s="371">
        <v>0.3</v>
      </c>
      <c r="T27" s="370">
        <v>0.47130000000000005</v>
      </c>
      <c r="V27" s="16"/>
      <c r="W27" s="7"/>
      <c r="X27" s="7"/>
      <c r="Y27" s="7"/>
      <c r="Z27" s="490" t="s">
        <v>278</v>
      </c>
      <c r="AA27" s="490">
        <v>5.6494801443967644</v>
      </c>
      <c r="AB27" s="485">
        <v>6.1675003194375045E-3</v>
      </c>
      <c r="AC27" s="490"/>
      <c r="AD27" s="490"/>
      <c r="AE27" s="490"/>
    </row>
    <row r="28" spans="1:31">
      <c r="A28" s="7"/>
      <c r="B28" s="1" t="s">
        <v>371</v>
      </c>
      <c r="C28" s="373">
        <v>0.6</v>
      </c>
      <c r="D28" s="373">
        <v>0.2</v>
      </c>
      <c r="E28" s="373">
        <v>0</v>
      </c>
      <c r="F28" s="370">
        <v>0.01</v>
      </c>
      <c r="G28" s="370">
        <v>0</v>
      </c>
      <c r="H28" s="370">
        <v>0</v>
      </c>
      <c r="I28" s="370">
        <v>0</v>
      </c>
      <c r="J28" s="373">
        <v>0.25</v>
      </c>
      <c r="K28" s="373">
        <v>0.4</v>
      </c>
      <c r="L28" s="373">
        <v>0</v>
      </c>
      <c r="M28" s="370">
        <v>0</v>
      </c>
      <c r="N28" s="370">
        <v>0</v>
      </c>
      <c r="O28" s="370">
        <v>0</v>
      </c>
      <c r="P28" s="373">
        <v>0</v>
      </c>
      <c r="Q28" s="373">
        <v>0.5</v>
      </c>
      <c r="R28" s="373">
        <v>0.4</v>
      </c>
      <c r="S28" s="373">
        <v>0.1</v>
      </c>
      <c r="T28" s="373">
        <v>0.3</v>
      </c>
      <c r="V28" s="16"/>
      <c r="W28" s="7"/>
      <c r="X28" s="7"/>
      <c r="Y28" s="7"/>
      <c r="Z28" s="490" t="s">
        <v>446</v>
      </c>
      <c r="AA28" s="490">
        <v>2.3337800297460412</v>
      </c>
      <c r="AB28" s="491">
        <v>2.5477723102065148E-3</v>
      </c>
      <c r="AC28" s="490"/>
      <c r="AD28" s="490"/>
      <c r="AE28" s="490"/>
    </row>
    <row r="29" spans="1:31">
      <c r="A29" s="7"/>
      <c r="B29" s="1" t="s">
        <v>372</v>
      </c>
      <c r="C29" s="564">
        <v>0.34868166674859297</v>
      </c>
      <c r="D29" s="565"/>
      <c r="E29" s="565"/>
      <c r="F29" s="565">
        <v>2.3808219851502894E-3</v>
      </c>
      <c r="G29" s="565"/>
      <c r="H29" s="565"/>
      <c r="I29" s="565"/>
      <c r="J29" s="566">
        <v>0.30214896654996692</v>
      </c>
      <c r="K29" s="564"/>
      <c r="L29" s="370">
        <v>0</v>
      </c>
      <c r="M29" s="566">
        <v>0</v>
      </c>
      <c r="N29" s="564"/>
      <c r="O29" s="370">
        <v>0</v>
      </c>
      <c r="P29" s="370">
        <v>0</v>
      </c>
      <c r="Q29" s="566">
        <v>0.42833559096925883</v>
      </c>
      <c r="R29" s="564"/>
      <c r="S29" s="371">
        <v>0.1</v>
      </c>
      <c r="T29" s="370">
        <v>0.3</v>
      </c>
      <c r="V29" s="16"/>
      <c r="W29" s="7"/>
      <c r="X29" s="7"/>
      <c r="Y29" s="7"/>
      <c r="Z29" s="490" t="s">
        <v>266</v>
      </c>
      <c r="AA29" s="490">
        <v>10.711414581118939</v>
      </c>
      <c r="AB29" s="485">
        <v>1.1693580853842011E-2</v>
      </c>
      <c r="AC29" s="490"/>
      <c r="AD29" s="490"/>
      <c r="AE29" s="490"/>
    </row>
    <row r="30" spans="1:31">
      <c r="A30" s="7"/>
      <c r="B30" s="1" t="s">
        <v>399</v>
      </c>
      <c r="C30" s="428">
        <f t="shared" ref="C30:T30" si="2">(VLOOKUP(C16,LSYield,7,FALSE)*C22)+(C33*(1-C22))</f>
        <v>0.92464156437246825</v>
      </c>
      <c r="D30" s="428">
        <f t="shared" si="2"/>
        <v>0.92743246202832574</v>
      </c>
      <c r="E30" s="428">
        <f t="shared" si="2"/>
        <v>0.70313295749949067</v>
      </c>
      <c r="F30" s="428">
        <f t="shared" si="2"/>
        <v>0.85735615745151994</v>
      </c>
      <c r="G30" s="428">
        <f t="shared" si="2"/>
        <v>0.70892672045214944</v>
      </c>
      <c r="H30" s="428">
        <f t="shared" si="2"/>
        <v>0.71863304264352112</v>
      </c>
      <c r="I30" s="428">
        <f t="shared" si="2"/>
        <v>0.75976868046444901</v>
      </c>
      <c r="J30" s="428">
        <f t="shared" si="2"/>
        <v>0.61612853517840882</v>
      </c>
      <c r="K30" s="428">
        <f t="shared" si="2"/>
        <v>0.6725000000000001</v>
      </c>
      <c r="L30" s="428">
        <f t="shared" si="2"/>
        <v>0.61</v>
      </c>
      <c r="M30" s="428">
        <f t="shared" si="2"/>
        <v>0.85371835595722523</v>
      </c>
      <c r="N30" s="428">
        <f t="shared" si="2"/>
        <v>0.72741659807956105</v>
      </c>
      <c r="O30" s="428">
        <f t="shared" si="2"/>
        <v>0.42999999950248563</v>
      </c>
      <c r="P30" s="428">
        <f t="shared" si="2"/>
        <v>0.69443885908037739</v>
      </c>
      <c r="Q30" s="428">
        <f t="shared" si="2"/>
        <v>0.28950000000000004</v>
      </c>
      <c r="R30" s="428">
        <f t="shared" si="2"/>
        <v>0.68423386600487623</v>
      </c>
      <c r="S30" s="428">
        <f t="shared" si="2"/>
        <v>0.92029495818919216</v>
      </c>
      <c r="T30" s="428">
        <f t="shared" si="2"/>
        <v>0.91648952677163908</v>
      </c>
      <c r="V30" s="16"/>
      <c r="W30" s="7"/>
      <c r="X30" s="7"/>
      <c r="Y30" s="7"/>
      <c r="Z30" s="490" t="s">
        <v>267</v>
      </c>
      <c r="AA30" s="490">
        <v>21.945239229259773</v>
      </c>
      <c r="AB30" s="485">
        <v>2.3957473342185561E-2</v>
      </c>
      <c r="AC30" s="490"/>
      <c r="AD30" s="490"/>
      <c r="AE30" s="490"/>
    </row>
    <row r="31" spans="1:31">
      <c r="A31" s="7"/>
      <c r="B31" s="1" t="s">
        <v>400</v>
      </c>
      <c r="C31" s="428">
        <f t="shared" ref="C31:T31" si="3">VLOOKUP(C16,LSYield,8,FALSE)</f>
        <v>1.02</v>
      </c>
      <c r="D31" s="428">
        <f t="shared" si="3"/>
        <v>1.02</v>
      </c>
      <c r="E31" s="428">
        <f t="shared" si="3"/>
        <v>0.95500000000000007</v>
      </c>
      <c r="F31" s="428">
        <f t="shared" si="3"/>
        <v>1.0249999999999999</v>
      </c>
      <c r="G31" s="428">
        <f t="shared" si="3"/>
        <v>0.96499999999999986</v>
      </c>
      <c r="H31" s="428">
        <f t="shared" si="3"/>
        <v>0.92500000000000004</v>
      </c>
      <c r="I31" s="428">
        <f t="shared" si="3"/>
        <v>0.97499999999999987</v>
      </c>
      <c r="J31" s="428">
        <f t="shared" si="3"/>
        <v>0.8600000000000001</v>
      </c>
      <c r="K31" s="428">
        <f t="shared" si="3"/>
        <v>0.95500000000000007</v>
      </c>
      <c r="L31" s="428">
        <f t="shared" si="3"/>
        <v>0.80499999999999994</v>
      </c>
      <c r="M31" s="428">
        <f t="shared" si="3"/>
        <v>0.9700000000000002</v>
      </c>
      <c r="N31" s="428">
        <f t="shared" si="3"/>
        <v>0.94500000000000006</v>
      </c>
      <c r="O31" s="428">
        <f t="shared" si="3"/>
        <v>0.72500000000000009</v>
      </c>
      <c r="P31" s="428">
        <f t="shared" si="3"/>
        <v>0.90000000000000013</v>
      </c>
      <c r="Q31" s="428">
        <f t="shared" si="3"/>
        <v>0.64999999999999991</v>
      </c>
      <c r="R31" s="428">
        <f t="shared" si="3"/>
        <v>0.90000000000000013</v>
      </c>
      <c r="S31" s="428">
        <f t="shared" si="3"/>
        <v>1.02</v>
      </c>
      <c r="T31" s="428">
        <f t="shared" si="3"/>
        <v>1.02</v>
      </c>
      <c r="V31" s="16"/>
      <c r="W31" s="7"/>
      <c r="X31" s="7"/>
      <c r="Y31" s="7"/>
      <c r="Z31" s="490" t="s">
        <v>268</v>
      </c>
      <c r="AA31" s="490">
        <v>41.188355093280272</v>
      </c>
      <c r="AB31" s="485">
        <v>4.4965056377242296E-2</v>
      </c>
      <c r="AC31" s="490"/>
      <c r="AD31" s="490"/>
      <c r="AE31" s="490"/>
    </row>
    <row r="32" spans="1:31">
      <c r="A32" s="7"/>
      <c r="B32" s="1" t="s">
        <v>401</v>
      </c>
      <c r="C32" s="428">
        <f t="shared" ref="C32:T32" si="4">(VLOOKUP(C16,LSYield,9,FALSE)*C22)+(C34*(1-C22))</f>
        <v>1.0878415643724679</v>
      </c>
      <c r="D32" s="428">
        <f t="shared" si="4"/>
        <v>1.0906324620283256</v>
      </c>
      <c r="E32" s="428">
        <f t="shared" si="4"/>
        <v>1.1292662908328239</v>
      </c>
      <c r="F32" s="428">
        <f t="shared" si="4"/>
        <v>1.15655615745152</v>
      </c>
      <c r="G32" s="428">
        <f t="shared" si="4"/>
        <v>1.0987933871188158</v>
      </c>
      <c r="H32" s="428">
        <f t="shared" si="4"/>
        <v>1.0722330426435214</v>
      </c>
      <c r="I32" s="428">
        <f t="shared" si="4"/>
        <v>1.0408353471311158</v>
      </c>
      <c r="J32" s="428">
        <f t="shared" si="4"/>
        <v>1.051328535178409</v>
      </c>
      <c r="K32" s="428">
        <f t="shared" si="4"/>
        <v>1.0986333333333334</v>
      </c>
      <c r="L32" s="428">
        <f t="shared" si="4"/>
        <v>0.96360000000000001</v>
      </c>
      <c r="M32" s="428">
        <f t="shared" si="4"/>
        <v>1.0531850226238919</v>
      </c>
      <c r="N32" s="428">
        <f t="shared" si="4"/>
        <v>1.0810165980795612</v>
      </c>
      <c r="O32" s="428">
        <f t="shared" si="4"/>
        <v>0.96493333283581861</v>
      </c>
      <c r="P32" s="428">
        <f t="shared" si="4"/>
        <v>1.0571055257470443</v>
      </c>
      <c r="Q32" s="428">
        <f t="shared" si="4"/>
        <v>0.94230000000000003</v>
      </c>
      <c r="R32" s="428">
        <f t="shared" si="4"/>
        <v>1.0469005326715428</v>
      </c>
      <c r="S32" s="428">
        <f t="shared" si="4"/>
        <v>1.0834949581891919</v>
      </c>
      <c r="T32" s="428">
        <f t="shared" si="4"/>
        <v>1.0796895267716389</v>
      </c>
      <c r="V32" s="16"/>
      <c r="W32" s="7"/>
      <c r="X32" s="7"/>
      <c r="Y32" s="7"/>
      <c r="Z32" s="490" t="s">
        <v>726</v>
      </c>
      <c r="AA32" s="490">
        <v>53.382592317231762</v>
      </c>
      <c r="AB32" s="485">
        <v>5.827742495837801E-2</v>
      </c>
      <c r="AC32" s="490"/>
      <c r="AD32" s="490"/>
      <c r="AE32" s="490"/>
    </row>
    <row r="33" spans="1:31">
      <c r="A33" s="7"/>
      <c r="B33" s="1" t="s">
        <v>397</v>
      </c>
      <c r="C33" s="428">
        <f t="shared" ref="C33:T33" si="5">VLOOKUP(C16,LSYield,2,FALSE)</f>
        <v>0.82000000000000006</v>
      </c>
      <c r="D33" s="428">
        <f t="shared" si="5"/>
        <v>0.82000000000000006</v>
      </c>
      <c r="E33" s="428">
        <f t="shared" si="5"/>
        <v>0.53</v>
      </c>
      <c r="F33" s="428">
        <f t="shared" si="5"/>
        <v>0.66999999999999993</v>
      </c>
      <c r="G33" s="428">
        <f t="shared" si="5"/>
        <v>0.57000000000000006</v>
      </c>
      <c r="H33" s="428">
        <f t="shared" si="5"/>
        <v>0.61</v>
      </c>
      <c r="I33" s="428">
        <f t="shared" si="5"/>
        <v>0.69</v>
      </c>
      <c r="J33" s="428">
        <f t="shared" si="5"/>
        <v>0.52</v>
      </c>
      <c r="K33" s="428">
        <f t="shared" si="5"/>
        <v>0.53</v>
      </c>
      <c r="L33" s="428">
        <f t="shared" si="5"/>
        <v>0.61</v>
      </c>
      <c r="M33" s="428">
        <f t="shared" si="5"/>
        <v>0.78</v>
      </c>
      <c r="N33" s="428">
        <f t="shared" si="5"/>
        <v>0.61</v>
      </c>
      <c r="O33" s="428">
        <f t="shared" si="5"/>
        <v>0.41000000000000003</v>
      </c>
      <c r="P33" s="428">
        <f t="shared" si="5"/>
        <v>0.6</v>
      </c>
      <c r="Q33" s="428">
        <f t="shared" si="5"/>
        <v>0.28000000000000003</v>
      </c>
      <c r="R33" s="428">
        <f t="shared" si="5"/>
        <v>0.6</v>
      </c>
      <c r="S33" s="428">
        <f t="shared" si="5"/>
        <v>0.82000000000000006</v>
      </c>
      <c r="T33" s="428">
        <f t="shared" si="5"/>
        <v>0.82000000000000006</v>
      </c>
      <c r="V33" s="16"/>
      <c r="W33" s="7"/>
      <c r="X33" s="7"/>
      <c r="Y33" s="7"/>
      <c r="Z33" s="490" t="s">
        <v>311</v>
      </c>
      <c r="AA33" s="490">
        <v>83.34240039744293</v>
      </c>
      <c r="AB33" s="485">
        <v>9.0984350406775827E-2</v>
      </c>
      <c r="AC33" s="490"/>
      <c r="AD33" s="490"/>
      <c r="AE33" s="490"/>
    </row>
    <row r="34" spans="1:31">
      <c r="A34" s="7"/>
      <c r="B34" s="1" t="s">
        <v>398</v>
      </c>
      <c r="C34" s="428">
        <f t="shared" ref="C34:T34" si="6">VLOOKUP(C16,LSYield,4,FALSE)</f>
        <v>0.98319999999999996</v>
      </c>
      <c r="D34" s="428">
        <f t="shared" si="6"/>
        <v>0.98319999999999996</v>
      </c>
      <c r="E34" s="428">
        <f t="shared" si="6"/>
        <v>0.95613333333333328</v>
      </c>
      <c r="F34" s="428">
        <f t="shared" si="6"/>
        <v>0.96919999999999995</v>
      </c>
      <c r="G34" s="428">
        <f t="shared" si="6"/>
        <v>0.95986666666666665</v>
      </c>
      <c r="H34" s="428">
        <f t="shared" si="6"/>
        <v>0.96360000000000001</v>
      </c>
      <c r="I34" s="428">
        <f t="shared" si="6"/>
        <v>0.97106666666666663</v>
      </c>
      <c r="J34" s="428">
        <f t="shared" si="6"/>
        <v>0.95520000000000005</v>
      </c>
      <c r="K34" s="428">
        <f t="shared" si="6"/>
        <v>0.95613333333333328</v>
      </c>
      <c r="L34" s="428">
        <f t="shared" si="6"/>
        <v>0.96360000000000001</v>
      </c>
      <c r="M34" s="428">
        <f t="shared" si="6"/>
        <v>0.97946666666666671</v>
      </c>
      <c r="N34" s="428">
        <f t="shared" si="6"/>
        <v>0.96360000000000001</v>
      </c>
      <c r="O34" s="428">
        <f t="shared" si="6"/>
        <v>0.94493333333333329</v>
      </c>
      <c r="P34" s="428">
        <f t="shared" si="6"/>
        <v>0.96266666666666667</v>
      </c>
      <c r="Q34" s="428">
        <f t="shared" si="6"/>
        <v>0.93279999999999996</v>
      </c>
      <c r="R34" s="428">
        <f t="shared" si="6"/>
        <v>0.96266666666666667</v>
      </c>
      <c r="S34" s="428">
        <f t="shared" si="6"/>
        <v>0.98319999999999996</v>
      </c>
      <c r="T34" s="428">
        <f t="shared" si="6"/>
        <v>0.98319999999999996</v>
      </c>
      <c r="V34" s="16"/>
      <c r="W34" s="7"/>
      <c r="X34" s="7"/>
      <c r="Y34" s="7"/>
      <c r="Z34" s="490" t="s">
        <v>272</v>
      </c>
      <c r="AA34" s="490">
        <v>195.42773586528929</v>
      </c>
      <c r="AB34" s="485">
        <v>0.21334717399999265</v>
      </c>
      <c r="AC34" s="490"/>
      <c r="AD34" s="490"/>
      <c r="AE34" s="490"/>
    </row>
    <row r="35" spans="1:31">
      <c r="A35" s="7"/>
      <c r="B35" s="1" t="s">
        <v>405</v>
      </c>
      <c r="C35" s="445">
        <f t="shared" ref="C35:T35" si="7">VLOOKUP(C16,LSYield,5,FALSE)</f>
        <v>-8.1887999999999996E-3</v>
      </c>
      <c r="D35" s="445">
        <f t="shared" si="7"/>
        <v>-8.1887999999999996E-3</v>
      </c>
      <c r="E35" s="445">
        <f t="shared" si="7"/>
        <v>-2.1381866666666666E-2</v>
      </c>
      <c r="F35" s="445">
        <f t="shared" si="7"/>
        <v>-1.50128E-2</v>
      </c>
      <c r="G35" s="445">
        <f t="shared" si="7"/>
        <v>-1.9562133333333332E-2</v>
      </c>
      <c r="H35" s="445">
        <f t="shared" si="7"/>
        <v>-1.7742399999999998E-2</v>
      </c>
      <c r="I35" s="445">
        <f t="shared" si="7"/>
        <v>-1.4102933333333333E-2</v>
      </c>
      <c r="J35" s="445">
        <f t="shared" si="7"/>
        <v>-2.18368E-2</v>
      </c>
      <c r="K35" s="445">
        <f t="shared" si="7"/>
        <v>-2.1381866666666666E-2</v>
      </c>
      <c r="L35" s="445">
        <f t="shared" si="7"/>
        <v>-1.7742399999999998E-2</v>
      </c>
      <c r="M35" s="445">
        <f t="shared" si="7"/>
        <v>-1.0008533333333333E-2</v>
      </c>
      <c r="N35" s="445">
        <f t="shared" si="7"/>
        <v>-1.7742399999999998E-2</v>
      </c>
      <c r="O35" s="445">
        <f t="shared" si="7"/>
        <v>-2.6841066666666667E-2</v>
      </c>
      <c r="P35" s="445">
        <f t="shared" si="7"/>
        <v>-1.8197333333333333E-2</v>
      </c>
      <c r="Q35" s="445">
        <f t="shared" si="7"/>
        <v>-3.2755199999999998E-2</v>
      </c>
      <c r="R35" s="445">
        <f t="shared" si="7"/>
        <v>-1.8197333333333333E-2</v>
      </c>
      <c r="S35" s="445">
        <f t="shared" si="7"/>
        <v>-8.1887999999999996E-3</v>
      </c>
      <c r="T35" s="445">
        <f t="shared" si="7"/>
        <v>-8.1887999999999996E-3</v>
      </c>
      <c r="V35" s="16"/>
      <c r="W35" s="7"/>
      <c r="X35" s="7"/>
      <c r="Y35" s="7"/>
    </row>
    <row r="36" spans="1:31">
      <c r="A36" s="7"/>
      <c r="B36" s="1" t="s">
        <v>407</v>
      </c>
      <c r="C36" s="445">
        <f t="shared" ref="C36:T36" si="8">VLOOKUP(C16,LSYield,10,FALSE)</f>
        <v>-8.1887999999999996E-3</v>
      </c>
      <c r="D36" s="445">
        <f t="shared" si="8"/>
        <v>-8.1887999999999996E-3</v>
      </c>
      <c r="E36" s="445">
        <f t="shared" si="8"/>
        <v>-2.1381866666666666E-2</v>
      </c>
      <c r="F36" s="445">
        <f t="shared" si="8"/>
        <v>-1.50128E-2</v>
      </c>
      <c r="G36" s="445">
        <f t="shared" si="8"/>
        <v>-1.9562133333333332E-2</v>
      </c>
      <c r="H36" s="445">
        <f t="shared" si="8"/>
        <v>-1.7742399999999998E-2</v>
      </c>
      <c r="I36" s="445">
        <f t="shared" si="8"/>
        <v>-1.4102933333333333E-2</v>
      </c>
      <c r="J36" s="445">
        <f t="shared" si="8"/>
        <v>-2.18368E-2</v>
      </c>
      <c r="K36" s="445">
        <f t="shared" si="8"/>
        <v>-2.1381866666666666E-2</v>
      </c>
      <c r="L36" s="445">
        <f t="shared" si="8"/>
        <v>-1.7742399999999998E-2</v>
      </c>
      <c r="M36" s="445">
        <f t="shared" si="8"/>
        <v>-1.0008533333333333E-2</v>
      </c>
      <c r="N36" s="445">
        <f t="shared" si="8"/>
        <v>-1.7742399999999998E-2</v>
      </c>
      <c r="O36" s="445">
        <f t="shared" si="8"/>
        <v>-2.6841066666666667E-2</v>
      </c>
      <c r="P36" s="445">
        <f t="shared" si="8"/>
        <v>-1.8197333333333333E-2</v>
      </c>
      <c r="Q36" s="445">
        <f t="shared" si="8"/>
        <v>-3.2755199999999998E-2</v>
      </c>
      <c r="R36" s="445">
        <f t="shared" si="8"/>
        <v>-1.8197333333333333E-2</v>
      </c>
      <c r="S36" s="445">
        <f t="shared" si="8"/>
        <v>-8.1887999999999996E-3</v>
      </c>
      <c r="T36" s="445">
        <f t="shared" si="8"/>
        <v>-8.1887999999999996E-3</v>
      </c>
      <c r="V36" s="16"/>
      <c r="W36" s="7"/>
      <c r="X36" s="7"/>
      <c r="Y36" s="7"/>
    </row>
    <row r="37" spans="1:31">
      <c r="A37" s="7"/>
      <c r="B37" s="1" t="s">
        <v>411</v>
      </c>
      <c r="C37" s="384">
        <v>1</v>
      </c>
      <c r="D37" s="384">
        <v>1</v>
      </c>
      <c r="E37" s="384">
        <v>1</v>
      </c>
      <c r="F37" s="384">
        <v>1</v>
      </c>
      <c r="G37" s="384">
        <v>1</v>
      </c>
      <c r="H37" s="384">
        <v>1</v>
      </c>
      <c r="I37" s="384">
        <v>1</v>
      </c>
      <c r="J37" s="384">
        <v>1</v>
      </c>
      <c r="K37" s="384">
        <v>1</v>
      </c>
      <c r="L37" s="384">
        <v>1</v>
      </c>
      <c r="M37" s="384">
        <v>1</v>
      </c>
      <c r="N37" s="384">
        <v>1</v>
      </c>
      <c r="O37" s="384">
        <v>1</v>
      </c>
      <c r="P37" s="384">
        <v>1</v>
      </c>
      <c r="Q37" s="384">
        <v>1</v>
      </c>
      <c r="R37" s="384">
        <v>1</v>
      </c>
      <c r="S37" s="384">
        <v>1</v>
      </c>
      <c r="T37" s="384">
        <v>1</v>
      </c>
      <c r="V37" s="16"/>
      <c r="W37" s="7"/>
      <c r="X37" s="7"/>
      <c r="Y37" s="7"/>
    </row>
    <row r="38" spans="1:31">
      <c r="A38" s="7"/>
      <c r="B38" s="1" t="s">
        <v>3</v>
      </c>
      <c r="C38" s="372">
        <v>0.6</v>
      </c>
      <c r="D38" s="372">
        <v>0.1</v>
      </c>
      <c r="E38" s="372">
        <v>0</v>
      </c>
      <c r="F38" s="372">
        <v>0.05</v>
      </c>
      <c r="G38" s="372">
        <v>0</v>
      </c>
      <c r="H38" s="372">
        <v>0</v>
      </c>
      <c r="I38" s="372">
        <v>0.4</v>
      </c>
      <c r="J38" s="372">
        <v>0.4</v>
      </c>
      <c r="K38" s="372">
        <v>0.6</v>
      </c>
      <c r="L38" s="372">
        <v>0.03</v>
      </c>
      <c r="M38" s="372">
        <v>0</v>
      </c>
      <c r="N38" s="372">
        <v>0</v>
      </c>
      <c r="O38" s="372">
        <v>0</v>
      </c>
      <c r="P38" s="372">
        <v>0.15</v>
      </c>
      <c r="Q38" s="372">
        <v>0.75</v>
      </c>
      <c r="R38" s="372">
        <v>0.2</v>
      </c>
      <c r="S38" s="372">
        <v>0.1</v>
      </c>
      <c r="T38" s="372">
        <v>0.3</v>
      </c>
      <c r="V38" s="16"/>
      <c r="W38" s="7"/>
      <c r="X38" s="7"/>
      <c r="Y38" s="7"/>
    </row>
    <row r="39" spans="1:31">
      <c r="A39" s="7"/>
      <c r="B39" s="1" t="s">
        <v>352</v>
      </c>
      <c r="C39" s="410">
        <v>3300</v>
      </c>
      <c r="D39" s="410">
        <v>2800</v>
      </c>
      <c r="E39" s="410">
        <v>2600</v>
      </c>
      <c r="F39" s="410">
        <v>6200</v>
      </c>
      <c r="G39" s="410">
        <v>3800</v>
      </c>
      <c r="H39" s="410">
        <v>3800</v>
      </c>
      <c r="I39" s="410">
        <v>2800</v>
      </c>
      <c r="J39" s="410">
        <v>2700</v>
      </c>
      <c r="K39" s="410">
        <v>3600</v>
      </c>
      <c r="L39" s="410">
        <v>2700</v>
      </c>
      <c r="M39" s="410">
        <v>7300</v>
      </c>
      <c r="N39" s="410">
        <v>6800</v>
      </c>
      <c r="O39" s="410">
        <v>5400</v>
      </c>
      <c r="P39" s="410">
        <v>3000</v>
      </c>
      <c r="Q39" s="410">
        <v>6400</v>
      </c>
      <c r="R39" s="410">
        <v>5700</v>
      </c>
      <c r="S39" s="410">
        <v>3000</v>
      </c>
      <c r="T39" s="410">
        <v>4100</v>
      </c>
      <c r="V39" s="16"/>
      <c r="W39" s="7"/>
      <c r="X39" s="7"/>
      <c r="Y39" s="7"/>
    </row>
    <row r="40" spans="1:31">
      <c r="A40" s="7"/>
      <c r="B40" s="1" t="s">
        <v>39</v>
      </c>
      <c r="C40" s="370">
        <v>0.12</v>
      </c>
      <c r="D40" s="370">
        <v>7.0000000000000007E-2</v>
      </c>
      <c r="E40" s="370">
        <v>0.05</v>
      </c>
      <c r="F40" s="370">
        <v>0.03</v>
      </c>
      <c r="G40" s="370">
        <v>0.13</v>
      </c>
      <c r="H40" s="370">
        <v>0.1</v>
      </c>
      <c r="I40" s="370">
        <v>0.12</v>
      </c>
      <c r="J40" s="370">
        <v>0.01</v>
      </c>
      <c r="K40" s="370">
        <v>0.1</v>
      </c>
      <c r="L40" s="370">
        <v>0.31</v>
      </c>
      <c r="M40" s="370">
        <v>0.04</v>
      </c>
      <c r="N40" s="370">
        <v>0.04</v>
      </c>
      <c r="O40" s="370">
        <v>0.13</v>
      </c>
      <c r="P40" s="370">
        <v>0.05</v>
      </c>
      <c r="Q40" s="370">
        <v>0.12</v>
      </c>
      <c r="R40" s="370">
        <v>0.03</v>
      </c>
      <c r="S40" s="370">
        <v>0.15</v>
      </c>
      <c r="T40" s="370">
        <v>0.15</v>
      </c>
      <c r="V40" s="16"/>
      <c r="W40" s="7"/>
      <c r="X40" s="7"/>
      <c r="Y40" s="7"/>
    </row>
    <row r="41" spans="1:31">
      <c r="A41" s="7"/>
      <c r="B41" s="1" t="s">
        <v>41</v>
      </c>
      <c r="C41" s="370">
        <v>1</v>
      </c>
      <c r="D41" s="370">
        <v>1</v>
      </c>
      <c r="E41" s="370">
        <v>0.77500000000000002</v>
      </c>
      <c r="F41" s="370">
        <v>1</v>
      </c>
      <c r="G41" s="370">
        <v>0.77500000000000002</v>
      </c>
      <c r="H41" s="370">
        <v>0.95</v>
      </c>
      <c r="I41" s="370">
        <v>0.82499999999999996</v>
      </c>
      <c r="J41" s="370">
        <v>1</v>
      </c>
      <c r="K41" s="370">
        <v>1</v>
      </c>
      <c r="L41" s="370">
        <v>0.72500000000000009</v>
      </c>
      <c r="M41" s="370">
        <v>0.85</v>
      </c>
      <c r="N41" s="370">
        <v>0.85</v>
      </c>
      <c r="O41" s="370">
        <v>0.85</v>
      </c>
      <c r="P41" s="370">
        <v>0.85</v>
      </c>
      <c r="Q41" s="370">
        <v>1</v>
      </c>
      <c r="R41" s="370">
        <v>0.85</v>
      </c>
      <c r="S41" s="370">
        <v>0.6</v>
      </c>
      <c r="T41" s="370">
        <v>0.6</v>
      </c>
      <c r="V41" s="16"/>
      <c r="W41" s="7"/>
      <c r="X41" s="7"/>
      <c r="Y41" s="7"/>
    </row>
    <row r="42" spans="1:31">
      <c r="A42" s="7"/>
      <c r="B42" s="1" t="s">
        <v>306</v>
      </c>
      <c r="C42" s="373">
        <v>0</v>
      </c>
      <c r="D42" s="373">
        <v>0</v>
      </c>
      <c r="E42" s="373">
        <v>0</v>
      </c>
      <c r="F42" s="373">
        <v>0</v>
      </c>
      <c r="G42" s="373">
        <v>0</v>
      </c>
      <c r="H42" s="373">
        <v>0</v>
      </c>
      <c r="I42" s="373">
        <v>0</v>
      </c>
      <c r="J42" s="373">
        <v>0</v>
      </c>
      <c r="K42" s="373">
        <v>0</v>
      </c>
      <c r="L42" s="373">
        <v>0</v>
      </c>
      <c r="M42" s="373">
        <v>0</v>
      </c>
      <c r="N42" s="373">
        <v>0</v>
      </c>
      <c r="O42" s="373">
        <v>0</v>
      </c>
      <c r="P42" s="373">
        <v>0</v>
      </c>
      <c r="Q42" s="373">
        <v>0</v>
      </c>
      <c r="R42" s="373">
        <v>0</v>
      </c>
      <c r="S42" s="373">
        <v>0</v>
      </c>
      <c r="T42" s="373">
        <v>0</v>
      </c>
      <c r="V42" s="16"/>
      <c r="W42" s="7"/>
      <c r="X42" s="7"/>
      <c r="Y42" s="7"/>
    </row>
    <row r="43" spans="1:31">
      <c r="A43" s="7"/>
      <c r="B43" s="1" t="s">
        <v>125</v>
      </c>
      <c r="C43" s="373">
        <v>0</v>
      </c>
      <c r="D43" s="373">
        <v>0</v>
      </c>
      <c r="E43" s="373">
        <v>0</v>
      </c>
      <c r="F43" s="373">
        <v>0</v>
      </c>
      <c r="G43" s="373">
        <v>0</v>
      </c>
      <c r="H43" s="373">
        <v>0</v>
      </c>
      <c r="I43" s="373">
        <v>0</v>
      </c>
      <c r="J43" s="373">
        <v>0</v>
      </c>
      <c r="K43" s="373">
        <v>0</v>
      </c>
      <c r="L43" s="373">
        <v>0</v>
      </c>
      <c r="M43" s="373">
        <v>0</v>
      </c>
      <c r="N43" s="373">
        <v>0</v>
      </c>
      <c r="O43" s="373">
        <v>0</v>
      </c>
      <c r="P43" s="373">
        <v>0</v>
      </c>
      <c r="Q43" s="373">
        <v>0</v>
      </c>
      <c r="R43" s="373">
        <v>0</v>
      </c>
      <c r="S43" s="373">
        <v>0</v>
      </c>
      <c r="T43" s="373">
        <v>0</v>
      </c>
      <c r="V43" s="16"/>
      <c r="W43" s="7"/>
      <c r="X43" s="7"/>
      <c r="Y43" s="7"/>
    </row>
    <row r="44" spans="1:31">
      <c r="A44" s="7"/>
      <c r="B44" s="1" t="s">
        <v>136</v>
      </c>
      <c r="C44" s="373">
        <v>0.61680000000000001</v>
      </c>
      <c r="D44" s="373">
        <v>0.61680000000000001</v>
      </c>
      <c r="E44" s="373">
        <v>0.61680000000000001</v>
      </c>
      <c r="F44" s="373">
        <v>0.84279999999999999</v>
      </c>
      <c r="G44" s="373">
        <v>3.7900000000000003E-2</v>
      </c>
      <c r="H44" s="373">
        <v>3.7900000000000003E-2</v>
      </c>
      <c r="I44" s="373">
        <v>3.7900000000000003E-2</v>
      </c>
      <c r="J44" s="373">
        <v>6.0999999999999995E-3</v>
      </c>
      <c r="K44" s="373">
        <v>0.1794</v>
      </c>
      <c r="L44" s="373">
        <v>0.37840000000000001</v>
      </c>
      <c r="M44" s="373">
        <v>5.3399999999999996E-2</v>
      </c>
      <c r="N44" s="373">
        <v>5.3399999999999996E-2</v>
      </c>
      <c r="O44" s="373">
        <v>5.3399999999999996E-2</v>
      </c>
      <c r="P44" s="373">
        <v>7.7000000000000002E-3</v>
      </c>
      <c r="Q44" s="373">
        <v>8.1099999999999992E-2</v>
      </c>
      <c r="R44" s="373">
        <v>0.35409999999999997</v>
      </c>
      <c r="S44" s="373">
        <v>0.05</v>
      </c>
      <c r="T44" s="373">
        <v>0.31140000000000001</v>
      </c>
      <c r="V44" s="16"/>
      <c r="W44" s="7"/>
      <c r="X44" s="7"/>
      <c r="Y44" s="7"/>
    </row>
    <row r="45" spans="1:31">
      <c r="A45" s="7"/>
      <c r="B45" s="1" t="s">
        <v>137</v>
      </c>
      <c r="C45" s="373">
        <v>0.25319999999999998</v>
      </c>
      <c r="D45" s="373">
        <v>0.25319999999999998</v>
      </c>
      <c r="E45" s="373">
        <v>0.25319999999999998</v>
      </c>
      <c r="F45" s="373">
        <v>0.15720000000000001</v>
      </c>
      <c r="G45" s="373">
        <v>0.31929999999999997</v>
      </c>
      <c r="H45" s="373">
        <v>0.31929999999999997</v>
      </c>
      <c r="I45" s="373">
        <v>0.31929999999999997</v>
      </c>
      <c r="J45" s="373">
        <v>0.83329999999999993</v>
      </c>
      <c r="K45" s="373">
        <v>0.82069999999999999</v>
      </c>
      <c r="L45" s="373">
        <v>0.62159999999999993</v>
      </c>
      <c r="M45" s="373">
        <v>0.9466</v>
      </c>
      <c r="N45" s="373">
        <v>0.9466</v>
      </c>
      <c r="O45" s="373">
        <v>0.9466</v>
      </c>
      <c r="P45" s="373">
        <v>0.56859999999999999</v>
      </c>
      <c r="Q45" s="373">
        <v>0.91890000000000005</v>
      </c>
      <c r="R45" s="373">
        <v>0.57330000000000003</v>
      </c>
      <c r="S45" s="373">
        <v>0.55000000000000004</v>
      </c>
      <c r="T45" s="373">
        <v>0.67430000000000001</v>
      </c>
      <c r="V45" s="16"/>
      <c r="W45" s="7"/>
      <c r="X45" s="7"/>
      <c r="Y45" s="7"/>
    </row>
    <row r="46" spans="1:31">
      <c r="A46" s="7"/>
      <c r="B46" s="1" t="s">
        <v>138</v>
      </c>
      <c r="C46" s="373">
        <v>0.13009999999999999</v>
      </c>
      <c r="D46" s="373">
        <v>0.13009999999999999</v>
      </c>
      <c r="E46" s="373">
        <v>0.13009999999999999</v>
      </c>
      <c r="F46" s="373">
        <v>0</v>
      </c>
      <c r="G46" s="373">
        <v>0.64280000000000004</v>
      </c>
      <c r="H46" s="373">
        <v>0.64280000000000004</v>
      </c>
      <c r="I46" s="373">
        <v>0.64280000000000004</v>
      </c>
      <c r="J46" s="373">
        <v>0.1605</v>
      </c>
      <c r="K46" s="373">
        <v>0</v>
      </c>
      <c r="L46" s="373">
        <v>0</v>
      </c>
      <c r="M46" s="373">
        <v>0</v>
      </c>
      <c r="N46" s="373">
        <v>0</v>
      </c>
      <c r="O46" s="373">
        <v>0</v>
      </c>
      <c r="P46" s="373">
        <v>0.42380000000000001</v>
      </c>
      <c r="Q46" s="373">
        <v>0</v>
      </c>
      <c r="R46" s="373">
        <v>7.2700000000000001E-2</v>
      </c>
      <c r="S46" s="373">
        <v>0.4</v>
      </c>
      <c r="T46" s="373">
        <v>1.4199999999999999E-2</v>
      </c>
      <c r="V46" s="16"/>
      <c r="W46" s="7"/>
      <c r="X46" s="7"/>
      <c r="Y46" s="7"/>
    </row>
    <row r="47" spans="1:31">
      <c r="A47" s="7"/>
      <c r="B47" s="1" t="s">
        <v>142</v>
      </c>
      <c r="C47" s="373">
        <v>0.05</v>
      </c>
      <c r="D47" s="373">
        <v>0.05</v>
      </c>
      <c r="E47" s="373">
        <v>0.05</v>
      </c>
      <c r="F47" s="373">
        <v>2.53E-2</v>
      </c>
      <c r="G47" s="373">
        <v>2.4700000000000003E-2</v>
      </c>
      <c r="H47" s="373">
        <v>2.4700000000000003E-2</v>
      </c>
      <c r="I47" s="373">
        <v>2.4700000000000003E-2</v>
      </c>
      <c r="J47" s="373">
        <v>2.41E-2</v>
      </c>
      <c r="K47" s="373">
        <v>0.18960000000000002</v>
      </c>
      <c r="L47" s="373">
        <v>0.1013</v>
      </c>
      <c r="M47" s="373">
        <v>1.03E-2</v>
      </c>
      <c r="N47" s="373">
        <v>1.03E-2</v>
      </c>
      <c r="O47" s="373">
        <v>1.03E-2</v>
      </c>
      <c r="P47" s="373">
        <v>0.37490000000000001</v>
      </c>
      <c r="Q47" s="373">
        <v>0.18149999999999999</v>
      </c>
      <c r="R47" s="373">
        <v>5.6999999999999993E-3</v>
      </c>
      <c r="S47" s="373">
        <v>0.1</v>
      </c>
      <c r="T47" s="373">
        <v>8.3400000000000002E-2</v>
      </c>
      <c r="V47" s="16"/>
      <c r="W47" s="7"/>
      <c r="X47" s="7"/>
      <c r="Y47" s="7"/>
    </row>
    <row r="48" spans="1:31">
      <c r="A48" s="7"/>
      <c r="B48" s="1" t="s">
        <v>144</v>
      </c>
      <c r="C48" s="373">
        <v>0.85</v>
      </c>
      <c r="D48" s="373">
        <v>0.85</v>
      </c>
      <c r="E48" s="373">
        <v>0.85</v>
      </c>
      <c r="F48" s="373">
        <v>0.96689999999999998</v>
      </c>
      <c r="G48" s="373">
        <v>0.83260000000000001</v>
      </c>
      <c r="H48" s="373">
        <v>0.83260000000000001</v>
      </c>
      <c r="I48" s="373">
        <v>0.83260000000000001</v>
      </c>
      <c r="J48" s="373">
        <v>0.92970000000000008</v>
      </c>
      <c r="K48" s="373">
        <v>0.73620000000000008</v>
      </c>
      <c r="L48" s="373">
        <v>0.86060000000000003</v>
      </c>
      <c r="M48" s="373">
        <v>0.98720000000000008</v>
      </c>
      <c r="N48" s="373">
        <v>0.98720000000000008</v>
      </c>
      <c r="O48" s="373">
        <v>0.98720000000000008</v>
      </c>
      <c r="P48" s="373">
        <v>0.37859999999999994</v>
      </c>
      <c r="Q48" s="373">
        <v>0.78300000000000003</v>
      </c>
      <c r="R48" s="373">
        <v>0.99429999999999996</v>
      </c>
      <c r="S48" s="373">
        <v>0.8</v>
      </c>
      <c r="T48" s="373">
        <v>0.85329999999999995</v>
      </c>
      <c r="V48" s="16"/>
      <c r="W48" s="7"/>
      <c r="X48" s="7"/>
      <c r="Y48" s="7"/>
    </row>
    <row r="49" spans="1:32">
      <c r="A49" s="7"/>
      <c r="B49" s="1" t="s">
        <v>146</v>
      </c>
      <c r="C49" s="373">
        <v>0.1</v>
      </c>
      <c r="D49" s="373">
        <v>0.1</v>
      </c>
      <c r="E49" s="373">
        <v>0.1</v>
      </c>
      <c r="F49" s="373">
        <v>7.8000000000000005E-3</v>
      </c>
      <c r="G49" s="373">
        <v>0.14269999999999999</v>
      </c>
      <c r="H49" s="373">
        <v>0.14269999999999999</v>
      </c>
      <c r="I49" s="373">
        <v>0.14269999999999999</v>
      </c>
      <c r="J49" s="373">
        <v>4.6199999999999998E-2</v>
      </c>
      <c r="K49" s="373">
        <v>7.4200000000000002E-2</v>
      </c>
      <c r="L49" s="373">
        <v>3.8100000000000002E-2</v>
      </c>
      <c r="M49" s="373">
        <v>2.5000000000000001E-3</v>
      </c>
      <c r="N49" s="373">
        <v>2.5000000000000001E-3</v>
      </c>
      <c r="O49" s="373">
        <v>2.5000000000000001E-3</v>
      </c>
      <c r="P49" s="373">
        <v>0.24660000000000001</v>
      </c>
      <c r="Q49" s="373">
        <v>3.5400000000000001E-2</v>
      </c>
      <c r="R49" s="373">
        <v>0</v>
      </c>
      <c r="S49" s="373">
        <v>0.1</v>
      </c>
      <c r="T49" s="373">
        <v>6.3200000000000006E-2</v>
      </c>
      <c r="V49" s="16"/>
      <c r="W49" s="7"/>
      <c r="X49" s="7"/>
      <c r="Y49" s="7"/>
    </row>
    <row r="50" spans="1:32">
      <c r="A50" s="7"/>
      <c r="B50" s="1" t="s">
        <v>215</v>
      </c>
      <c r="C50" s="373">
        <v>0.5</v>
      </c>
      <c r="D50" s="373">
        <v>0.8</v>
      </c>
      <c r="E50" s="373">
        <v>0.8</v>
      </c>
      <c r="F50" s="373">
        <v>0.8</v>
      </c>
      <c r="G50" s="373">
        <v>0.8</v>
      </c>
      <c r="H50" s="373">
        <v>0.8</v>
      </c>
      <c r="I50" s="373">
        <v>0.8</v>
      </c>
      <c r="J50" s="373">
        <v>0.8</v>
      </c>
      <c r="K50" s="373">
        <v>0.8</v>
      </c>
      <c r="L50" s="374">
        <v>0.9</v>
      </c>
      <c r="M50" s="374">
        <v>1</v>
      </c>
      <c r="N50" s="374">
        <v>1</v>
      </c>
      <c r="O50" s="374">
        <v>1</v>
      </c>
      <c r="P50" s="373">
        <v>0.2</v>
      </c>
      <c r="Q50" s="373">
        <v>0.2</v>
      </c>
      <c r="R50" s="373">
        <v>0.6</v>
      </c>
      <c r="S50" s="373">
        <v>0.6</v>
      </c>
      <c r="T50" s="373">
        <v>0.2</v>
      </c>
      <c r="V50" s="16"/>
      <c r="W50" s="7"/>
      <c r="X50" s="7"/>
      <c r="Y50" s="7"/>
    </row>
    <row r="51" spans="1:32">
      <c r="A51" s="7"/>
      <c r="B51" s="1" t="s">
        <v>216</v>
      </c>
      <c r="C51" s="373">
        <v>0.5</v>
      </c>
      <c r="D51" s="373">
        <v>0.2</v>
      </c>
      <c r="E51" s="373">
        <v>0.2</v>
      </c>
      <c r="F51" s="373">
        <v>0.2</v>
      </c>
      <c r="G51" s="373">
        <v>0.2</v>
      </c>
      <c r="H51" s="373">
        <v>0.2</v>
      </c>
      <c r="I51" s="373">
        <v>0.2</v>
      </c>
      <c r="J51" s="373">
        <v>0.2</v>
      </c>
      <c r="K51" s="373">
        <v>0.2</v>
      </c>
      <c r="L51" s="374">
        <v>0.1</v>
      </c>
      <c r="M51" s="374">
        <v>0</v>
      </c>
      <c r="N51" s="374">
        <v>0</v>
      </c>
      <c r="O51" s="373">
        <v>0</v>
      </c>
      <c r="P51" s="373">
        <v>0.8</v>
      </c>
      <c r="Q51" s="373">
        <v>0.8</v>
      </c>
      <c r="R51" s="373">
        <v>0.4</v>
      </c>
      <c r="S51" s="373">
        <v>0.4</v>
      </c>
      <c r="T51" s="373">
        <v>0.8</v>
      </c>
      <c r="V51" s="16"/>
      <c r="W51" s="7"/>
      <c r="X51" s="7"/>
      <c r="Y51" s="7"/>
    </row>
    <row r="52" spans="1:32">
      <c r="A52" s="7"/>
      <c r="B52" s="1" t="s">
        <v>236</v>
      </c>
      <c r="C52" s="373">
        <v>0.16</v>
      </c>
      <c r="D52" s="373">
        <v>0.16</v>
      </c>
      <c r="E52" s="373">
        <v>0.16</v>
      </c>
      <c r="F52" s="373">
        <v>0.02</v>
      </c>
      <c r="G52" s="373">
        <v>0.16</v>
      </c>
      <c r="H52" s="373">
        <v>0.16</v>
      </c>
      <c r="I52" s="373">
        <v>0.04</v>
      </c>
      <c r="J52" s="373">
        <v>7.0000000000000007E-2</v>
      </c>
      <c r="K52" s="373">
        <v>0.12</v>
      </c>
      <c r="L52" s="373">
        <v>0.03</v>
      </c>
      <c r="M52" s="373">
        <v>0.04</v>
      </c>
      <c r="N52" s="373">
        <v>0.15</v>
      </c>
      <c r="O52" s="373">
        <v>0.18</v>
      </c>
      <c r="P52" s="373">
        <v>0.11</v>
      </c>
      <c r="Q52" s="373">
        <v>0.11</v>
      </c>
      <c r="R52" s="373">
        <v>0.12</v>
      </c>
      <c r="S52" s="373">
        <v>0.08</v>
      </c>
      <c r="T52" s="373">
        <v>0.1</v>
      </c>
      <c r="V52" s="16"/>
      <c r="W52" s="7"/>
      <c r="X52" s="7"/>
      <c r="Y52" s="7"/>
    </row>
    <row r="53" spans="1:32">
      <c r="A53" s="7"/>
      <c r="B53" s="440" t="s">
        <v>1147</v>
      </c>
      <c r="C53" s="257">
        <f>C101</f>
        <v>0</v>
      </c>
      <c r="D53" s="257">
        <f t="shared" ref="D53:T53" si="9">D101</f>
        <v>9.3666492863930473E-2</v>
      </c>
      <c r="E53" s="257">
        <f t="shared" si="9"/>
        <v>0.18093220414775901</v>
      </c>
      <c r="F53" s="257">
        <f t="shared" si="9"/>
        <v>0</v>
      </c>
      <c r="G53" s="257">
        <f t="shared" si="9"/>
        <v>0</v>
      </c>
      <c r="H53" s="257">
        <f t="shared" si="9"/>
        <v>0.1845720316176401</v>
      </c>
      <c r="I53" s="257">
        <f t="shared" si="9"/>
        <v>0.23278079179476083</v>
      </c>
      <c r="J53" s="257">
        <f t="shared" si="9"/>
        <v>3.7519732135274744E-4</v>
      </c>
      <c r="K53" s="257">
        <f t="shared" si="9"/>
        <v>0</v>
      </c>
      <c r="L53" s="257">
        <f t="shared" si="9"/>
        <v>4.0847109948506629E-3</v>
      </c>
      <c r="M53" s="257">
        <f t="shared" si="9"/>
        <v>0</v>
      </c>
      <c r="N53" s="257">
        <f t="shared" si="9"/>
        <v>5.4746597404996745E-2</v>
      </c>
      <c r="O53" s="257">
        <f t="shared" si="9"/>
        <v>2.9347519170761286E-2</v>
      </c>
      <c r="P53" s="257">
        <f t="shared" si="9"/>
        <v>4.3510047797893039E-2</v>
      </c>
      <c r="Q53" s="257">
        <f t="shared" si="9"/>
        <v>0</v>
      </c>
      <c r="R53" s="257">
        <f t="shared" si="9"/>
        <v>6.9159304953855333E-2</v>
      </c>
      <c r="S53" s="257">
        <f t="shared" si="9"/>
        <v>6.6382185345618808E-2</v>
      </c>
      <c r="T53" s="257">
        <f t="shared" si="9"/>
        <v>3.7441828223745317E-2</v>
      </c>
      <c r="V53" s="16"/>
      <c r="W53" s="7"/>
      <c r="X53" s="7"/>
      <c r="Y53" s="7"/>
    </row>
    <row r="54" spans="1:32">
      <c r="A54" s="7"/>
      <c r="B54" s="1"/>
      <c r="C54" s="257"/>
      <c r="D54" s="257"/>
      <c r="E54" s="257"/>
      <c r="F54" s="257"/>
      <c r="G54" s="257"/>
      <c r="H54" s="257"/>
      <c r="I54" s="257"/>
      <c r="J54" s="257"/>
      <c r="K54" s="257"/>
      <c r="L54" s="258"/>
      <c r="M54" s="258"/>
      <c r="N54" s="258"/>
      <c r="O54" s="258"/>
      <c r="P54" s="257"/>
      <c r="Q54" s="257"/>
      <c r="R54" s="257"/>
      <c r="S54" s="257"/>
      <c r="T54" s="257"/>
      <c r="V54" s="16"/>
      <c r="W54" s="7"/>
      <c r="X54" s="7"/>
      <c r="Y54" s="7"/>
    </row>
    <row r="55" spans="1:32">
      <c r="A55" s="7"/>
      <c r="B55" s="1"/>
      <c r="C55" s="257"/>
      <c r="D55" s="257"/>
      <c r="E55" s="257"/>
      <c r="F55" s="257"/>
      <c r="G55" s="257"/>
      <c r="H55" s="257"/>
      <c r="I55" s="257"/>
      <c r="J55" s="257"/>
      <c r="K55" s="257"/>
      <c r="L55" s="258"/>
      <c r="M55" s="258"/>
      <c r="N55" s="258"/>
      <c r="O55" s="257"/>
      <c r="P55" s="257"/>
      <c r="Q55" s="257"/>
      <c r="R55" s="257"/>
      <c r="S55" s="257"/>
      <c r="T55" s="257"/>
      <c r="V55" s="16"/>
      <c r="W55" s="7"/>
      <c r="X55" s="7"/>
      <c r="Y55" s="7"/>
    </row>
    <row r="56" spans="1:32">
      <c r="A56" s="278" t="s">
        <v>895</v>
      </c>
      <c r="B56" s="1" t="s">
        <v>303</v>
      </c>
      <c r="C56" s="458">
        <v>0.82</v>
      </c>
      <c r="D56" s="458">
        <v>0.9</v>
      </c>
      <c r="E56" s="458">
        <v>0.95</v>
      </c>
      <c r="F56" s="458">
        <v>0.88</v>
      </c>
      <c r="G56" s="458">
        <v>0.88</v>
      </c>
      <c r="H56" s="458">
        <v>0.88</v>
      </c>
      <c r="I56" s="458">
        <v>0.88</v>
      </c>
      <c r="J56" s="458">
        <v>0.83</v>
      </c>
      <c r="K56" s="458">
        <v>0.75</v>
      </c>
      <c r="L56" s="458">
        <v>0.24</v>
      </c>
      <c r="M56" s="458">
        <v>0.94</v>
      </c>
      <c r="N56" s="458">
        <v>0.94</v>
      </c>
      <c r="O56" s="458">
        <v>1</v>
      </c>
      <c r="P56" s="458">
        <v>0.88</v>
      </c>
      <c r="Q56" s="458">
        <v>0.95</v>
      </c>
      <c r="R56" s="458">
        <v>0.95</v>
      </c>
      <c r="S56" s="458">
        <v>0.95</v>
      </c>
      <c r="T56" s="458">
        <v>0.7</v>
      </c>
      <c r="V56" s="16"/>
      <c r="W56" s="7"/>
      <c r="X56" s="7"/>
      <c r="Y56" s="7"/>
    </row>
    <row r="57" spans="1:32">
      <c r="A57" s="7"/>
      <c r="B57" s="7"/>
      <c r="C57" s="7"/>
      <c r="D57" s="7"/>
      <c r="E57" s="7"/>
      <c r="F57" s="7"/>
      <c r="G57" s="7"/>
      <c r="H57" s="7"/>
      <c r="I57" s="7"/>
      <c r="J57" s="7"/>
      <c r="K57" s="7"/>
      <c r="L57" s="7"/>
      <c r="M57" s="7"/>
      <c r="N57" s="7"/>
      <c r="O57" s="7"/>
      <c r="P57" s="7"/>
      <c r="Q57" s="7"/>
      <c r="R57" s="7"/>
      <c r="S57" s="7"/>
      <c r="T57" s="7"/>
      <c r="V57" s="16"/>
      <c r="W57" s="7"/>
      <c r="X57" s="7"/>
      <c r="Y57" s="7"/>
    </row>
    <row r="58" spans="1:32">
      <c r="A58" s="7"/>
      <c r="B58" s="7"/>
      <c r="C58" s="7"/>
      <c r="D58" s="7"/>
      <c r="E58" s="7"/>
      <c r="F58" s="7"/>
      <c r="G58" s="7"/>
      <c r="H58" s="7"/>
      <c r="I58" s="7"/>
      <c r="J58" s="7"/>
      <c r="K58" s="7"/>
      <c r="L58" s="7"/>
      <c r="M58" s="7"/>
      <c r="N58" s="7"/>
      <c r="O58" s="7"/>
      <c r="P58" s="7"/>
      <c r="Q58" s="7"/>
      <c r="R58" s="7"/>
      <c r="S58" s="7"/>
      <c r="T58" s="7"/>
      <c r="V58" s="16"/>
      <c r="W58" s="7"/>
      <c r="X58" s="7"/>
      <c r="Y58" s="7"/>
    </row>
    <row r="59" spans="1:32">
      <c r="A59" s="7"/>
      <c r="B59" s="7"/>
      <c r="V59" s="16"/>
      <c r="W59" s="7"/>
      <c r="X59" s="7"/>
      <c r="Y59" s="7"/>
    </row>
    <row r="60" spans="1:32">
      <c r="A60" s="377" t="s">
        <v>780</v>
      </c>
      <c r="B60" s="7"/>
      <c r="C60" s="25"/>
      <c r="D60" s="7"/>
      <c r="E60" s="7"/>
      <c r="F60" s="25"/>
      <c r="G60" s="7"/>
      <c r="H60" s="7"/>
      <c r="I60" s="7"/>
      <c r="J60" s="7"/>
      <c r="K60" s="7"/>
      <c r="L60" s="7"/>
      <c r="M60" s="7"/>
      <c r="N60" s="7"/>
      <c r="O60" s="7"/>
      <c r="P60" s="7"/>
      <c r="Q60" s="7"/>
      <c r="R60" s="7"/>
      <c r="S60" s="7"/>
      <c r="T60" s="7"/>
      <c r="V60" s="16"/>
      <c r="W60" s="7"/>
      <c r="X60" s="7"/>
      <c r="Y60" s="7"/>
    </row>
    <row r="61" spans="1:32" ht="15">
      <c r="A61" s="259" t="str">
        <f>Lookup!C12</f>
        <v>_PRE2013</v>
      </c>
      <c r="B61" s="246"/>
      <c r="C61" s="382" t="s">
        <v>256</v>
      </c>
      <c r="D61" s="382" t="s">
        <v>256</v>
      </c>
      <c r="E61" s="382" t="s">
        <v>256</v>
      </c>
      <c r="F61" s="382" t="s">
        <v>748</v>
      </c>
      <c r="G61" s="382" t="s">
        <v>748</v>
      </c>
      <c r="H61" s="382" t="s">
        <v>748</v>
      </c>
      <c r="I61" s="382" t="s">
        <v>748</v>
      </c>
      <c r="J61" s="246"/>
      <c r="K61" s="246"/>
      <c r="L61" s="246"/>
      <c r="M61" s="383" t="s">
        <v>265</v>
      </c>
      <c r="N61" s="383" t="s">
        <v>265</v>
      </c>
      <c r="O61" s="246"/>
      <c r="P61" s="246"/>
      <c r="Q61" s="246"/>
      <c r="R61" s="246"/>
      <c r="S61" s="246"/>
      <c r="T61" s="246"/>
      <c r="V61" s="16"/>
      <c r="W61" s="7"/>
      <c r="X61" s="7"/>
      <c r="Y61" s="459" t="s">
        <v>896</v>
      </c>
      <c r="Z61" s="586" t="s">
        <v>771</v>
      </c>
      <c r="AA61" s="586"/>
      <c r="AB61" s="459"/>
      <c r="AC61" s="459"/>
      <c r="AD61" s="459"/>
    </row>
    <row r="62" spans="1:32" ht="15.75" thickBot="1">
      <c r="A62" s="260" t="s">
        <v>289</v>
      </c>
      <c r="B62" s="246" t="str">
        <f>A61</f>
        <v>_PRE2013</v>
      </c>
      <c r="C62" s="551" t="s">
        <v>256</v>
      </c>
      <c r="D62" s="551"/>
      <c r="E62" s="551"/>
      <c r="F62" s="557" t="s">
        <v>748</v>
      </c>
      <c r="G62" s="551"/>
      <c r="H62" s="551"/>
      <c r="I62" s="551"/>
      <c r="J62" s="551" t="s">
        <v>262</v>
      </c>
      <c r="K62" s="551"/>
      <c r="L62" s="246" t="s">
        <v>264</v>
      </c>
      <c r="M62" s="551" t="s">
        <v>265</v>
      </c>
      <c r="N62" s="551"/>
      <c r="O62" s="246" t="s">
        <v>266</v>
      </c>
      <c r="P62" s="246" t="s">
        <v>267</v>
      </c>
      <c r="Q62" s="551" t="s">
        <v>270</v>
      </c>
      <c r="R62" s="551"/>
      <c r="S62" s="247" t="s">
        <v>311</v>
      </c>
      <c r="T62" s="246" t="s">
        <v>272</v>
      </c>
      <c r="V62" s="16"/>
      <c r="W62" s="7"/>
      <c r="X62" s="7"/>
      <c r="Y62" s="460" t="s">
        <v>731</v>
      </c>
      <c r="Z62" s="461" t="s">
        <v>897</v>
      </c>
      <c r="AA62" s="461" t="s">
        <v>898</v>
      </c>
      <c r="AB62" s="461" t="s">
        <v>899</v>
      </c>
      <c r="AC62" s="461" t="s">
        <v>900</v>
      </c>
      <c r="AD62" s="461" t="s">
        <v>747</v>
      </c>
      <c r="AE62" s="2"/>
      <c r="AF62" s="6">
        <v>0.43662384690294082</v>
      </c>
    </row>
    <row r="63" spans="1:32" ht="15">
      <c r="A63" s="246" t="str">
        <f>A61</f>
        <v>_PRE2013</v>
      </c>
      <c r="B63" s="260" t="s">
        <v>290</v>
      </c>
      <c r="C63" s="577">
        <f>SUM(C66:E66)</f>
        <v>0.21925891959556321</v>
      </c>
      <c r="D63" s="577"/>
      <c r="E63" s="577"/>
      <c r="F63" s="577">
        <f>SUM(F66:I66)</f>
        <v>0.170463671983236</v>
      </c>
      <c r="G63" s="577"/>
      <c r="H63" s="577"/>
      <c r="I63" s="577"/>
      <c r="J63" s="577">
        <f>SUM(J66:K66)</f>
        <v>0.11027533939050128</v>
      </c>
      <c r="K63" s="577"/>
      <c r="L63" s="261">
        <f>L66</f>
        <v>0.13203580856943528</v>
      </c>
      <c r="M63" s="577">
        <f>SUM(M66:N66)</f>
        <v>2.3026138677721724E-2</v>
      </c>
      <c r="N63" s="577"/>
      <c r="O63" s="261">
        <f>O66</f>
        <v>1.5835296654172451E-2</v>
      </c>
      <c r="P63" s="261">
        <f>P66</f>
        <v>5.1068065124091046E-2</v>
      </c>
      <c r="Q63" s="577">
        <f>SUM(Q66:R66)</f>
        <v>6.8347557000163706E-2</v>
      </c>
      <c r="R63" s="577"/>
      <c r="S63" s="262">
        <f>S66</f>
        <v>0.11013494038183547</v>
      </c>
      <c r="T63" s="261">
        <f>T66</f>
        <v>9.9554262623279946E-2</v>
      </c>
      <c r="V63" s="16"/>
      <c r="W63" s="7"/>
      <c r="X63" s="7"/>
      <c r="Y63" s="462" t="s">
        <v>311</v>
      </c>
      <c r="Z63" s="463">
        <v>0.79</v>
      </c>
      <c r="AA63" s="463">
        <v>0.98</v>
      </c>
      <c r="AB63" s="463">
        <v>0</v>
      </c>
      <c r="AC63" s="463">
        <v>0.02</v>
      </c>
      <c r="AD63" s="463">
        <v>0.45</v>
      </c>
      <c r="AF63" s="32">
        <v>0.43870945466576416</v>
      </c>
    </row>
    <row r="64" spans="1:32" ht="15">
      <c r="A64" s="246" t="s">
        <v>282</v>
      </c>
      <c r="B64" s="246" t="str">
        <f>A61</f>
        <v>_PRE2013</v>
      </c>
      <c r="C64" s="246" t="s">
        <v>274</v>
      </c>
      <c r="D64" s="246" t="s">
        <v>275</v>
      </c>
      <c r="E64" s="246" t="s">
        <v>276</v>
      </c>
      <c r="F64" s="246" t="s">
        <v>721</v>
      </c>
      <c r="G64" s="246" t="s">
        <v>722</v>
      </c>
      <c r="H64" s="246" t="s">
        <v>723</v>
      </c>
      <c r="I64" s="246" t="s">
        <v>724</v>
      </c>
      <c r="J64" s="246" t="s">
        <v>725</v>
      </c>
      <c r="K64" s="246" t="s">
        <v>273</v>
      </c>
      <c r="L64" s="246" t="s">
        <v>264</v>
      </c>
      <c r="M64" s="246" t="s">
        <v>278</v>
      </c>
      <c r="N64" s="246" t="s">
        <v>446</v>
      </c>
      <c r="O64" s="246" t="s">
        <v>266</v>
      </c>
      <c r="P64" s="246" t="s">
        <v>267</v>
      </c>
      <c r="Q64" s="246" t="s">
        <v>268</v>
      </c>
      <c r="R64" s="383" t="s">
        <v>726</v>
      </c>
      <c r="S64" s="246" t="s">
        <v>311</v>
      </c>
      <c r="T64" s="246" t="s">
        <v>272</v>
      </c>
      <c r="V64" s="16"/>
      <c r="W64" s="7"/>
      <c r="X64" s="7"/>
      <c r="Y64" s="462" t="s">
        <v>901</v>
      </c>
      <c r="Z64" s="585">
        <v>0.96</v>
      </c>
      <c r="AA64" s="585">
        <v>0.95</v>
      </c>
      <c r="AB64" s="585">
        <v>0.01</v>
      </c>
      <c r="AC64" s="585">
        <v>0.04</v>
      </c>
      <c r="AD64" s="585">
        <v>0.49</v>
      </c>
      <c r="AF64" s="32">
        <v>0.61429722249870589</v>
      </c>
    </row>
    <row r="65" spans="1:32" ht="15">
      <c r="A65" s="7"/>
      <c r="B65" s="7" t="s">
        <v>287</v>
      </c>
      <c r="C65" s="411">
        <f>C66/C63</f>
        <v>0.43937391922213881</v>
      </c>
      <c r="D65" s="411">
        <f>D66/C63</f>
        <v>0.43063730719145626</v>
      </c>
      <c r="E65" s="411">
        <f>E66/C63</f>
        <v>0.12998877358640493</v>
      </c>
      <c r="F65" s="411">
        <f>F66/F63</f>
        <v>0.23462323739305441</v>
      </c>
      <c r="G65" s="411">
        <f>G66/F63</f>
        <v>5.5262096022427078E-2</v>
      </c>
      <c r="H65" s="411">
        <f>H66/F63</f>
        <v>0.60637878991755256</v>
      </c>
      <c r="I65" s="411">
        <f>I66/F63</f>
        <v>0.10373587666696588</v>
      </c>
      <c r="J65" s="411">
        <f>J66/J63</f>
        <v>0.66429751499430445</v>
      </c>
      <c r="K65" s="411">
        <f>K66/J63</f>
        <v>0.33570248500569549</v>
      </c>
      <c r="L65" s="411">
        <f>L66/L63</f>
        <v>1</v>
      </c>
      <c r="M65" s="411">
        <f>M66/M63</f>
        <v>0.84840559081310307</v>
      </c>
      <c r="N65" s="411">
        <f>N66/M63</f>
        <v>0.15159440918689687</v>
      </c>
      <c r="O65" s="411">
        <f>O66/O63</f>
        <v>1</v>
      </c>
      <c r="P65" s="411">
        <f>P66/P63</f>
        <v>1</v>
      </c>
      <c r="Q65" s="411">
        <v>1</v>
      </c>
      <c r="R65" s="411">
        <v>1</v>
      </c>
      <c r="S65" s="411">
        <f>S66/S63</f>
        <v>1</v>
      </c>
      <c r="T65" s="411">
        <f>T66/T63</f>
        <v>1</v>
      </c>
      <c r="V65" s="16"/>
      <c r="W65" s="7"/>
      <c r="X65" s="7"/>
      <c r="Y65" s="462" t="s">
        <v>242</v>
      </c>
      <c r="Z65" s="585"/>
      <c r="AA65" s="585"/>
      <c r="AB65" s="585"/>
      <c r="AC65" s="585"/>
      <c r="AD65" s="585"/>
      <c r="AF65" s="32">
        <v>8.8166008868383883E-2</v>
      </c>
    </row>
    <row r="66" spans="1:32" ht="15">
      <c r="A66" s="7"/>
      <c r="B66" s="7" t="s">
        <v>285</v>
      </c>
      <c r="C66" s="412">
        <f>VLOOKUP(C$64,Floor!$B$6:$R$24,MATCH(CHAR!$B64,Floor!$B$6:$R$6,0),FALSE)</f>
        <v>9.6336650827114415E-2</v>
      </c>
      <c r="D66" s="412">
        <f>VLOOKUP(D$64,Floor!$B$6:$R$24,MATCH(CHAR!$B64,Floor!$B$6:$R$6,0),FALSE)</f>
        <v>9.4421070712341362E-2</v>
      </c>
      <c r="E66" s="412">
        <f>VLOOKUP(E$64,Floor!$B$6:$R$24,MATCH(CHAR!$B64,Floor!$B$6:$R$6,0),FALSE)</f>
        <v>2.8501198056107426E-2</v>
      </c>
      <c r="F66" s="412">
        <f>VLOOKUP(F$64,Floor!$B$6:$R$24,MATCH(CHAR!$B64,Floor!$B$6:$R$6,0),FALSE)</f>
        <v>3.999473857861454E-2</v>
      </c>
      <c r="G66" s="412">
        <f>VLOOKUP(G$64,Floor!$B$6:$R$24,MATCH(CHAR!$B64,Floor!$B$6:$R$6,0),FALSE)</f>
        <v>9.4201798094731004E-3</v>
      </c>
      <c r="H66" s="412">
        <f>VLOOKUP(H$64,Floor!$B$6:$R$24,MATCH(CHAR!$B64,Floor!$B$6:$R$6,0),FALSE)</f>
        <v>0.10336555514209726</v>
      </c>
      <c r="I66" s="412">
        <f>VLOOKUP(I$64,Floor!$B$6:$R$24,MATCH(CHAR!$B64,Floor!$B$6:$R$6,0),FALSE)</f>
        <v>1.7683198453051097E-2</v>
      </c>
      <c r="J66" s="412">
        <f>VLOOKUP(J$64,Floor!$B$6:$R$24,MATCH(CHAR!$B64,Floor!$B$6:$R$6,0),FALSE)</f>
        <v>7.3255633922263544E-2</v>
      </c>
      <c r="K66" s="412">
        <f>VLOOKUP(K$64,Floor!$B$6:$R$24,MATCH(CHAR!$B64,Floor!$B$6:$R$6,0),FALSE)</f>
        <v>3.701970546823774E-2</v>
      </c>
      <c r="L66" s="412">
        <f>VLOOKUP(L$64,Floor!$B$6:$R$24,MATCH(CHAR!$B64,Floor!$B$6:$R$6,0),FALSE)</f>
        <v>0.13203580856943528</v>
      </c>
      <c r="M66" s="412">
        <f>VLOOKUP(M$64,Floor!$B$6:$R$24,MATCH(CHAR!$B64,Floor!$B$6:$R$6,0),FALSE)</f>
        <v>1.9535504789016944E-2</v>
      </c>
      <c r="N66" s="412">
        <f>VLOOKUP(N$64,Floor!$B$6:$R$24,MATCH(CHAR!$B64,Floor!$B$6:$R$6,0),FALSE)</f>
        <v>3.4906338887047794E-3</v>
      </c>
      <c r="O66" s="412">
        <f>VLOOKUP(O$64,Floor!$B$6:$R$24,MATCH(CHAR!$B64,Floor!$B$6:$R$6,0),FALSE)</f>
        <v>1.5835296654172451E-2</v>
      </c>
      <c r="P66" s="412">
        <f>VLOOKUP(P$64,Floor!$B$6:$R$24,MATCH(CHAR!$B64,Floor!$B$6:$R$6,0),FALSE)</f>
        <v>5.1068065124091046E-2</v>
      </c>
      <c r="Q66" s="412">
        <f>VLOOKUP(Q$64,Floor!$B$6:$R$24,MATCH(CHAR!$B64,Floor!$B$6:$R$6,0),FALSE)</f>
        <v>3.0978070527759683E-2</v>
      </c>
      <c r="R66" s="412">
        <f>VLOOKUP(R$64,Floor!$B$6:$R$24,MATCH(CHAR!$B64,Floor!$B$6:$R$6,0),FALSE)</f>
        <v>3.7369486472404026E-2</v>
      </c>
      <c r="S66" s="412">
        <f>VLOOKUP(S$64,Floor!$B$6:$R$24,MATCH(CHAR!$B64,Floor!$B$6:$R$6,0),FALSE)</f>
        <v>0.11013494038183547</v>
      </c>
      <c r="T66" s="412">
        <f>VLOOKUP(T$64,Floor!$B$6:$R$24,MATCH(CHAR!$B64,Floor!$B$6:$R$6,0),FALSE)</f>
        <v>9.9554262623279946E-2</v>
      </c>
      <c r="V66" s="16"/>
      <c r="W66" s="7"/>
      <c r="X66" s="7"/>
      <c r="Y66" s="462" t="s">
        <v>265</v>
      </c>
      <c r="Z66" s="463">
        <v>0.87</v>
      </c>
      <c r="AA66" s="463">
        <v>0.96</v>
      </c>
      <c r="AB66" s="463">
        <v>0.01</v>
      </c>
      <c r="AC66" s="463">
        <v>0.03</v>
      </c>
      <c r="AD66" s="463">
        <v>0.47</v>
      </c>
      <c r="AF66" s="32">
        <v>0</v>
      </c>
    </row>
    <row r="67" spans="1:32" ht="15">
      <c r="A67" s="7"/>
      <c r="B67" s="7" t="s">
        <v>296</v>
      </c>
      <c r="C67" s="411">
        <f>'CBSA Data'!C4</f>
        <v>0.20943280302167308</v>
      </c>
      <c r="D67" s="411">
        <f>'CBSA Data'!D4</f>
        <v>0.22131165109110185</v>
      </c>
      <c r="E67" s="411">
        <f>'CBSA Data'!E4</f>
        <v>0.30640942705415353</v>
      </c>
      <c r="F67" s="411">
        <f>'CBSA Data'!F4</f>
        <v>5.2995881766435368E-2</v>
      </c>
      <c r="G67" s="411">
        <f>'CBSA Data'!G4</f>
        <v>1.0593107738682607E-2</v>
      </c>
      <c r="H67" s="411">
        <f>'CBSA Data'!H4</f>
        <v>0.12006240959495594</v>
      </c>
      <c r="I67" s="411">
        <f>'CBSA Data'!I4</f>
        <v>0.2732917310450087</v>
      </c>
      <c r="J67" s="411">
        <f>'CBSA Data'!J4</f>
        <v>5.8369343906151915E-2</v>
      </c>
      <c r="K67" s="412">
        <v>0.1</v>
      </c>
      <c r="L67" s="411">
        <f>'CBSA Data'!L4</f>
        <v>6.3929137015483993E-3</v>
      </c>
      <c r="M67" s="411">
        <f>'CBSA Data'!M4</f>
        <v>3.9182634298973458E-2</v>
      </c>
      <c r="N67" s="411">
        <f>'CBSA Data'!N4</f>
        <v>9.8940421863423066E-3</v>
      </c>
      <c r="O67" s="411">
        <f>'CBSA Data'!O4</f>
        <v>3.0050555941853869E-2</v>
      </c>
      <c r="P67" s="411">
        <f>'CBSA Data'!P4</f>
        <v>0.44679184687802564</v>
      </c>
      <c r="Q67" s="412">
        <v>0.08</v>
      </c>
      <c r="R67" s="411">
        <f>'CBSA Data'!R4</f>
        <v>0.33985691133471541</v>
      </c>
      <c r="S67" s="411">
        <f>'CBSA Data'!S4</f>
        <v>0.10640191237323121</v>
      </c>
      <c r="T67" s="411">
        <f>'CBSA Data'!T4</f>
        <v>0.16939513747697868</v>
      </c>
      <c r="V67" s="16"/>
      <c r="W67" s="7"/>
      <c r="X67" s="7"/>
      <c r="Y67" s="462" t="s">
        <v>267</v>
      </c>
      <c r="Z67" s="463">
        <v>0.88</v>
      </c>
      <c r="AA67" s="463">
        <v>0.99</v>
      </c>
      <c r="AB67" s="463">
        <v>0</v>
      </c>
      <c r="AC67" s="463">
        <v>0</v>
      </c>
      <c r="AD67" s="463">
        <v>0.47</v>
      </c>
      <c r="AF67" s="32">
        <v>0.13356302443052195</v>
      </c>
    </row>
    <row r="68" spans="1:32" ht="15">
      <c r="A68" s="7"/>
      <c r="B68" s="7" t="s">
        <v>298</v>
      </c>
      <c r="C68" s="411">
        <f>'CBSA Data'!C5</f>
        <v>0.54037060186620078</v>
      </c>
      <c r="D68" s="411">
        <f>'CBSA Data'!D5</f>
        <v>0.51430081857580845</v>
      </c>
      <c r="E68" s="411">
        <f>'CBSA Data'!E5</f>
        <v>0.3275419203320854</v>
      </c>
      <c r="F68" s="411">
        <f>'CBSA Data'!F5</f>
        <v>0.91606730000738101</v>
      </c>
      <c r="G68" s="411">
        <f>'CBSA Data'!G5</f>
        <v>0.98322307122393326</v>
      </c>
      <c r="H68" s="411">
        <f>'CBSA Data'!H5</f>
        <v>0.80985008893074606</v>
      </c>
      <c r="I68" s="411">
        <f>'CBSA Data'!I5</f>
        <v>0.56717178566142912</v>
      </c>
      <c r="J68" s="411">
        <f>'CBSA Data'!J5</f>
        <v>0.84777782221188291</v>
      </c>
      <c r="K68" s="412">
        <v>0.8</v>
      </c>
      <c r="L68" s="411">
        <f>'CBSA Data'!L5</f>
        <v>0.98700382329725422</v>
      </c>
      <c r="M68" s="411">
        <f>'CBSA Data'!M5</f>
        <v>0.46957192737561176</v>
      </c>
      <c r="N68" s="411">
        <f>'CBSA Data'!N5</f>
        <v>0.86606113087441317</v>
      </c>
      <c r="O68" s="411">
        <f>'CBSA Data'!O5</f>
        <v>0.79365284945968273</v>
      </c>
      <c r="P68" s="411">
        <f>'CBSA Data'!P5</f>
        <v>0.24941748529786834</v>
      </c>
      <c r="Q68" s="412">
        <v>0.91</v>
      </c>
      <c r="R68" s="411">
        <f>'CBSA Data'!R5</f>
        <v>0.40556621261939335</v>
      </c>
      <c r="S68" s="411">
        <f>'CBSA Data'!S5</f>
        <v>0.77815390025512432</v>
      </c>
      <c r="T68" s="411">
        <f>'CBSA Data'!T5</f>
        <v>0.7257160432726234</v>
      </c>
      <c r="V68" s="16"/>
      <c r="W68" s="7"/>
      <c r="X68" s="7"/>
      <c r="Y68" s="462" t="s">
        <v>256</v>
      </c>
      <c r="Z68" s="463">
        <v>0.96</v>
      </c>
      <c r="AA68" s="463">
        <v>0.99</v>
      </c>
      <c r="AB68" s="463">
        <v>0</v>
      </c>
      <c r="AC68" s="463">
        <v>0.01</v>
      </c>
      <c r="AD68" s="463">
        <v>0.49</v>
      </c>
      <c r="AF68" s="32">
        <v>0.2981053257044502</v>
      </c>
    </row>
    <row r="69" spans="1:32" ht="15">
      <c r="A69" s="7"/>
      <c r="B69" s="7" t="s">
        <v>299</v>
      </c>
      <c r="C69" s="411">
        <f>'CBSA Data'!C6</f>
        <v>0.25019659511212627</v>
      </c>
      <c r="D69" s="411">
        <f>'CBSA Data'!D6</f>
        <v>0.26438753033308959</v>
      </c>
      <c r="E69" s="411">
        <f>'CBSA Data'!E6</f>
        <v>0.36604865261376096</v>
      </c>
      <c r="F69" s="411">
        <f>'CBSA Data'!F6</f>
        <v>3.0936818226183656E-2</v>
      </c>
      <c r="G69" s="411">
        <f>'CBSA Data'!G6</f>
        <v>6.1838210373840949E-3</v>
      </c>
      <c r="H69" s="411">
        <f>'CBSA Data'!H6</f>
        <v>7.0087501474297986E-2</v>
      </c>
      <c r="I69" s="411">
        <f>'CBSA Data'!I6</f>
        <v>0.15953648329356207</v>
      </c>
      <c r="J69" s="411">
        <f>'CBSA Data'!J6</f>
        <v>9.3852833881965178E-2</v>
      </c>
      <c r="K69" s="412">
        <v>0.1</v>
      </c>
      <c r="L69" s="411">
        <f>'CBSA Data'!L6</f>
        <v>6.6032630011973147E-3</v>
      </c>
      <c r="M69" s="411">
        <f>'CBSA Data'!M6</f>
        <v>6.234756715808213E-2</v>
      </c>
      <c r="N69" s="411">
        <f>'CBSA Data'!N6</f>
        <v>1.5743440192688529E-2</v>
      </c>
      <c r="O69" s="411">
        <f>'CBSA Data'!O6</f>
        <v>0.17629659459846331</v>
      </c>
      <c r="P69" s="411">
        <f>'CBSA Data'!P6</f>
        <v>0.30379066782410608</v>
      </c>
      <c r="Q69" s="412">
        <v>0.01</v>
      </c>
      <c r="R69" s="411">
        <f>'CBSA Data'!R6</f>
        <v>0.25457687604589124</v>
      </c>
      <c r="S69" s="411">
        <f>'CBSA Data'!S6</f>
        <v>0.11544418737164447</v>
      </c>
      <c r="T69" s="411">
        <f>'CBSA Data'!T6</f>
        <v>0.104888819250398</v>
      </c>
      <c r="V69" s="16"/>
      <c r="W69" s="7"/>
      <c r="X69" s="7"/>
      <c r="Y69" s="462" t="s">
        <v>272</v>
      </c>
      <c r="Z69" s="463">
        <v>0.82</v>
      </c>
      <c r="AA69" s="463">
        <v>0.96</v>
      </c>
      <c r="AB69" s="463">
        <v>0</v>
      </c>
      <c r="AC69" s="463">
        <v>0.03</v>
      </c>
      <c r="AD69" s="463">
        <v>0.45</v>
      </c>
      <c r="AF69" s="32">
        <v>0.13053679455519543</v>
      </c>
    </row>
    <row r="70" spans="1:32" ht="15">
      <c r="A70" s="7"/>
      <c r="B70" s="7" t="s">
        <v>303</v>
      </c>
      <c r="C70" s="449">
        <f>AE103</f>
        <v>0.76889412716362515</v>
      </c>
      <c r="D70" s="449">
        <f>AE101</f>
        <v>0.9156533727398849</v>
      </c>
      <c r="E70" s="427">
        <f>AE99</f>
        <v>0.85579006639653332</v>
      </c>
      <c r="F70" s="427">
        <f>AE124</f>
        <v>0.95160006380782447</v>
      </c>
      <c r="G70" s="427">
        <f>AE123</f>
        <v>0.98526989662125641</v>
      </c>
      <c r="H70" s="427">
        <f>AE122</f>
        <v>0.65234151837252696</v>
      </c>
      <c r="I70" s="427">
        <f>AE120</f>
        <v>0.66014461756611731</v>
      </c>
      <c r="J70" s="427">
        <v>0.69618308739231149</v>
      </c>
      <c r="K70" s="427">
        <v>0.75</v>
      </c>
      <c r="L70" s="427">
        <v>0.23</v>
      </c>
      <c r="M70" s="427">
        <v>0.89440943169321674</v>
      </c>
      <c r="N70" s="427">
        <v>0.91392039395838554</v>
      </c>
      <c r="O70" s="427">
        <v>0.9581056413122655</v>
      </c>
      <c r="P70" s="427">
        <v>0.82644591140120194</v>
      </c>
      <c r="Q70" s="427">
        <v>0.95</v>
      </c>
      <c r="R70" s="427">
        <v>0.82648440258098632</v>
      </c>
      <c r="S70" s="427">
        <v>0.77184416415983825</v>
      </c>
      <c r="T70" s="427">
        <v>0.71310077098671132</v>
      </c>
      <c r="V70" s="16"/>
      <c r="W70" s="7"/>
      <c r="X70" s="7"/>
      <c r="Y70" s="462" t="s">
        <v>726</v>
      </c>
      <c r="Z70" s="463">
        <v>0.85</v>
      </c>
      <c r="AA70" s="463">
        <v>0.99</v>
      </c>
      <c r="AB70" s="463">
        <v>0</v>
      </c>
      <c r="AC70" s="463">
        <v>0.01</v>
      </c>
      <c r="AD70" s="463">
        <v>0.46</v>
      </c>
      <c r="AF70" s="32"/>
    </row>
    <row r="71" spans="1:32" ht="15">
      <c r="A71" s="7"/>
      <c r="B71" s="7" t="s">
        <v>304</v>
      </c>
      <c r="C71" s="578">
        <f>SUMPRODUCT(C65:E65,C70:E70)</f>
        <v>0.84338963005455969</v>
      </c>
      <c r="D71" s="579"/>
      <c r="E71" s="580"/>
      <c r="F71" s="578">
        <f>SUMPRODUCT(F65:I65,F70:I70)</f>
        <v>0.74176230846303148</v>
      </c>
      <c r="G71" s="579"/>
      <c r="H71" s="579"/>
      <c r="I71" s="580"/>
      <c r="J71" s="578">
        <f>SUMPRODUCT(J70:K70,J65:K65)</f>
        <v>0.7142495586900468</v>
      </c>
      <c r="K71" s="580"/>
      <c r="L71" s="427">
        <v>0.23</v>
      </c>
      <c r="M71" s="578">
        <f>SUMPRODUCT(M65:N65,M70:N70)</f>
        <v>0.8973671844904727</v>
      </c>
      <c r="N71" s="580"/>
      <c r="O71" s="427">
        <v>0.96</v>
      </c>
      <c r="P71" s="427">
        <v>0.88</v>
      </c>
      <c r="Q71" s="578">
        <f>AVERAGE(Q70:R70)</f>
        <v>0.88824220129049314</v>
      </c>
      <c r="R71" s="580"/>
      <c r="S71" s="427">
        <f>S70</f>
        <v>0.77184416415983825</v>
      </c>
      <c r="T71" s="427">
        <f>T70</f>
        <v>0.71310077098671132</v>
      </c>
      <c r="V71" s="16"/>
      <c r="W71" s="7"/>
      <c r="X71" s="7"/>
      <c r="Y71" s="462" t="s">
        <v>261</v>
      </c>
      <c r="Z71" s="463">
        <v>0.74</v>
      </c>
      <c r="AA71" s="463">
        <v>0.94</v>
      </c>
      <c r="AB71" s="463">
        <v>0</v>
      </c>
      <c r="AC71" s="463">
        <v>7.0000000000000007E-2</v>
      </c>
      <c r="AD71" s="463">
        <v>0.43</v>
      </c>
      <c r="AF71" s="32">
        <v>0.12715909506871856</v>
      </c>
    </row>
    <row r="72" spans="1:32" ht="15">
      <c r="A72" s="7"/>
      <c r="B72" s="7" t="s">
        <v>329</v>
      </c>
      <c r="C72" s="409">
        <v>0.15</v>
      </c>
      <c r="D72" s="409">
        <v>0.75000000000000011</v>
      </c>
      <c r="E72" s="409">
        <v>0.95</v>
      </c>
      <c r="F72" s="409">
        <v>0.90880480523807783</v>
      </c>
      <c r="G72" s="409">
        <v>0.72388464763320426</v>
      </c>
      <c r="H72" s="409">
        <v>0.72388464763320426</v>
      </c>
      <c r="I72" s="409">
        <v>0.21126457727609282</v>
      </c>
      <c r="J72" s="409">
        <v>0.38624918003188907</v>
      </c>
      <c r="K72" s="409">
        <v>0.24174716638708693</v>
      </c>
      <c r="L72" s="409">
        <v>0.31046750131883327</v>
      </c>
      <c r="M72" s="409">
        <v>0.90000000000000013</v>
      </c>
      <c r="N72" s="409">
        <v>0.9</v>
      </c>
      <c r="O72" s="409">
        <v>0.76718515286285394</v>
      </c>
      <c r="P72" s="409">
        <v>0.41303161997673743</v>
      </c>
      <c r="Q72" s="409">
        <v>0.10000000000000002</v>
      </c>
      <c r="R72" s="409">
        <v>0.68523001119875304</v>
      </c>
      <c r="S72" s="409">
        <v>0.5</v>
      </c>
      <c r="T72" s="409">
        <v>0.49999999999999994</v>
      </c>
      <c r="V72" s="263"/>
      <c r="W72" s="7"/>
      <c r="X72" s="7"/>
      <c r="Y72" s="462" t="s">
        <v>262</v>
      </c>
      <c r="Z72" s="463">
        <v>0.71</v>
      </c>
      <c r="AA72" s="463">
        <v>1</v>
      </c>
      <c r="AB72" s="463">
        <v>0</v>
      </c>
      <c r="AC72" s="463">
        <v>0</v>
      </c>
      <c r="AD72" s="463">
        <v>0.43</v>
      </c>
      <c r="AF72" s="32">
        <v>0.11178746540704029</v>
      </c>
    </row>
    <row r="73" spans="1:32" ht="15.75" thickBot="1">
      <c r="A73" s="7"/>
      <c r="B73" s="7" t="s">
        <v>330</v>
      </c>
      <c r="C73" s="584">
        <v>0.48584254414953354</v>
      </c>
      <c r="D73" s="584"/>
      <c r="E73" s="584"/>
      <c r="F73" s="584">
        <v>0.63256057960735712</v>
      </c>
      <c r="G73" s="584"/>
      <c r="H73" s="584"/>
      <c r="I73" s="584"/>
      <c r="J73" s="584">
        <v>0.33750430289294164</v>
      </c>
      <c r="K73" s="584"/>
      <c r="L73" s="524">
        <v>0.31046750131883327</v>
      </c>
      <c r="M73" s="584">
        <v>0.90000000000000013</v>
      </c>
      <c r="N73" s="584"/>
      <c r="O73" s="524">
        <v>0.76718515286285394</v>
      </c>
      <c r="P73" s="524">
        <v>0.41303161997673743</v>
      </c>
      <c r="Q73" s="584">
        <v>0.49902981576861571</v>
      </c>
      <c r="R73" s="584"/>
      <c r="S73" s="524">
        <v>0.5</v>
      </c>
      <c r="T73" s="524">
        <v>0.49999999999999994</v>
      </c>
      <c r="V73" s="263"/>
      <c r="W73" s="7"/>
      <c r="X73" s="7"/>
      <c r="Y73" s="462" t="s">
        <v>264</v>
      </c>
      <c r="Z73" s="463">
        <v>0.23</v>
      </c>
      <c r="AA73" s="463">
        <v>0.53</v>
      </c>
      <c r="AB73" s="463">
        <v>0.02</v>
      </c>
      <c r="AC73" s="463">
        <v>0.46</v>
      </c>
      <c r="AD73" s="463">
        <v>0.31</v>
      </c>
      <c r="AF73" s="32">
        <v>0.48580164500884643</v>
      </c>
    </row>
    <row r="74" spans="1:32" ht="15">
      <c r="A74" s="7"/>
      <c r="B74" s="7" t="s">
        <v>367</v>
      </c>
      <c r="C74" s="527">
        <v>0.63007020528877222</v>
      </c>
      <c r="D74" s="527">
        <v>9.3963931374592982E-2</v>
      </c>
      <c r="E74" s="527">
        <v>2.9006395725036469E-2</v>
      </c>
      <c r="F74" s="527">
        <v>3.9164397027771525E-2</v>
      </c>
      <c r="G74" s="527">
        <v>0.25776672816535129</v>
      </c>
      <c r="H74" s="527">
        <v>2.7574670878248778E-2</v>
      </c>
      <c r="I74" s="527">
        <v>0.10146503328904084</v>
      </c>
      <c r="J74" s="527">
        <v>0.29515325476216947</v>
      </c>
      <c r="K74" s="527">
        <v>0.77756785592800526</v>
      </c>
      <c r="L74" s="527">
        <v>0.13082984106717208</v>
      </c>
      <c r="M74" s="527">
        <v>7.1447125331852143E-2</v>
      </c>
      <c r="N74" s="527">
        <v>0</v>
      </c>
      <c r="O74" s="527">
        <v>2.3525905182962954E-2</v>
      </c>
      <c r="P74" s="527">
        <v>7.934694377848886E-2</v>
      </c>
      <c r="Q74" s="527">
        <v>0.85339696790936803</v>
      </c>
      <c r="R74" s="527">
        <v>7.6228114216259218E-2</v>
      </c>
      <c r="S74" s="527">
        <v>0.16854152512418574</v>
      </c>
      <c r="T74" s="527">
        <v>0.20051702037858005</v>
      </c>
      <c r="U74" s="531" t="s">
        <v>978</v>
      </c>
      <c r="V74" s="16"/>
      <c r="W74" s="7"/>
      <c r="X74" s="7"/>
      <c r="Y74" s="464" t="s">
        <v>747</v>
      </c>
      <c r="Z74" s="465">
        <v>0.78</v>
      </c>
      <c r="AA74" s="465">
        <v>0.93</v>
      </c>
      <c r="AB74" s="465">
        <v>0</v>
      </c>
      <c r="AC74" s="465">
        <v>7.0000000000000007E-2</v>
      </c>
      <c r="AD74" s="465">
        <v>0.44</v>
      </c>
      <c r="AF74" s="32">
        <v>0.19785818834294552</v>
      </c>
    </row>
    <row r="75" spans="1:32">
      <c r="A75" s="7"/>
      <c r="B75" s="7" t="s">
        <v>369</v>
      </c>
      <c r="C75" s="581">
        <f>(C74*C65)+(D74*D65)+(E74*E65)</f>
        <v>0.32107129566956238</v>
      </c>
      <c r="D75" s="582"/>
      <c r="E75" s="582"/>
      <c r="F75" s="582">
        <f>(F74*F65)+(G74*G65)+(H74*H65)+(I74*I65)</f>
        <v>5.0679867043271966E-2</v>
      </c>
      <c r="G75" s="582"/>
      <c r="H75" s="582"/>
      <c r="I75" s="582"/>
      <c r="J75" s="583">
        <f>(J74*J65)+(K74*K65)</f>
        <v>0.45710103517657202</v>
      </c>
      <c r="K75" s="581"/>
      <c r="L75" s="525">
        <v>5.6541361272701172E-2</v>
      </c>
      <c r="M75" s="583">
        <v>8.7372210868686184E-2</v>
      </c>
      <c r="N75" s="581"/>
      <c r="O75" s="525">
        <v>5.746308592387158E-2</v>
      </c>
      <c r="P75" s="525">
        <v>0.3949582335084047</v>
      </c>
      <c r="Q75" s="583">
        <v>0.5613264299674231</v>
      </c>
      <c r="R75" s="581"/>
      <c r="S75" s="526">
        <v>0.1626109504520151</v>
      </c>
      <c r="T75" s="525">
        <v>0.43951473469986913</v>
      </c>
      <c r="V75" s="16"/>
      <c r="W75" s="7"/>
      <c r="X75" s="7"/>
      <c r="AF75" s="32">
        <v>0.81630843863420022</v>
      </c>
    </row>
    <row r="76" spans="1:32">
      <c r="A76" s="7"/>
      <c r="B76" s="7" t="s">
        <v>371</v>
      </c>
      <c r="C76" s="495">
        <v>0.51262713316969566</v>
      </c>
      <c r="D76" s="495">
        <v>4.1499660445302379E-2</v>
      </c>
      <c r="E76" s="495">
        <v>0</v>
      </c>
      <c r="F76" s="495">
        <v>2.6890823009043455E-2</v>
      </c>
      <c r="G76" s="495">
        <v>0</v>
      </c>
      <c r="H76" s="495">
        <v>0</v>
      </c>
      <c r="I76" s="495">
        <v>0</v>
      </c>
      <c r="J76" s="495">
        <v>0.10981313781515661</v>
      </c>
      <c r="K76" s="495">
        <v>0.33</v>
      </c>
      <c r="L76" s="495">
        <v>0</v>
      </c>
      <c r="M76" s="495">
        <v>0</v>
      </c>
      <c r="N76" s="495">
        <v>0</v>
      </c>
      <c r="O76" s="495">
        <v>0</v>
      </c>
      <c r="P76" s="495">
        <v>3.1992300477329191E-2</v>
      </c>
      <c r="Q76" s="495">
        <v>0.33</v>
      </c>
      <c r="R76" s="495">
        <v>2.5191285207445461E-2</v>
      </c>
      <c r="S76" s="495">
        <v>0.15375982167586399</v>
      </c>
      <c r="T76" s="495">
        <v>0.18076091596327465</v>
      </c>
      <c r="U76" s="503">
        <v>0.13301950033749044</v>
      </c>
      <c r="V76" s="16"/>
      <c r="W76" s="7"/>
      <c r="X76" s="7"/>
      <c r="AF76" s="32"/>
    </row>
    <row r="77" spans="1:32">
      <c r="A77" s="7"/>
      <c r="B77" s="7" t="s">
        <v>372</v>
      </c>
      <c r="C77" s="580">
        <v>0.35</v>
      </c>
      <c r="D77" s="567"/>
      <c r="E77" s="567"/>
      <c r="F77" s="567">
        <v>0.01</v>
      </c>
      <c r="G77" s="567"/>
      <c r="H77" s="567"/>
      <c r="I77" s="567"/>
      <c r="J77" s="578">
        <v>0.11</v>
      </c>
      <c r="K77" s="580"/>
      <c r="L77" s="427">
        <v>0</v>
      </c>
      <c r="M77" s="578">
        <v>0</v>
      </c>
      <c r="N77" s="580"/>
      <c r="O77" s="427">
        <v>0</v>
      </c>
      <c r="P77" s="427">
        <v>0.04</v>
      </c>
      <c r="Q77" s="566">
        <v>0.21527670664708273</v>
      </c>
      <c r="R77" s="564"/>
      <c r="S77" s="426">
        <v>0.17</v>
      </c>
      <c r="T77" s="427">
        <v>0.2</v>
      </c>
      <c r="U77" s="278" t="s">
        <v>923</v>
      </c>
      <c r="V77" s="16"/>
      <c r="W77" s="7"/>
      <c r="X77" s="7"/>
      <c r="AF77" s="32">
        <v>0.69836206022359038</v>
      </c>
    </row>
    <row r="78" spans="1:32">
      <c r="A78" s="7"/>
      <c r="B78" s="7" t="s">
        <v>399</v>
      </c>
      <c r="C78" s="428">
        <f t="shared" ref="C78:T78" si="10">(VLOOKUP(C64,LSYield,7,FALSE)*C70)+(C81*(1-C70))</f>
        <v>0.90457835398799891</v>
      </c>
      <c r="D78" s="428">
        <f t="shared" si="10"/>
        <v>0.92072187100138758</v>
      </c>
      <c r="E78" s="428">
        <f t="shared" si="10"/>
        <v>0.69260011261534127</v>
      </c>
      <c r="F78" s="428">
        <f t="shared" si="10"/>
        <v>0.85080401212348655</v>
      </c>
      <c r="G78" s="428">
        <f t="shared" si="10"/>
        <v>0.74734858139182614</v>
      </c>
      <c r="H78" s="428">
        <f t="shared" si="10"/>
        <v>0.68828098220470324</v>
      </c>
      <c r="I78" s="428">
        <f t="shared" si="10"/>
        <v>0.77581880028359507</v>
      </c>
      <c r="J78" s="428">
        <f t="shared" si="10"/>
        <v>0.58961830873923127</v>
      </c>
      <c r="K78" s="428">
        <f t="shared" si="10"/>
        <v>0.6725000000000001</v>
      </c>
      <c r="L78" s="428">
        <f t="shared" si="10"/>
        <v>0.61</v>
      </c>
      <c r="M78" s="428">
        <f t="shared" si="10"/>
        <v>0.85155275453545742</v>
      </c>
      <c r="N78" s="428">
        <f t="shared" si="10"/>
        <v>0.73794885515417397</v>
      </c>
      <c r="O78" s="428">
        <f t="shared" si="10"/>
        <v>0.4291621128262455</v>
      </c>
      <c r="P78" s="428">
        <f t="shared" si="10"/>
        <v>0.68264459114012044</v>
      </c>
      <c r="Q78" s="428">
        <f t="shared" si="10"/>
        <v>0.28950000000000004</v>
      </c>
      <c r="R78" s="428">
        <f t="shared" si="10"/>
        <v>0.68264844025809879</v>
      </c>
      <c r="S78" s="428">
        <f t="shared" si="10"/>
        <v>0.90490285805758242</v>
      </c>
      <c r="T78" s="428">
        <f t="shared" si="10"/>
        <v>0.89844108480853846</v>
      </c>
      <c r="V78" s="16"/>
      <c r="W78" s="7"/>
      <c r="X78" s="7"/>
      <c r="AF78" s="32">
        <v>0.17546271629417109</v>
      </c>
    </row>
    <row r="79" spans="1:32" ht="15">
      <c r="A79" s="7"/>
      <c r="B79" s="7" t="s">
        <v>400</v>
      </c>
      <c r="C79" s="428">
        <f>VLOOKUP(C64,LSYield,8,FALSE)</f>
        <v>1.02</v>
      </c>
      <c r="D79" s="428">
        <f t="shared" ref="D79:T79" si="11">VLOOKUP(D64,LSYield,8,FALSE)</f>
        <v>1.02</v>
      </c>
      <c r="E79" s="428">
        <f t="shared" si="11"/>
        <v>0.95500000000000007</v>
      </c>
      <c r="F79" s="428">
        <f t="shared" si="11"/>
        <v>1.0249999999999999</v>
      </c>
      <c r="G79" s="428">
        <f t="shared" si="11"/>
        <v>0.96499999999999986</v>
      </c>
      <c r="H79" s="428">
        <f t="shared" si="11"/>
        <v>0.92500000000000004</v>
      </c>
      <c r="I79" s="428">
        <f t="shared" si="11"/>
        <v>0.97499999999999987</v>
      </c>
      <c r="J79" s="428">
        <f t="shared" si="11"/>
        <v>0.8600000000000001</v>
      </c>
      <c r="K79" s="428">
        <f t="shared" si="11"/>
        <v>0.95500000000000007</v>
      </c>
      <c r="L79" s="428">
        <f t="shared" si="11"/>
        <v>0.80499999999999994</v>
      </c>
      <c r="M79" s="428">
        <f t="shared" si="11"/>
        <v>0.9700000000000002</v>
      </c>
      <c r="N79" s="428">
        <f t="shared" si="11"/>
        <v>0.94500000000000006</v>
      </c>
      <c r="O79" s="428">
        <f t="shared" si="11"/>
        <v>0.72500000000000009</v>
      </c>
      <c r="P79" s="428">
        <f t="shared" si="11"/>
        <v>0.90000000000000013</v>
      </c>
      <c r="Q79" s="428">
        <f t="shared" si="11"/>
        <v>0.64999999999999991</v>
      </c>
      <c r="R79" s="428">
        <f t="shared" si="11"/>
        <v>0.90000000000000013</v>
      </c>
      <c r="S79" s="428">
        <f t="shared" si="11"/>
        <v>1.02</v>
      </c>
      <c r="T79" s="428">
        <f t="shared" si="11"/>
        <v>1.02</v>
      </c>
      <c r="V79" s="16"/>
      <c r="W79" s="7"/>
      <c r="X79" s="7"/>
      <c r="Y79" s="466"/>
      <c r="Z79" s="466" t="s">
        <v>730</v>
      </c>
      <c r="AA79" s="466"/>
      <c r="AB79" s="466"/>
      <c r="AF79" s="32">
        <v>0.37217596722573842</v>
      </c>
    </row>
    <row r="80" spans="1:32" ht="15">
      <c r="A80" s="7"/>
      <c r="B80" s="7" t="s">
        <v>401</v>
      </c>
      <c r="C80" s="428">
        <f>(VLOOKUP(C64,LSYield,9,FALSE)*C70)+(C82*(1-C70))</f>
        <v>1.0677783539879988</v>
      </c>
      <c r="D80" s="428">
        <f t="shared" ref="D80:T80" si="12">(VLOOKUP(D64,LSYield,9,FALSE)*D70)+(D82*(1-D70))</f>
        <v>1.0839218710013874</v>
      </c>
      <c r="E80" s="428">
        <f t="shared" si="12"/>
        <v>1.1187334459486746</v>
      </c>
      <c r="F80" s="428">
        <f t="shared" si="12"/>
        <v>1.1500040121234862</v>
      </c>
      <c r="G80" s="428">
        <f t="shared" si="12"/>
        <v>1.1372152480584925</v>
      </c>
      <c r="H80" s="428">
        <f t="shared" si="12"/>
        <v>1.0418809822047033</v>
      </c>
      <c r="I80" s="428">
        <f t="shared" si="12"/>
        <v>1.0568854669502619</v>
      </c>
      <c r="J80" s="428">
        <f t="shared" si="12"/>
        <v>1.0248183087392313</v>
      </c>
      <c r="K80" s="428">
        <f t="shared" si="12"/>
        <v>1.0986333333333334</v>
      </c>
      <c r="L80" s="428">
        <f t="shared" si="12"/>
        <v>0.96360000000000012</v>
      </c>
      <c r="M80" s="428">
        <f t="shared" si="12"/>
        <v>1.051019421202124</v>
      </c>
      <c r="N80" s="428">
        <f t="shared" si="12"/>
        <v>1.0915488551541741</v>
      </c>
      <c r="O80" s="428">
        <f t="shared" si="12"/>
        <v>0.96409544615957854</v>
      </c>
      <c r="P80" s="428">
        <f t="shared" si="12"/>
        <v>1.0453112578067871</v>
      </c>
      <c r="Q80" s="428">
        <f t="shared" si="12"/>
        <v>0.94230000000000003</v>
      </c>
      <c r="R80" s="428">
        <f t="shared" si="12"/>
        <v>1.0453151069247655</v>
      </c>
      <c r="S80" s="428">
        <f t="shared" si="12"/>
        <v>1.0681028580575822</v>
      </c>
      <c r="T80" s="428">
        <f t="shared" si="12"/>
        <v>1.0616410848085382</v>
      </c>
      <c r="V80" s="16"/>
      <c r="W80" s="7"/>
      <c r="X80" s="7"/>
      <c r="Y80" s="467" t="s">
        <v>731</v>
      </c>
      <c r="Z80" s="467" t="s">
        <v>873</v>
      </c>
      <c r="AA80" s="467" t="s">
        <v>874</v>
      </c>
      <c r="AB80" s="467" t="s">
        <v>875</v>
      </c>
    </row>
    <row r="81" spans="1:31" ht="15">
      <c r="A81" s="7"/>
      <c r="B81" s="7" t="s">
        <v>397</v>
      </c>
      <c r="C81" s="428">
        <f>VLOOKUP(C64,LSYield,2,FALSE)</f>
        <v>0.82000000000000006</v>
      </c>
      <c r="D81" s="428">
        <f t="shared" ref="D81:T81" si="13">VLOOKUP(D64,LSYield,2,FALSE)</f>
        <v>0.82000000000000006</v>
      </c>
      <c r="E81" s="428">
        <f t="shared" si="13"/>
        <v>0.53</v>
      </c>
      <c r="F81" s="428">
        <f t="shared" si="13"/>
        <v>0.66999999999999993</v>
      </c>
      <c r="G81" s="428">
        <f t="shared" si="13"/>
        <v>0.57000000000000006</v>
      </c>
      <c r="H81" s="428">
        <f t="shared" si="13"/>
        <v>0.61</v>
      </c>
      <c r="I81" s="428">
        <f t="shared" si="13"/>
        <v>0.69</v>
      </c>
      <c r="J81" s="428">
        <f t="shared" si="13"/>
        <v>0.52</v>
      </c>
      <c r="K81" s="428">
        <f t="shared" si="13"/>
        <v>0.53</v>
      </c>
      <c r="L81" s="428">
        <f t="shared" si="13"/>
        <v>0.61</v>
      </c>
      <c r="M81" s="428">
        <f t="shared" si="13"/>
        <v>0.78</v>
      </c>
      <c r="N81" s="428">
        <f t="shared" si="13"/>
        <v>0.61</v>
      </c>
      <c r="O81" s="428">
        <f t="shared" si="13"/>
        <v>0.41000000000000003</v>
      </c>
      <c r="P81" s="428">
        <f t="shared" si="13"/>
        <v>0.6</v>
      </c>
      <c r="Q81" s="428">
        <f t="shared" si="13"/>
        <v>0.28000000000000003</v>
      </c>
      <c r="R81" s="428">
        <f t="shared" si="13"/>
        <v>0.6</v>
      </c>
      <c r="S81" s="428">
        <f t="shared" si="13"/>
        <v>0.82000000000000006</v>
      </c>
      <c r="T81" s="428">
        <f t="shared" si="13"/>
        <v>0.82000000000000006</v>
      </c>
      <c r="V81" s="523"/>
      <c r="W81" s="7"/>
      <c r="X81" s="7"/>
      <c r="Y81" s="468" t="s">
        <v>311</v>
      </c>
      <c r="Z81" s="469">
        <v>284711740.65786439</v>
      </c>
      <c r="AA81" s="469">
        <v>353067968.20012611</v>
      </c>
      <c r="AB81" s="469">
        <v>368872052</v>
      </c>
      <c r="AC81" s="32">
        <f t="shared" ref="AC81:AC118" si="14">Z81/AB81</f>
        <v>0.77184416415983825</v>
      </c>
      <c r="AD81" s="32">
        <f t="shared" ref="AD81:AD118" si="15">AA81/AB81</f>
        <v>0.95715564864785718</v>
      </c>
      <c r="AE81" s="32"/>
    </row>
    <row r="82" spans="1:31">
      <c r="A82" s="7"/>
      <c r="B82" s="7" t="s">
        <v>398</v>
      </c>
      <c r="C82" s="428">
        <f>VLOOKUP(C64,LSYield,4,FALSE)</f>
        <v>0.98319999999999996</v>
      </c>
      <c r="D82" s="428">
        <f t="shared" ref="D82:T82" si="16">VLOOKUP(D64,LSYield,4,FALSE)</f>
        <v>0.98319999999999996</v>
      </c>
      <c r="E82" s="428">
        <f t="shared" si="16"/>
        <v>0.95613333333333328</v>
      </c>
      <c r="F82" s="428">
        <f t="shared" si="16"/>
        <v>0.96919999999999995</v>
      </c>
      <c r="G82" s="428">
        <f t="shared" si="16"/>
        <v>0.95986666666666665</v>
      </c>
      <c r="H82" s="428">
        <f t="shared" si="16"/>
        <v>0.96360000000000001</v>
      </c>
      <c r="I82" s="428">
        <f t="shared" si="16"/>
        <v>0.97106666666666663</v>
      </c>
      <c r="J82" s="428">
        <f t="shared" si="16"/>
        <v>0.95520000000000005</v>
      </c>
      <c r="K82" s="428">
        <f t="shared" si="16"/>
        <v>0.95613333333333328</v>
      </c>
      <c r="L82" s="428">
        <f t="shared" si="16"/>
        <v>0.96360000000000001</v>
      </c>
      <c r="M82" s="428">
        <f t="shared" si="16"/>
        <v>0.97946666666666671</v>
      </c>
      <c r="N82" s="428">
        <f t="shared" si="16"/>
        <v>0.96360000000000001</v>
      </c>
      <c r="O82" s="428">
        <f t="shared" si="16"/>
        <v>0.94493333333333329</v>
      </c>
      <c r="P82" s="428">
        <f t="shared" si="16"/>
        <v>0.96266666666666667</v>
      </c>
      <c r="Q82" s="428">
        <f t="shared" si="16"/>
        <v>0.93279999999999996</v>
      </c>
      <c r="R82" s="428">
        <f t="shared" si="16"/>
        <v>0.96266666666666667</v>
      </c>
      <c r="S82" s="428">
        <f t="shared" si="16"/>
        <v>0.98319999999999996</v>
      </c>
      <c r="T82" s="428">
        <f t="shared" si="16"/>
        <v>0.98319999999999996</v>
      </c>
      <c r="V82" s="523"/>
      <c r="W82" s="7"/>
      <c r="X82" s="7"/>
      <c r="Y82" s="434" t="s">
        <v>742</v>
      </c>
      <c r="Z82" s="433">
        <v>5896555.7809850434</v>
      </c>
      <c r="AA82" s="433">
        <v>13328614.315968273</v>
      </c>
      <c r="AB82" s="433">
        <v>14436299.785106782</v>
      </c>
      <c r="AC82" s="32">
        <f t="shared" si="14"/>
        <v>0.40845340348696757</v>
      </c>
      <c r="AD82" s="32">
        <f t="shared" si="15"/>
        <v>0.92327081831029489</v>
      </c>
      <c r="AE82" s="32"/>
    </row>
    <row r="83" spans="1:31">
      <c r="A83" s="7"/>
      <c r="B83" s="7" t="s">
        <v>405</v>
      </c>
      <c r="C83" s="445">
        <f>VLOOKUP(C64,LSYield,5,FALSE)</f>
        <v>-8.1887999999999996E-3</v>
      </c>
      <c r="D83" s="445">
        <f t="shared" ref="D83:T83" si="17">VLOOKUP(D64,LSYield,5,FALSE)</f>
        <v>-8.1887999999999996E-3</v>
      </c>
      <c r="E83" s="445">
        <f t="shared" si="17"/>
        <v>-2.1381866666666666E-2</v>
      </c>
      <c r="F83" s="445">
        <f t="shared" si="17"/>
        <v>-1.50128E-2</v>
      </c>
      <c r="G83" s="445">
        <f t="shared" si="17"/>
        <v>-1.9562133333333332E-2</v>
      </c>
      <c r="H83" s="445">
        <f t="shared" si="17"/>
        <v>-1.7742399999999998E-2</v>
      </c>
      <c r="I83" s="445">
        <f t="shared" si="17"/>
        <v>-1.4102933333333333E-2</v>
      </c>
      <c r="J83" s="445">
        <f t="shared" si="17"/>
        <v>-2.18368E-2</v>
      </c>
      <c r="K83" s="445">
        <f t="shared" si="17"/>
        <v>-2.1381866666666666E-2</v>
      </c>
      <c r="L83" s="445">
        <f t="shared" si="17"/>
        <v>-1.7742399999999998E-2</v>
      </c>
      <c r="M83" s="445">
        <f t="shared" si="17"/>
        <v>-1.0008533333333333E-2</v>
      </c>
      <c r="N83" s="445">
        <f t="shared" si="17"/>
        <v>-1.7742399999999998E-2</v>
      </c>
      <c r="O83" s="445">
        <f t="shared" si="17"/>
        <v>-2.6841066666666667E-2</v>
      </c>
      <c r="P83" s="445">
        <f t="shared" si="17"/>
        <v>-1.8197333333333333E-2</v>
      </c>
      <c r="Q83" s="445">
        <f t="shared" si="17"/>
        <v>-3.2755199999999998E-2</v>
      </c>
      <c r="R83" s="445">
        <f t="shared" si="17"/>
        <v>-1.8197333333333333E-2</v>
      </c>
      <c r="S83" s="445">
        <f t="shared" si="17"/>
        <v>-8.1887999999999996E-3</v>
      </c>
      <c r="T83" s="445">
        <f t="shared" si="17"/>
        <v>-8.1887999999999996E-3</v>
      </c>
      <c r="V83" s="523"/>
      <c r="W83" s="7"/>
      <c r="X83" s="7"/>
      <c r="Y83" s="434" t="s">
        <v>743</v>
      </c>
      <c r="Z83" s="433">
        <v>114235602.29496893</v>
      </c>
      <c r="AA83" s="433">
        <v>146512429.2873013</v>
      </c>
      <c r="AB83" s="433">
        <v>147586110.21489322</v>
      </c>
      <c r="AC83" s="32">
        <f t="shared" si="14"/>
        <v>0.77402678428637917</v>
      </c>
      <c r="AD83" s="32">
        <f t="shared" si="15"/>
        <v>0.99272505436976022</v>
      </c>
      <c r="AE83" s="32"/>
    </row>
    <row r="84" spans="1:31">
      <c r="A84" s="7"/>
      <c r="B84" s="7" t="s">
        <v>407</v>
      </c>
      <c r="C84" s="445">
        <f>VLOOKUP(C64,LSYield,10,FALSE)</f>
        <v>-8.1887999999999996E-3</v>
      </c>
      <c r="D84" s="445">
        <f t="shared" ref="D84:T84" si="18">VLOOKUP(D64,LSYield,10,FALSE)</f>
        <v>-8.1887999999999996E-3</v>
      </c>
      <c r="E84" s="445">
        <f t="shared" si="18"/>
        <v>-2.1381866666666666E-2</v>
      </c>
      <c r="F84" s="445">
        <f t="shared" si="18"/>
        <v>-1.50128E-2</v>
      </c>
      <c r="G84" s="445">
        <f t="shared" si="18"/>
        <v>-1.9562133333333332E-2</v>
      </c>
      <c r="H84" s="445">
        <f t="shared" si="18"/>
        <v>-1.7742399999999998E-2</v>
      </c>
      <c r="I84" s="445">
        <f t="shared" si="18"/>
        <v>-1.4102933333333333E-2</v>
      </c>
      <c r="J84" s="445">
        <f t="shared" si="18"/>
        <v>-2.18368E-2</v>
      </c>
      <c r="K84" s="445">
        <f t="shared" si="18"/>
        <v>-2.1381866666666666E-2</v>
      </c>
      <c r="L84" s="445">
        <f t="shared" si="18"/>
        <v>-1.7742399999999998E-2</v>
      </c>
      <c r="M84" s="445">
        <f t="shared" si="18"/>
        <v>-1.0008533333333333E-2</v>
      </c>
      <c r="N84" s="445">
        <f t="shared" si="18"/>
        <v>-1.7742399999999998E-2</v>
      </c>
      <c r="O84" s="445">
        <f t="shared" si="18"/>
        <v>-2.6841066666666667E-2</v>
      </c>
      <c r="P84" s="445">
        <f t="shared" si="18"/>
        <v>-1.8197333333333333E-2</v>
      </c>
      <c r="Q84" s="445">
        <f t="shared" si="18"/>
        <v>-3.2755199999999998E-2</v>
      </c>
      <c r="R84" s="445">
        <f t="shared" si="18"/>
        <v>-1.8197333333333333E-2</v>
      </c>
      <c r="S84" s="445">
        <f t="shared" si="18"/>
        <v>-8.1887999999999996E-3</v>
      </c>
      <c r="T84" s="445">
        <f t="shared" si="18"/>
        <v>-8.1887999999999996E-3</v>
      </c>
      <c r="V84" s="523"/>
      <c r="W84" s="7"/>
      <c r="X84" s="7"/>
      <c r="Y84" s="434" t="s">
        <v>744</v>
      </c>
      <c r="Z84" s="433">
        <v>60266713.012662001</v>
      </c>
      <c r="AA84" s="433">
        <v>77902099.407724395</v>
      </c>
      <c r="AB84" s="433">
        <v>80094222.749650508</v>
      </c>
      <c r="AC84" s="32">
        <f t="shared" si="14"/>
        <v>0.75244769152747626</v>
      </c>
      <c r="AD84" s="32">
        <f t="shared" si="15"/>
        <v>0.9726306933675104</v>
      </c>
      <c r="AE84" s="32"/>
    </row>
    <row r="85" spans="1:31">
      <c r="A85" s="7"/>
      <c r="B85" s="7" t="s">
        <v>411</v>
      </c>
      <c r="C85" s="411">
        <v>1</v>
      </c>
      <c r="D85" s="411">
        <v>1</v>
      </c>
      <c r="E85" s="411">
        <v>1</v>
      </c>
      <c r="F85" s="411">
        <v>1</v>
      </c>
      <c r="G85" s="411">
        <v>1</v>
      </c>
      <c r="H85" s="411">
        <v>1</v>
      </c>
      <c r="I85" s="411">
        <v>1</v>
      </c>
      <c r="J85" s="411">
        <v>1</v>
      </c>
      <c r="K85" s="411">
        <v>1</v>
      </c>
      <c r="L85" s="411">
        <v>1</v>
      </c>
      <c r="M85" s="411">
        <v>1</v>
      </c>
      <c r="N85" s="411">
        <v>1</v>
      </c>
      <c r="O85" s="411">
        <v>1</v>
      </c>
      <c r="P85" s="411">
        <v>1</v>
      </c>
      <c r="Q85" s="411">
        <v>1</v>
      </c>
      <c r="R85" s="411">
        <v>1</v>
      </c>
      <c r="S85" s="411">
        <v>1</v>
      </c>
      <c r="T85" s="411">
        <v>1</v>
      </c>
      <c r="V85" s="523"/>
      <c r="W85" s="7"/>
      <c r="X85" s="7"/>
      <c r="Y85" s="434" t="s">
        <v>745</v>
      </c>
      <c r="Z85" s="433">
        <v>50643755.759677261</v>
      </c>
      <c r="AA85" s="433">
        <v>57116363.153063521</v>
      </c>
      <c r="AB85" s="433">
        <v>60145976.250349477</v>
      </c>
      <c r="AC85" s="32">
        <f t="shared" si="14"/>
        <v>0.84201402848429108</v>
      </c>
      <c r="AD85" s="32">
        <f t="shared" si="15"/>
        <v>0.94962899787883392</v>
      </c>
      <c r="AE85" s="32"/>
    </row>
    <row r="86" spans="1:31">
      <c r="A86" s="7"/>
      <c r="B86" s="7" t="s">
        <v>3</v>
      </c>
      <c r="C86" s="427">
        <v>0.58498758462529865</v>
      </c>
      <c r="D86" s="427">
        <v>8.7818054713883376E-2</v>
      </c>
      <c r="E86" s="427">
        <v>0</v>
      </c>
      <c r="F86" s="427">
        <v>0.09</v>
      </c>
      <c r="G86" s="427">
        <v>0</v>
      </c>
      <c r="H86" s="427">
        <v>0</v>
      </c>
      <c r="I86" s="427">
        <v>0</v>
      </c>
      <c r="J86" s="427">
        <v>0.4348146874874485</v>
      </c>
      <c r="K86" s="429">
        <v>0.56010354277348595</v>
      </c>
      <c r="L86" s="427">
        <v>0</v>
      </c>
      <c r="M86" s="427">
        <v>0.15653169058088007</v>
      </c>
      <c r="N86" s="427">
        <v>0</v>
      </c>
      <c r="O86" s="427">
        <v>0</v>
      </c>
      <c r="P86" s="427">
        <v>0.15653169058088007</v>
      </c>
      <c r="Q86" s="429">
        <v>0.40098917705864051</v>
      </c>
      <c r="R86" s="427">
        <v>6.7888585236503013E-2</v>
      </c>
      <c r="S86" s="427">
        <v>0.17470421367705091</v>
      </c>
      <c r="T86" s="427">
        <v>0.1656240064846628</v>
      </c>
      <c r="V86" s="523"/>
      <c r="W86" s="7"/>
      <c r="X86" s="7"/>
      <c r="Y86" s="434" t="s">
        <v>746</v>
      </c>
      <c r="Z86" s="433">
        <v>53669113.809571132</v>
      </c>
      <c r="AA86" s="433">
        <v>58208462.036068618</v>
      </c>
      <c r="AB86" s="433">
        <v>66609442.999999985</v>
      </c>
      <c r="AC86" s="32">
        <f t="shared" si="14"/>
        <v>0.80572830806543672</v>
      </c>
      <c r="AD86" s="32">
        <f t="shared" si="15"/>
        <v>0.87387702725676042</v>
      </c>
      <c r="AE86" s="32"/>
    </row>
    <row r="87" spans="1:31" ht="15">
      <c r="A87" s="7"/>
      <c r="B87" s="7" t="s">
        <v>352</v>
      </c>
      <c r="C87" s="410">
        <v>3300</v>
      </c>
      <c r="D87" s="410">
        <v>2800</v>
      </c>
      <c r="E87" s="410">
        <v>2600</v>
      </c>
      <c r="F87" s="410">
        <v>6200</v>
      </c>
      <c r="G87" s="410">
        <v>3800</v>
      </c>
      <c r="H87" s="410">
        <v>3800</v>
      </c>
      <c r="I87" s="410">
        <v>2800</v>
      </c>
      <c r="J87" s="410">
        <v>2700</v>
      </c>
      <c r="K87" s="410">
        <v>3600</v>
      </c>
      <c r="L87" s="410">
        <v>2700</v>
      </c>
      <c r="M87" s="410">
        <v>7300</v>
      </c>
      <c r="N87" s="410">
        <v>6800</v>
      </c>
      <c r="O87" s="410">
        <v>5400</v>
      </c>
      <c r="P87" s="410">
        <v>3000</v>
      </c>
      <c r="Q87" s="410">
        <v>6400</v>
      </c>
      <c r="R87" s="410">
        <v>5700</v>
      </c>
      <c r="S87" s="410">
        <v>3000</v>
      </c>
      <c r="T87" s="410">
        <v>4100</v>
      </c>
      <c r="V87" s="523"/>
      <c r="W87" s="7"/>
      <c r="X87" s="7"/>
      <c r="Y87" s="468" t="s">
        <v>265</v>
      </c>
      <c r="Z87" s="469">
        <v>67168593.569869429</v>
      </c>
      <c r="AA87" s="469">
        <v>73695582.648296207</v>
      </c>
      <c r="AB87" s="469">
        <v>77120838</v>
      </c>
      <c r="AC87" s="32">
        <f t="shared" si="14"/>
        <v>0.87095258962136057</v>
      </c>
      <c r="AD87" s="32">
        <f t="shared" si="15"/>
        <v>0.95558586446241944</v>
      </c>
      <c r="AE87" s="32"/>
    </row>
    <row r="88" spans="1:31">
      <c r="A88" s="7"/>
      <c r="B88" s="7" t="s">
        <v>39</v>
      </c>
      <c r="C88" s="370">
        <v>9.7915019519809049E-2</v>
      </c>
      <c r="D88" s="370">
        <v>2.2419448966079808E-2</v>
      </c>
      <c r="E88" s="370">
        <v>7.0265950135785918E-2</v>
      </c>
      <c r="F88" s="370">
        <v>1.9928358103564997E-2</v>
      </c>
      <c r="G88" s="370">
        <v>0.96021448828880007</v>
      </c>
      <c r="H88" s="370">
        <v>1.682861062838684E-2</v>
      </c>
      <c r="I88" s="370">
        <v>0.24046941503104796</v>
      </c>
      <c r="J88" s="370">
        <v>9.3965911445071555E-3</v>
      </c>
      <c r="K88" s="370">
        <v>9.3350590462247668E-2</v>
      </c>
      <c r="L88" s="370">
        <v>0.23147891652780339</v>
      </c>
      <c r="M88" s="370">
        <v>3.4175742327895269E-2</v>
      </c>
      <c r="N88" s="370">
        <v>5.7197564623818434E-2</v>
      </c>
      <c r="O88" s="370">
        <v>0.11219535867382037</v>
      </c>
      <c r="P88" s="370">
        <v>4.431584636138023E-2</v>
      </c>
      <c r="Q88" s="370">
        <v>7.2657454104040925E-2</v>
      </c>
      <c r="R88" s="370">
        <v>3.2474970371947381E-2</v>
      </c>
      <c r="S88" s="370">
        <v>8.1305475226007548E-2</v>
      </c>
      <c r="T88" s="370">
        <v>0.1783274256014224</v>
      </c>
      <c r="V88" s="523"/>
      <c r="W88" s="7"/>
      <c r="X88" s="7"/>
      <c r="Y88" s="434" t="s">
        <v>742</v>
      </c>
      <c r="Z88" s="433">
        <v>10140779.248430835</v>
      </c>
      <c r="AA88" s="433">
        <v>10684723.750762152</v>
      </c>
      <c r="AB88" s="433">
        <v>11691087.999999998</v>
      </c>
      <c r="AC88" s="32">
        <f t="shared" si="14"/>
        <v>0.86739397123953188</v>
      </c>
      <c r="AD88" s="32">
        <f t="shared" si="15"/>
        <v>0.91392039395838554</v>
      </c>
      <c r="AE88" s="32"/>
    </row>
    <row r="89" spans="1:31">
      <c r="A89" s="7"/>
      <c r="B89" s="7" t="s">
        <v>41</v>
      </c>
      <c r="C89" s="545">
        <v>0.62956237771067991</v>
      </c>
      <c r="D89" s="545">
        <v>0.31768861920643965</v>
      </c>
      <c r="E89" s="545">
        <v>7.4025179596472243E-2</v>
      </c>
      <c r="F89" s="545">
        <v>0.58848968508223554</v>
      </c>
      <c r="G89" s="545">
        <v>0.26543424358205331</v>
      </c>
      <c r="H89" s="545">
        <v>0.20684893583537547</v>
      </c>
      <c r="I89" s="545">
        <v>1.359721457325402E-2</v>
      </c>
      <c r="J89" s="545">
        <v>0.46813873620144136</v>
      </c>
      <c r="K89" s="545">
        <f>J89</f>
        <v>0.46813873620144136</v>
      </c>
      <c r="L89" s="545">
        <v>0.14833205060637186</v>
      </c>
      <c r="M89" s="545">
        <v>0.52268307357406485</v>
      </c>
      <c r="N89" s="545">
        <v>0.20352640884178452</v>
      </c>
      <c r="O89" s="545">
        <v>0.32869617366969917</v>
      </c>
      <c r="P89" s="545">
        <v>0.10423431348186975</v>
      </c>
      <c r="Q89" s="545">
        <v>0.56873556010588189</v>
      </c>
      <c r="R89" s="545">
        <v>7.8731272985480064E-2</v>
      </c>
      <c r="S89" s="545">
        <v>0.39859901805810533</v>
      </c>
      <c r="T89" s="545">
        <v>0.41988093429192064</v>
      </c>
      <c r="V89" s="523"/>
      <c r="W89" s="7"/>
      <c r="X89" s="7"/>
      <c r="Y89" s="434" t="s">
        <v>743</v>
      </c>
      <c r="Z89" s="433">
        <v>13680847.086571597</v>
      </c>
      <c r="AA89" s="433">
        <v>18222277.88340044</v>
      </c>
      <c r="AB89" s="433">
        <v>20538489.216240074</v>
      </c>
      <c r="AC89" s="32">
        <f t="shared" si="14"/>
        <v>0.66610776199419564</v>
      </c>
      <c r="AD89" s="32">
        <f t="shared" si="15"/>
        <v>0.88722581741756479</v>
      </c>
      <c r="AE89" s="32"/>
    </row>
    <row r="90" spans="1:31">
      <c r="A90" s="7"/>
      <c r="B90" s="278" t="s">
        <v>960</v>
      </c>
      <c r="C90" s="373">
        <v>0</v>
      </c>
      <c r="D90" s="373">
        <v>0</v>
      </c>
      <c r="E90" s="373">
        <v>0</v>
      </c>
      <c r="F90" s="373">
        <v>0</v>
      </c>
      <c r="G90" s="373">
        <v>0</v>
      </c>
      <c r="H90" s="373">
        <v>0</v>
      </c>
      <c r="I90" s="373">
        <v>0</v>
      </c>
      <c r="J90" s="373">
        <v>0</v>
      </c>
      <c r="K90" s="373">
        <v>0</v>
      </c>
      <c r="L90" s="373">
        <v>0</v>
      </c>
      <c r="M90" s="373">
        <v>0</v>
      </c>
      <c r="N90" s="373">
        <v>0</v>
      </c>
      <c r="O90" s="373">
        <v>0</v>
      </c>
      <c r="P90" s="373">
        <v>0</v>
      </c>
      <c r="Q90" s="373">
        <v>0</v>
      </c>
      <c r="R90" s="373">
        <v>0</v>
      </c>
      <c r="S90" s="373">
        <v>0</v>
      </c>
      <c r="T90" s="373">
        <v>0</v>
      </c>
      <c r="V90" s="523"/>
      <c r="W90" s="7"/>
      <c r="X90" s="7"/>
      <c r="Y90" s="434" t="s">
        <v>744</v>
      </c>
      <c r="Z90" s="433">
        <v>24771827.119973592</v>
      </c>
      <c r="AA90" s="433">
        <v>26213440.899240226</v>
      </c>
      <c r="AB90" s="433">
        <v>26316120.668866523</v>
      </c>
      <c r="AC90" s="32">
        <f t="shared" si="14"/>
        <v>0.94131758368474427</v>
      </c>
      <c r="AD90" s="32">
        <f t="shared" si="15"/>
        <v>0.99609821785975572</v>
      </c>
      <c r="AE90" s="32"/>
    </row>
    <row r="91" spans="1:31">
      <c r="A91" s="7"/>
      <c r="B91" s="7" t="s">
        <v>125</v>
      </c>
      <c r="C91" s="373">
        <v>1</v>
      </c>
      <c r="D91" s="373">
        <v>1</v>
      </c>
      <c r="E91" s="373">
        <v>1</v>
      </c>
      <c r="F91" s="373">
        <v>1</v>
      </c>
      <c r="G91" s="373">
        <v>1</v>
      </c>
      <c r="H91" s="373">
        <v>1</v>
      </c>
      <c r="I91" s="373">
        <v>1</v>
      </c>
      <c r="J91" s="373">
        <v>1</v>
      </c>
      <c r="K91" s="373">
        <v>1</v>
      </c>
      <c r="L91" s="373">
        <v>1</v>
      </c>
      <c r="M91" s="373">
        <v>1</v>
      </c>
      <c r="N91" s="373">
        <v>1</v>
      </c>
      <c r="O91" s="373">
        <v>1</v>
      </c>
      <c r="P91" s="373">
        <v>1</v>
      </c>
      <c r="Q91" s="373">
        <v>1</v>
      </c>
      <c r="R91" s="373">
        <v>1</v>
      </c>
      <c r="S91" s="373">
        <v>1</v>
      </c>
      <c r="T91" s="373">
        <v>1</v>
      </c>
      <c r="V91" s="523"/>
      <c r="W91" s="7"/>
      <c r="X91" s="7"/>
      <c r="Y91" s="434" t="s">
        <v>745</v>
      </c>
      <c r="Z91" s="433">
        <v>18575140.114893399</v>
      </c>
      <c r="AA91" s="433">
        <v>18575140.114893399</v>
      </c>
      <c r="AB91" s="433">
        <v>18575140.114893399</v>
      </c>
      <c r="AC91" s="32">
        <f t="shared" si="14"/>
        <v>1</v>
      </c>
      <c r="AD91" s="32">
        <f t="shared" si="15"/>
        <v>1</v>
      </c>
      <c r="AE91" s="32">
        <f>SUMPRODUCT(AC89:AC91,Z89:Z91)/SUM(Z89:Z91)</f>
        <v>0.89440943169321674</v>
      </c>
    </row>
    <row r="92" spans="1:31" ht="15">
      <c r="A92" s="7"/>
      <c r="B92" s="7" t="s">
        <v>136</v>
      </c>
      <c r="C92" s="370">
        <v>0.5032832003318185</v>
      </c>
      <c r="D92" s="370">
        <v>0.19754737317540033</v>
      </c>
      <c r="E92" s="370">
        <v>0.86680076087505498</v>
      </c>
      <c r="F92" s="370">
        <v>0.55985400698948606</v>
      </c>
      <c r="G92" s="370">
        <v>0.27993945466265791</v>
      </c>
      <c r="H92" s="370">
        <v>6.3780434281586118E-3</v>
      </c>
      <c r="I92" s="370">
        <v>7.5948256913972667E-2</v>
      </c>
      <c r="J92" s="370">
        <v>5.7319205981493631E-3</v>
      </c>
      <c r="K92" s="370">
        <v>0.1674709592892723</v>
      </c>
      <c r="L92" s="370">
        <v>0.2825536194003897</v>
      </c>
      <c r="M92" s="370">
        <v>4.5624616007740176E-2</v>
      </c>
      <c r="N92" s="370">
        <v>7.6358748772797594E-2</v>
      </c>
      <c r="O92" s="370">
        <v>4.608640117832314E-2</v>
      </c>
      <c r="P92" s="370">
        <v>6.824640339652556E-3</v>
      </c>
      <c r="Q92" s="370">
        <v>4.9104329398647659E-2</v>
      </c>
      <c r="R92" s="370">
        <v>0.38331290029021892</v>
      </c>
      <c r="S92" s="370">
        <v>2.7101825075335855E-2</v>
      </c>
      <c r="T92" s="370">
        <v>0.37020773554855302</v>
      </c>
      <c r="V92" s="523"/>
      <c r="W92" s="7"/>
      <c r="X92" s="7"/>
      <c r="Y92" s="468" t="s">
        <v>267</v>
      </c>
      <c r="Z92" s="469">
        <v>141356075.6278674</v>
      </c>
      <c r="AA92" s="469">
        <v>161076205.05822337</v>
      </c>
      <c r="AB92" s="469">
        <v>171040928.00000006</v>
      </c>
      <c r="AC92" s="32">
        <f t="shared" si="14"/>
        <v>0.82644591140120194</v>
      </c>
      <c r="AD92" s="32">
        <f t="shared" si="15"/>
        <v>0.94174071049370889</v>
      </c>
      <c r="AE92" s="32"/>
    </row>
    <row r="93" spans="1:31">
      <c r="A93" s="7"/>
      <c r="B93" s="7" t="s">
        <v>137</v>
      </c>
      <c r="C93" s="370">
        <v>0.20660069118679708</v>
      </c>
      <c r="D93" s="370">
        <v>8.1094349688734371E-2</v>
      </c>
      <c r="E93" s="370">
        <v>0.35582677148761982</v>
      </c>
      <c r="F93" s="370">
        <v>0.1044245964626806</v>
      </c>
      <c r="G93" s="370">
        <v>2.3584345085431835</v>
      </c>
      <c r="H93" s="370">
        <v>5.3733753736439169E-2</v>
      </c>
      <c r="I93" s="370">
        <v>0.63984903516178027</v>
      </c>
      <c r="J93" s="370">
        <v>0.78301794007178116</v>
      </c>
      <c r="K93" s="370">
        <v>0.76612829592366649</v>
      </c>
      <c r="L93" s="370">
        <v>0.46415256294736318</v>
      </c>
      <c r="M93" s="370">
        <v>0.80876894218964157</v>
      </c>
      <c r="N93" s="370">
        <v>1.3535803668226631</v>
      </c>
      <c r="O93" s="370">
        <v>0.81695481938952597</v>
      </c>
      <c r="P93" s="370">
        <v>0.50395980482161595</v>
      </c>
      <c r="Q93" s="370">
        <v>0.55637445480169345</v>
      </c>
      <c r="R93" s="370">
        <v>0.62059668380791444</v>
      </c>
      <c r="S93" s="370">
        <v>0.29812007582869443</v>
      </c>
      <c r="T93" s="370">
        <v>0.80164122055359432</v>
      </c>
      <c r="V93" s="523"/>
      <c r="W93" s="7"/>
      <c r="X93" s="7"/>
      <c r="Y93" s="434" t="s">
        <v>742</v>
      </c>
      <c r="Z93" s="433">
        <v>250447.451084011</v>
      </c>
      <c r="AA93" s="433">
        <v>789958.87824093597</v>
      </c>
      <c r="AB93" s="433">
        <v>810397.92171182204</v>
      </c>
      <c r="AC93" s="32">
        <f t="shared" si="14"/>
        <v>0.30904256338045033</v>
      </c>
      <c r="AD93" s="32">
        <f t="shared" si="15"/>
        <v>0.97477900310046184</v>
      </c>
      <c r="AE93" s="32"/>
    </row>
    <row r="94" spans="1:31">
      <c r="A94" s="7"/>
      <c r="B94" s="7" t="s">
        <v>138</v>
      </c>
      <c r="C94" s="370">
        <v>0.10615620032939298</v>
      </c>
      <c r="D94" s="370">
        <v>4.1668147292671175E-2</v>
      </c>
      <c r="E94" s="370">
        <v>0.18283200225331492</v>
      </c>
      <c r="F94" s="370">
        <v>0</v>
      </c>
      <c r="G94" s="370">
        <v>4.7478913313233901</v>
      </c>
      <c r="H94" s="370">
        <v>0.10817430911927059</v>
      </c>
      <c r="I94" s="370">
        <v>1.2881144998496472</v>
      </c>
      <c r="J94" s="370">
        <v>0.15081528786933984</v>
      </c>
      <c r="K94" s="370">
        <v>0</v>
      </c>
      <c r="L94" s="370">
        <v>0</v>
      </c>
      <c r="M94" s="370">
        <v>0</v>
      </c>
      <c r="N94" s="370">
        <v>0</v>
      </c>
      <c r="O94" s="370">
        <v>0</v>
      </c>
      <c r="P94" s="370">
        <v>0.37562111375905877</v>
      </c>
      <c r="Q94" s="370">
        <v>0</v>
      </c>
      <c r="R94" s="370">
        <v>7.8697678201352483E-2</v>
      </c>
      <c r="S94" s="370">
        <v>0.21681460060268684</v>
      </c>
      <c r="T94" s="370">
        <v>1.6881662956934655E-2</v>
      </c>
      <c r="V94" s="523"/>
      <c r="W94" s="7"/>
      <c r="X94" s="7"/>
      <c r="Y94" s="434" t="s">
        <v>743</v>
      </c>
      <c r="Z94" s="433">
        <v>7530496.8357218048</v>
      </c>
      <c r="AA94" s="433">
        <v>10025413.14207961</v>
      </c>
      <c r="AB94" s="433">
        <v>10851231.081809763</v>
      </c>
      <c r="AC94" s="32">
        <f t="shared" si="14"/>
        <v>0.69397626674317148</v>
      </c>
      <c r="AD94" s="32">
        <f t="shared" si="15"/>
        <v>0.92389638249299699</v>
      </c>
      <c r="AE94" s="32"/>
    </row>
    <row r="95" spans="1:31">
      <c r="A95" s="7"/>
      <c r="B95" s="7" t="s">
        <v>142</v>
      </c>
      <c r="C95" s="370">
        <v>4.0797924799920442E-2</v>
      </c>
      <c r="D95" s="370">
        <v>7.6712861227859655E-2</v>
      </c>
      <c r="E95" s="370">
        <v>0.34629799136803036</v>
      </c>
      <c r="F95" s="370">
        <v>9.4309392161736581E-3</v>
      </c>
      <c r="G95" s="370">
        <v>0.69059559002041793</v>
      </c>
      <c r="H95" s="370">
        <v>1.5734290365582385E-2</v>
      </c>
      <c r="I95" s="370">
        <v>2.5440517986723227E-2</v>
      </c>
      <c r="J95" s="370">
        <v>0.22063592478811844</v>
      </c>
      <c r="K95" s="370">
        <v>0.18449615182326545</v>
      </c>
      <c r="L95" s="370">
        <v>8.5433934010164969E-2</v>
      </c>
      <c r="M95" s="370">
        <v>0.16530992978116466</v>
      </c>
      <c r="N95" s="370">
        <v>0.25453305525840347</v>
      </c>
      <c r="O95" s="370">
        <v>0.12256320691297852</v>
      </c>
      <c r="P95" s="370">
        <v>0.1701802809460462</v>
      </c>
      <c r="Q95" s="370">
        <v>7.6529644813639303E-2</v>
      </c>
      <c r="R95" s="370">
        <v>8.48023297102318E-2</v>
      </c>
      <c r="S95" s="370">
        <v>5.420365015067171E-2</v>
      </c>
      <c r="T95" s="370">
        <v>0.20159565917150249</v>
      </c>
      <c r="V95" s="523"/>
      <c r="W95" s="7"/>
      <c r="X95" s="7"/>
      <c r="Y95" s="434" t="s">
        <v>744</v>
      </c>
      <c r="Z95" s="433">
        <v>32442333.421756048</v>
      </c>
      <c r="AA95" s="433">
        <v>44717968.433706075</v>
      </c>
      <c r="AB95" s="433">
        <v>46451649.352517821</v>
      </c>
      <c r="AC95" s="32">
        <f t="shared" si="14"/>
        <v>0.69841079647255999</v>
      </c>
      <c r="AD95" s="32">
        <f t="shared" si="15"/>
        <v>0.96267773172799564</v>
      </c>
      <c r="AE95" s="32"/>
    </row>
    <row r="96" spans="1:31">
      <c r="A96" s="7"/>
      <c r="B96" s="7" t="s">
        <v>144</v>
      </c>
      <c r="C96" s="370">
        <v>0.59645431773702551</v>
      </c>
      <c r="D96" s="370">
        <v>0.1751178154419134</v>
      </c>
      <c r="E96" s="370">
        <v>0.75286988633676921</v>
      </c>
      <c r="F96" s="370">
        <v>0.64860578911648015</v>
      </c>
      <c r="G96" s="370">
        <v>5.6577342666812855</v>
      </c>
      <c r="H96" s="370">
        <v>0.12890385494734588</v>
      </c>
      <c r="I96" s="370">
        <v>1.9096725785396154</v>
      </c>
      <c r="J96" s="370">
        <v>0.52936088218329336</v>
      </c>
      <c r="K96" s="370">
        <v>0.62505513690134207</v>
      </c>
      <c r="L96" s="370">
        <v>0.58469762342365594</v>
      </c>
      <c r="M96" s="370">
        <v>0.61036689721002213</v>
      </c>
      <c r="N96" s="370">
        <v>1.0544939191728511</v>
      </c>
      <c r="O96" s="370">
        <v>0.61909451647609204</v>
      </c>
      <c r="P96" s="370">
        <v>0.45909862320270312</v>
      </c>
      <c r="Q96" s="370">
        <v>0.45317337392380236</v>
      </c>
      <c r="R96" s="370">
        <v>0.90611735760696566</v>
      </c>
      <c r="S96" s="370">
        <v>0.43362920120537368</v>
      </c>
      <c r="T96" s="370">
        <v>0.74796368935357349</v>
      </c>
      <c r="V96" s="523"/>
      <c r="W96" s="7"/>
      <c r="X96" s="7"/>
      <c r="Y96" s="434" t="s">
        <v>745</v>
      </c>
      <c r="Z96" s="433">
        <v>64609487.809098378</v>
      </c>
      <c r="AA96" s="433">
        <v>68010067.142832115</v>
      </c>
      <c r="AB96" s="433">
        <v>71066756.643960625</v>
      </c>
      <c r="AC96" s="32">
        <f t="shared" si="14"/>
        <v>0.90913798321748795</v>
      </c>
      <c r="AD96" s="32">
        <f t="shared" si="15"/>
        <v>0.95698847611067572</v>
      </c>
      <c r="AE96" s="32"/>
    </row>
    <row r="97" spans="1:31">
      <c r="A97" s="7"/>
      <c r="B97" s="7" t="s">
        <v>146</v>
      </c>
      <c r="C97" s="370">
        <v>0.17870625346146285</v>
      </c>
      <c r="D97" s="370">
        <v>6.8447165702795604E-2</v>
      </c>
      <c r="E97" s="370">
        <v>0.30615112501091846</v>
      </c>
      <c r="F97" s="370">
        <v>5.1813731069269E-3</v>
      </c>
      <c r="G97" s="370">
        <v>1.0540200575293213</v>
      </c>
      <c r="H97" s="370">
        <v>2.4014427366708016E-2</v>
      </c>
      <c r="I97" s="370">
        <v>6.8798695399061222E-2</v>
      </c>
      <c r="J97" s="370">
        <v>0.18966230747930371</v>
      </c>
      <c r="K97" s="370">
        <v>0.12395461589786912</v>
      </c>
      <c r="L97" s="370">
        <v>7.657462491393198E-2</v>
      </c>
      <c r="M97" s="370">
        <v>7.8716731206195087E-2</v>
      </c>
      <c r="N97" s="370">
        <v>0.131827238222366</v>
      </c>
      <c r="O97" s="370">
        <v>0.12138349717877855</v>
      </c>
      <c r="P97" s="370">
        <v>0.25705457832201301</v>
      </c>
      <c r="Q97" s="370">
        <v>7.5760149152072437E-2</v>
      </c>
      <c r="R97" s="370">
        <v>9.1579325081048712E-2</v>
      </c>
      <c r="S97" s="370">
        <v>5.420365015067171E-2</v>
      </c>
      <c r="T97" s="370">
        <v>0.23925913126345466</v>
      </c>
      <c r="V97" s="523"/>
      <c r="W97" s="7"/>
      <c r="X97" s="7"/>
      <c r="Y97" s="434" t="s">
        <v>746</v>
      </c>
      <c r="Z97" s="433">
        <v>36523310.110207155</v>
      </c>
      <c r="AA97" s="433">
        <v>37532797.461364634</v>
      </c>
      <c r="AB97" s="433">
        <v>41860893.000000022</v>
      </c>
      <c r="AC97" s="32">
        <f t="shared" si="14"/>
        <v>0.87249237875090568</v>
      </c>
      <c r="AD97" s="32">
        <f t="shared" si="15"/>
        <v>0.89660766341904397</v>
      </c>
      <c r="AE97" s="32"/>
    </row>
    <row r="98" spans="1:31" ht="15">
      <c r="A98" s="7"/>
      <c r="B98" s="7" t="s">
        <v>215</v>
      </c>
      <c r="C98" s="373">
        <v>0.5</v>
      </c>
      <c r="D98" s="373">
        <v>0.8</v>
      </c>
      <c r="E98" s="373">
        <v>0.8</v>
      </c>
      <c r="F98" s="373">
        <v>0.8</v>
      </c>
      <c r="G98" s="373">
        <v>0.8</v>
      </c>
      <c r="H98" s="373">
        <v>0.8</v>
      </c>
      <c r="I98" s="373">
        <v>0.8</v>
      </c>
      <c r="J98" s="373">
        <v>0.8</v>
      </c>
      <c r="K98" s="373">
        <v>0.8</v>
      </c>
      <c r="L98" s="374">
        <v>0.9</v>
      </c>
      <c r="M98" s="374">
        <v>1</v>
      </c>
      <c r="N98" s="374">
        <v>1</v>
      </c>
      <c r="O98" s="374">
        <v>1</v>
      </c>
      <c r="P98" s="373">
        <v>0.2</v>
      </c>
      <c r="Q98" s="373">
        <v>0.2</v>
      </c>
      <c r="R98" s="373">
        <v>0.6</v>
      </c>
      <c r="S98" s="373">
        <v>0.6</v>
      </c>
      <c r="T98" s="373">
        <v>0.2</v>
      </c>
      <c r="V98" s="523"/>
      <c r="W98" s="7"/>
      <c r="X98" s="7"/>
      <c r="Y98" s="468" t="s">
        <v>256</v>
      </c>
      <c r="Z98" s="469">
        <v>618645852.70435643</v>
      </c>
      <c r="AA98" s="469">
        <v>646136320.80062568</v>
      </c>
      <c r="AB98" s="469">
        <v>734358126.00000012</v>
      </c>
      <c r="AC98" s="32">
        <f t="shared" si="14"/>
        <v>0.84243073073090269</v>
      </c>
      <c r="AD98" s="32">
        <f t="shared" si="15"/>
        <v>0.87986541977834065</v>
      </c>
      <c r="AE98" s="32"/>
    </row>
    <row r="99" spans="1:31">
      <c r="A99" s="7"/>
      <c r="B99" s="7" t="s">
        <v>216</v>
      </c>
      <c r="C99" s="373">
        <v>0.5</v>
      </c>
      <c r="D99" s="373">
        <v>0.2</v>
      </c>
      <c r="E99" s="373">
        <v>0.2</v>
      </c>
      <c r="F99" s="373">
        <v>0.2</v>
      </c>
      <c r="G99" s="373">
        <v>0.2</v>
      </c>
      <c r="H99" s="373">
        <v>0.2</v>
      </c>
      <c r="I99" s="373">
        <v>0.2</v>
      </c>
      <c r="J99" s="373">
        <v>0.2</v>
      </c>
      <c r="K99" s="373">
        <v>0.2</v>
      </c>
      <c r="L99" s="374">
        <v>0.1</v>
      </c>
      <c r="M99" s="374">
        <v>0</v>
      </c>
      <c r="N99" s="374">
        <v>0</v>
      </c>
      <c r="O99" s="373">
        <v>0</v>
      </c>
      <c r="P99" s="373">
        <v>0.8</v>
      </c>
      <c r="Q99" s="373">
        <v>0.8</v>
      </c>
      <c r="R99" s="373">
        <v>0.4</v>
      </c>
      <c r="S99" s="373">
        <v>0.4</v>
      </c>
      <c r="T99" s="373">
        <v>0.8</v>
      </c>
      <c r="V99" s="523"/>
      <c r="W99" s="7"/>
      <c r="X99" s="7"/>
      <c r="Y99" s="434" t="s">
        <v>742</v>
      </c>
      <c r="Z99" s="433">
        <v>81692274.759702548</v>
      </c>
      <c r="AA99" s="433">
        <v>95458311.526895136</v>
      </c>
      <c r="AB99" s="433">
        <v>95458311.526895136</v>
      </c>
      <c r="AC99" s="32">
        <f t="shared" si="14"/>
        <v>0.85579006639653332</v>
      </c>
      <c r="AD99" s="32">
        <f t="shared" si="15"/>
        <v>1</v>
      </c>
      <c r="AE99" s="32">
        <f>AC99</f>
        <v>0.85579006639653332</v>
      </c>
    </row>
    <row r="100" spans="1:31">
      <c r="A100" s="7"/>
      <c r="B100" s="7" t="s">
        <v>236</v>
      </c>
      <c r="C100" s="370">
        <v>0.11113127858742104</v>
      </c>
      <c r="D100" s="370">
        <v>4.3960578486503234E-2</v>
      </c>
      <c r="E100" s="370">
        <v>0.1917271954866456</v>
      </c>
      <c r="F100" s="370">
        <v>1.3285572069043333E-2</v>
      </c>
      <c r="G100" s="370">
        <v>1.1818024471246773</v>
      </c>
      <c r="H100" s="370">
        <v>2.6925777005418945E-2</v>
      </c>
      <c r="I100" s="370">
        <v>8.015647167701602E-2</v>
      </c>
      <c r="J100" s="370">
        <v>6.5776138011550078E-2</v>
      </c>
      <c r="K100" s="370">
        <v>0.11202070855469719</v>
      </c>
      <c r="L100" s="370">
        <v>2.2401185470432586E-2</v>
      </c>
      <c r="M100" s="370">
        <v>3.4175742327895269E-2</v>
      </c>
      <c r="N100" s="370">
        <v>0.21449086733931913</v>
      </c>
      <c r="O100" s="370">
        <v>0.15534741970221283</v>
      </c>
      <c r="P100" s="370">
        <v>9.7494861995036486E-2</v>
      </c>
      <c r="Q100" s="370">
        <v>6.6602666262037521E-2</v>
      </c>
      <c r="R100" s="370">
        <v>0.12989988148778953</v>
      </c>
      <c r="S100" s="370">
        <v>4.3362920120537364E-2</v>
      </c>
      <c r="T100" s="370">
        <v>0.11888495040094829</v>
      </c>
      <c r="V100" s="16"/>
      <c r="W100" s="7"/>
      <c r="X100" s="7"/>
      <c r="Y100" s="470" t="s">
        <v>743</v>
      </c>
      <c r="Z100" s="471">
        <v>171253689.48738635</v>
      </c>
      <c r="AA100" s="471">
        <v>176792008.26409516</v>
      </c>
      <c r="AB100" s="471">
        <v>179770297.47310498</v>
      </c>
      <c r="AC100" s="472">
        <f t="shared" si="14"/>
        <v>0.9526250548314702</v>
      </c>
      <c r="AD100" s="472">
        <f t="shared" si="15"/>
        <v>0.98343280702722646</v>
      </c>
      <c r="AE100" s="472"/>
    </row>
    <row r="101" spans="1:31">
      <c r="A101" s="7"/>
      <c r="B101" s="548" t="s">
        <v>1147</v>
      </c>
      <c r="C101" s="549">
        <f>IFERROR(VLOOKUP(C64,$AE$140:$AF$152,2,FALSE),0)</f>
        <v>0</v>
      </c>
      <c r="D101" s="549">
        <f t="shared" ref="D101:T101" si="19">IFERROR(VLOOKUP(D64,$AE$140:$AF$152,2,FALSE),0)</f>
        <v>9.3666492863930473E-2</v>
      </c>
      <c r="E101" s="549">
        <f t="shared" si="19"/>
        <v>0.18093220414775901</v>
      </c>
      <c r="F101" s="549">
        <f t="shared" si="19"/>
        <v>0</v>
      </c>
      <c r="G101" s="549">
        <f t="shared" si="19"/>
        <v>0</v>
      </c>
      <c r="H101" s="549">
        <f t="shared" si="19"/>
        <v>0.1845720316176401</v>
      </c>
      <c r="I101" s="549">
        <f t="shared" si="19"/>
        <v>0.23278079179476083</v>
      </c>
      <c r="J101" s="549">
        <f t="shared" si="19"/>
        <v>3.7519732135274744E-4</v>
      </c>
      <c r="K101" s="549">
        <f t="shared" si="19"/>
        <v>0</v>
      </c>
      <c r="L101" s="549">
        <f t="shared" si="19"/>
        <v>4.0847109948506629E-3</v>
      </c>
      <c r="M101" s="549">
        <f t="shared" si="19"/>
        <v>0</v>
      </c>
      <c r="N101" s="549">
        <f t="shared" si="19"/>
        <v>5.4746597404996745E-2</v>
      </c>
      <c r="O101" s="549">
        <f t="shared" si="19"/>
        <v>2.9347519170761286E-2</v>
      </c>
      <c r="P101" s="549">
        <f t="shared" si="19"/>
        <v>4.3510047797893039E-2</v>
      </c>
      <c r="Q101" s="549">
        <f t="shared" si="19"/>
        <v>0</v>
      </c>
      <c r="R101" s="549">
        <f t="shared" si="19"/>
        <v>6.9159304953855333E-2</v>
      </c>
      <c r="S101" s="549">
        <f t="shared" si="19"/>
        <v>6.6382185345618808E-2</v>
      </c>
      <c r="T101" s="549">
        <f t="shared" si="19"/>
        <v>3.7441828223745317E-2</v>
      </c>
      <c r="U101" s="278" t="s">
        <v>1154</v>
      </c>
      <c r="V101" s="16"/>
      <c r="W101" s="7"/>
      <c r="X101" s="7"/>
      <c r="Y101" s="470" t="s">
        <v>744</v>
      </c>
      <c r="Z101" s="471">
        <v>117614076.73231445</v>
      </c>
      <c r="AA101" s="471">
        <v>118969476.46347684</v>
      </c>
      <c r="AB101" s="471">
        <v>136471707.75979474</v>
      </c>
      <c r="AC101" s="472">
        <f t="shared" si="14"/>
        <v>0.86182021653402474</v>
      </c>
      <c r="AD101" s="472">
        <f t="shared" si="15"/>
        <v>0.87175194343487106</v>
      </c>
      <c r="AE101" s="475">
        <f>SUMPRODUCT(Z100:Z101,AC100:AC101)/SUM(Z100:Z101)</f>
        <v>0.9156533727398849</v>
      </c>
    </row>
    <row r="102" spans="1:31">
      <c r="A102" s="7"/>
      <c r="B102" s="7"/>
      <c r="C102" s="257"/>
      <c r="D102" s="257"/>
      <c r="E102" s="257"/>
      <c r="F102" s="257"/>
      <c r="G102" s="257"/>
      <c r="H102" s="257"/>
      <c r="I102" s="257"/>
      <c r="J102" s="257"/>
      <c r="K102" s="257"/>
      <c r="L102" s="258"/>
      <c r="M102" s="258"/>
      <c r="N102" s="258"/>
      <c r="O102" s="258"/>
      <c r="P102" s="257"/>
      <c r="Q102" s="257"/>
      <c r="R102" s="257"/>
      <c r="S102" s="257"/>
      <c r="T102" s="257"/>
      <c r="V102" s="16"/>
      <c r="W102" s="7"/>
      <c r="X102" s="7"/>
      <c r="Y102" s="473" t="s">
        <v>745</v>
      </c>
      <c r="Z102" s="474">
        <v>93515556.44881475</v>
      </c>
      <c r="AA102" s="474">
        <v>93515556.44881475</v>
      </c>
      <c r="AB102" s="474">
        <v>121007363.24020527</v>
      </c>
      <c r="AC102" s="475">
        <f t="shared" si="14"/>
        <v>0.77280881051165451</v>
      </c>
      <c r="AD102" s="475">
        <f t="shared" si="15"/>
        <v>0.77280881051165451</v>
      </c>
      <c r="AE102" s="475"/>
    </row>
    <row r="103" spans="1:31">
      <c r="A103" s="7"/>
      <c r="B103" s="7"/>
      <c r="C103" s="257"/>
      <c r="D103" s="257"/>
      <c r="E103" s="257"/>
      <c r="F103" s="257"/>
      <c r="G103" s="257"/>
      <c r="H103" s="257"/>
      <c r="I103" s="257"/>
      <c r="J103" s="257"/>
      <c r="K103" s="257"/>
      <c r="L103" s="258"/>
      <c r="M103" s="258"/>
      <c r="N103" s="258"/>
      <c r="O103" s="257"/>
      <c r="P103" s="257"/>
      <c r="Q103" s="257"/>
      <c r="R103" s="257"/>
      <c r="S103" s="257"/>
      <c r="T103" s="257"/>
      <c r="V103" s="16"/>
      <c r="W103" s="7"/>
      <c r="X103" s="7"/>
      <c r="Y103" s="473" t="s">
        <v>746</v>
      </c>
      <c r="Z103" s="474">
        <v>154570255.27613831</v>
      </c>
      <c r="AA103" s="474">
        <v>161400968.09734377</v>
      </c>
      <c r="AB103" s="474">
        <v>201650446.00000003</v>
      </c>
      <c r="AC103" s="475">
        <f t="shared" si="14"/>
        <v>0.76652572975781208</v>
      </c>
      <c r="AD103" s="475">
        <f t="shared" si="15"/>
        <v>0.80039975759509974</v>
      </c>
      <c r="AE103" s="475">
        <f>SUMPRODUCT(Z102:Z103,AC102:AC103)/SUM(Z102:Z103)</f>
        <v>0.76889412716362515</v>
      </c>
    </row>
    <row r="104" spans="1:31" ht="15">
      <c r="A104" s="7"/>
      <c r="B104" s="7"/>
      <c r="C104" s="7"/>
      <c r="D104" s="7"/>
      <c r="E104" s="7"/>
      <c r="F104" s="7"/>
      <c r="G104" s="7"/>
      <c r="H104" s="7"/>
      <c r="I104" s="7"/>
      <c r="J104" s="7"/>
      <c r="K104" s="7"/>
      <c r="L104" s="7"/>
      <c r="M104" s="7"/>
      <c r="N104" s="7"/>
      <c r="O104" s="7"/>
      <c r="P104" s="7"/>
      <c r="Q104" s="7"/>
      <c r="R104" s="7"/>
      <c r="S104" s="7"/>
      <c r="T104" s="7"/>
      <c r="V104" s="16"/>
      <c r="W104" s="7"/>
      <c r="X104" s="7"/>
      <c r="Y104" s="468" t="s">
        <v>272</v>
      </c>
      <c r="Z104" s="469">
        <v>237772374.0650416</v>
      </c>
      <c r="AA104" s="469">
        <v>286169314.0188958</v>
      </c>
      <c r="AB104" s="469">
        <v>333434465</v>
      </c>
      <c r="AC104" s="32">
        <f t="shared" si="14"/>
        <v>0.71310077098671132</v>
      </c>
      <c r="AD104" s="32">
        <f t="shared" si="15"/>
        <v>0.85824755404002939</v>
      </c>
      <c r="AE104" s="32"/>
    </row>
    <row r="105" spans="1:31">
      <c r="A105" s="7"/>
      <c r="B105" s="7"/>
      <c r="C105" s="25"/>
      <c r="D105" s="25"/>
      <c r="E105" s="25"/>
      <c r="F105" s="25"/>
      <c r="G105" s="25"/>
      <c r="H105" s="25"/>
      <c r="I105" s="25"/>
      <c r="J105" s="25"/>
      <c r="K105" s="544"/>
      <c r="L105" s="25"/>
      <c r="M105" s="25"/>
      <c r="N105" s="25"/>
      <c r="O105" s="25"/>
      <c r="P105" s="25"/>
      <c r="Q105" s="544"/>
      <c r="R105" s="25"/>
      <c r="S105" s="25"/>
      <c r="T105" s="25"/>
      <c r="V105" s="16"/>
      <c r="W105" s="7"/>
      <c r="X105" s="7"/>
      <c r="Y105" s="434" t="s">
        <v>742</v>
      </c>
      <c r="Z105" s="433">
        <v>2535945.7141832607</v>
      </c>
      <c r="AA105" s="433">
        <v>11615593.376717271</v>
      </c>
      <c r="AB105" s="433">
        <v>27479196.480045743</v>
      </c>
      <c r="AC105" s="32">
        <f t="shared" si="14"/>
        <v>9.2286021391664766E-2</v>
      </c>
      <c r="AD105" s="32">
        <f t="shared" si="15"/>
        <v>0.42270498648503185</v>
      </c>
      <c r="AE105" s="32"/>
    </row>
    <row r="106" spans="1:31">
      <c r="A106" s="7"/>
      <c r="B106" s="7"/>
      <c r="C106" s="7"/>
      <c r="D106" s="7"/>
      <c r="E106" s="7"/>
      <c r="F106" s="7"/>
      <c r="G106" s="7"/>
      <c r="H106" s="7"/>
      <c r="I106" s="7"/>
      <c r="J106" s="7"/>
      <c r="K106" s="7"/>
      <c r="L106" s="7"/>
      <c r="M106" s="7"/>
      <c r="N106" s="7"/>
      <c r="O106" s="7"/>
      <c r="P106" s="7"/>
      <c r="Q106" s="7"/>
      <c r="R106" s="7"/>
      <c r="S106" s="7"/>
      <c r="T106" s="7"/>
      <c r="V106" s="16"/>
      <c r="W106" s="7"/>
      <c r="X106" s="7"/>
      <c r="Y106" s="434" t="s">
        <v>743</v>
      </c>
      <c r="Z106" s="433">
        <v>74289856.097755432</v>
      </c>
      <c r="AA106" s="433">
        <v>90672063.352372155</v>
      </c>
      <c r="AB106" s="433">
        <v>106153928.51995429</v>
      </c>
      <c r="AC106" s="32">
        <f t="shared" si="14"/>
        <v>0.69983143472444154</v>
      </c>
      <c r="AD106" s="32">
        <f t="shared" si="15"/>
        <v>0.85415645578607169</v>
      </c>
      <c r="AE106" s="32"/>
    </row>
    <row r="107" spans="1:31">
      <c r="A107" s="7"/>
      <c r="B107" s="7"/>
      <c r="C107" s="25"/>
      <c r="D107" s="7"/>
      <c r="E107" s="7"/>
      <c r="F107" s="7"/>
      <c r="G107" s="7"/>
      <c r="H107" s="7"/>
      <c r="I107" s="7"/>
      <c r="J107" s="7"/>
      <c r="K107" s="7"/>
      <c r="L107" s="7"/>
      <c r="M107" s="7"/>
      <c r="N107" s="7"/>
      <c r="O107" s="7"/>
      <c r="P107" s="7"/>
      <c r="Q107" s="7"/>
      <c r="R107" s="7"/>
      <c r="S107" s="7"/>
      <c r="T107" s="7"/>
      <c r="V107" s="16"/>
      <c r="W107" s="7"/>
      <c r="X107" s="7"/>
      <c r="Y107" s="434" t="s">
        <v>744</v>
      </c>
      <c r="Z107" s="433">
        <v>58374418.446868539</v>
      </c>
      <c r="AA107" s="433">
        <v>67981139.279465944</v>
      </c>
      <c r="AB107" s="433">
        <v>71274131.123429507</v>
      </c>
      <c r="AC107" s="32">
        <f t="shared" si="14"/>
        <v>0.81901269825062062</v>
      </c>
      <c r="AD107" s="32">
        <f t="shared" si="15"/>
        <v>0.95379821834290901</v>
      </c>
      <c r="AE107" s="32"/>
    </row>
    <row r="108" spans="1:31">
      <c r="A108" s="7"/>
      <c r="B108" s="7"/>
      <c r="C108" s="25"/>
      <c r="D108" s="7"/>
      <c r="E108" s="7"/>
      <c r="F108" s="7"/>
      <c r="G108" s="7"/>
      <c r="H108" s="7"/>
      <c r="I108" s="7"/>
      <c r="J108" s="7"/>
      <c r="K108" s="7"/>
      <c r="L108" s="7"/>
      <c r="M108" s="7"/>
      <c r="N108" s="7"/>
      <c r="O108" s="7"/>
      <c r="P108" s="7"/>
      <c r="Q108" s="7"/>
      <c r="R108" s="7"/>
      <c r="S108" s="7"/>
      <c r="T108" s="7"/>
      <c r="V108" s="16"/>
      <c r="W108" s="7"/>
      <c r="X108" s="7"/>
      <c r="Y108" s="434" t="s">
        <v>745</v>
      </c>
      <c r="Z108" s="433">
        <v>38161939.520573601</v>
      </c>
      <c r="AA108" s="433">
        <v>48422078.222388498</v>
      </c>
      <c r="AB108" s="433">
        <v>49052865.8765705</v>
      </c>
      <c r="AC108" s="32">
        <f t="shared" si="14"/>
        <v>0.77797573778051532</v>
      </c>
      <c r="AD108" s="32">
        <f t="shared" si="15"/>
        <v>0.98714065645482929</v>
      </c>
      <c r="AE108" s="32"/>
    </row>
    <row r="109" spans="1:31">
      <c r="A109" s="7"/>
      <c r="B109" s="7"/>
      <c r="C109" s="25"/>
      <c r="D109" s="7"/>
      <c r="E109" s="7"/>
      <c r="F109" s="7"/>
      <c r="G109" s="7"/>
      <c r="H109" s="7"/>
      <c r="I109" s="7"/>
      <c r="J109" s="7"/>
      <c r="K109" s="7"/>
      <c r="L109" s="7"/>
      <c r="M109" s="7"/>
      <c r="N109" s="7"/>
      <c r="O109" s="7"/>
      <c r="P109" s="7"/>
      <c r="Q109" s="7"/>
      <c r="R109" s="7"/>
      <c r="S109" s="7"/>
      <c r="T109" s="7"/>
      <c r="V109" s="16"/>
      <c r="W109" s="7"/>
      <c r="X109" s="7"/>
      <c r="Y109" s="434" t="s">
        <v>746</v>
      </c>
      <c r="Z109" s="433">
        <v>64410214.285660729</v>
      </c>
      <c r="AA109" s="433">
        <v>67478439.787951931</v>
      </c>
      <c r="AB109" s="433">
        <v>79474343</v>
      </c>
      <c r="AC109" s="32">
        <f t="shared" si="14"/>
        <v>0.81045293178026934</v>
      </c>
      <c r="AD109" s="32">
        <f t="shared" si="15"/>
        <v>0.84905942271145207</v>
      </c>
      <c r="AE109" s="32"/>
    </row>
    <row r="110" spans="1:31" ht="15">
      <c r="A110" s="7"/>
      <c r="B110" s="7"/>
      <c r="C110" s="25"/>
      <c r="D110" s="7"/>
      <c r="E110" s="7"/>
      <c r="F110" s="7"/>
      <c r="G110" s="7"/>
      <c r="H110" s="7"/>
      <c r="I110" s="7"/>
      <c r="J110" s="7"/>
      <c r="K110" s="7"/>
      <c r="L110" s="7"/>
      <c r="M110" s="7"/>
      <c r="N110" s="7"/>
      <c r="O110" s="7"/>
      <c r="P110" s="7"/>
      <c r="Q110" s="7"/>
      <c r="R110" s="7"/>
      <c r="S110" s="7"/>
      <c r="T110" s="7"/>
      <c r="V110" s="16"/>
      <c r="W110" s="7"/>
      <c r="X110" s="7"/>
      <c r="Y110" s="468" t="s">
        <v>726</v>
      </c>
      <c r="Z110" s="469">
        <v>103443313.47111626</v>
      </c>
      <c r="AA110" s="469">
        <v>120189956.98030135</v>
      </c>
      <c r="AB110" s="469">
        <v>125160635.99999997</v>
      </c>
      <c r="AC110" s="32">
        <f t="shared" si="14"/>
        <v>0.82648440258098632</v>
      </c>
      <c r="AD110" s="32">
        <f t="shared" si="15"/>
        <v>0.96028560433570642</v>
      </c>
    </row>
    <row r="111" spans="1:31">
      <c r="A111" s="7"/>
      <c r="B111" s="7"/>
      <c r="C111" s="25"/>
      <c r="D111" s="7"/>
      <c r="E111" s="7"/>
      <c r="F111" s="7"/>
      <c r="G111" s="7"/>
      <c r="H111" s="7"/>
      <c r="I111" s="7"/>
      <c r="J111" s="7"/>
      <c r="K111" s="7"/>
      <c r="L111" s="7"/>
      <c r="M111" s="7"/>
      <c r="N111" s="7"/>
      <c r="O111" s="7"/>
      <c r="P111" s="7"/>
      <c r="Q111" s="7"/>
      <c r="R111" s="7"/>
      <c r="S111" s="7"/>
      <c r="T111" s="7"/>
      <c r="V111" s="16"/>
      <c r="W111" s="7"/>
      <c r="X111" s="7"/>
      <c r="Y111" s="434" t="s">
        <v>742</v>
      </c>
      <c r="Z111" s="433">
        <v>435717.67380027799</v>
      </c>
      <c r="AA111" s="433">
        <v>617607.67825962603</v>
      </c>
      <c r="AB111" s="433">
        <v>617607.67825962603</v>
      </c>
      <c r="AC111" s="32">
        <f t="shared" si="14"/>
        <v>0.7054926438545891</v>
      </c>
      <c r="AD111" s="32">
        <f t="shared" si="15"/>
        <v>1</v>
      </c>
    </row>
    <row r="112" spans="1:31">
      <c r="A112" s="7"/>
      <c r="B112" s="7"/>
      <c r="C112" s="25"/>
      <c r="D112" s="7"/>
      <c r="E112" s="7"/>
      <c r="F112" s="7"/>
      <c r="G112" s="7"/>
      <c r="H112" s="7"/>
      <c r="I112" s="7"/>
      <c r="J112" s="7"/>
      <c r="K112" s="7"/>
      <c r="L112" s="7"/>
      <c r="M112" s="7"/>
      <c r="N112" s="7"/>
      <c r="O112" s="7"/>
      <c r="P112" s="7"/>
      <c r="Q112" s="7"/>
      <c r="R112" s="7"/>
      <c r="S112" s="7"/>
      <c r="T112" s="7"/>
      <c r="V112" s="16"/>
      <c r="W112" s="7"/>
      <c r="X112" s="7"/>
      <c r="Y112" s="434" t="s">
        <v>743</v>
      </c>
      <c r="Z112" s="433">
        <v>21292448.270369157</v>
      </c>
      <c r="AA112" s="433">
        <v>23441564.181165367</v>
      </c>
      <c r="AB112" s="433">
        <v>23943702.411423143</v>
      </c>
      <c r="AC112" s="32">
        <f t="shared" si="14"/>
        <v>0.88927133759442667</v>
      </c>
      <c r="AD112" s="32">
        <f t="shared" si="15"/>
        <v>0.9790283799209677</v>
      </c>
    </row>
    <row r="113" spans="1:32">
      <c r="A113" s="7"/>
      <c r="B113" s="7"/>
      <c r="C113" s="25"/>
      <c r="D113" s="7"/>
      <c r="E113" s="7"/>
      <c r="F113" s="7"/>
      <c r="G113" s="7"/>
      <c r="H113" s="7"/>
      <c r="I113" s="7"/>
      <c r="J113" s="7"/>
      <c r="K113" s="7"/>
      <c r="L113" s="7"/>
      <c r="M113" s="7"/>
      <c r="N113" s="7"/>
      <c r="O113" s="7"/>
      <c r="P113" s="7"/>
      <c r="Q113" s="7"/>
      <c r="R113" s="7"/>
      <c r="S113" s="7"/>
      <c r="T113" s="7"/>
      <c r="V113" s="16"/>
      <c r="W113" s="7"/>
      <c r="X113" s="7"/>
      <c r="Y113" s="434" t="s">
        <v>744</v>
      </c>
      <c r="Z113" s="433">
        <v>42854401.027015857</v>
      </c>
      <c r="AA113" s="433">
        <v>45870170.91031719</v>
      </c>
      <c r="AB113" s="433">
        <v>45870170.910317197</v>
      </c>
      <c r="AC113" s="32">
        <f t="shared" si="14"/>
        <v>0.93425422614627696</v>
      </c>
      <c r="AD113" s="32">
        <f t="shared" si="15"/>
        <v>0.99999999999999989</v>
      </c>
    </row>
    <row r="114" spans="1:32">
      <c r="A114" s="7"/>
      <c r="B114" s="7"/>
      <c r="C114" s="25"/>
      <c r="D114" s="7"/>
      <c r="E114" s="7"/>
      <c r="F114" s="7"/>
      <c r="G114" s="7"/>
      <c r="H114" s="7"/>
      <c r="I114" s="7"/>
      <c r="J114" s="7"/>
      <c r="K114" s="7"/>
      <c r="L114" s="7"/>
      <c r="M114" s="7"/>
      <c r="N114" s="7"/>
      <c r="O114" s="7"/>
      <c r="P114" s="7"/>
      <c r="Q114" s="7"/>
      <c r="R114" s="7"/>
      <c r="S114" s="7"/>
      <c r="T114" s="7"/>
      <c r="V114" s="16"/>
      <c r="W114" s="7"/>
      <c r="X114" s="7"/>
      <c r="Y114" s="434" t="s">
        <v>745</v>
      </c>
      <c r="Z114" s="433">
        <v>16473485.421083221</v>
      </c>
      <c r="AA114" s="433">
        <v>20207205.045104925</v>
      </c>
      <c r="AB114" s="433">
        <v>22184338.546042822</v>
      </c>
      <c r="AC114" s="32">
        <f t="shared" si="14"/>
        <v>0.74257275631153374</v>
      </c>
      <c r="AD114" s="32">
        <f t="shared" si="15"/>
        <v>0.91087705874870117</v>
      </c>
    </row>
    <row r="115" spans="1:32">
      <c r="A115" s="7"/>
      <c r="B115" s="7"/>
      <c r="C115" s="25"/>
      <c r="D115" s="7"/>
      <c r="E115" s="7"/>
      <c r="F115" s="7"/>
      <c r="G115" s="7"/>
      <c r="H115" s="7"/>
      <c r="I115" s="7"/>
      <c r="J115" s="7"/>
      <c r="K115" s="7"/>
      <c r="L115" s="7"/>
      <c r="M115" s="7"/>
      <c r="N115" s="7"/>
      <c r="O115" s="7"/>
      <c r="P115" s="7"/>
      <c r="Q115" s="7"/>
      <c r="R115" s="7"/>
      <c r="S115" s="7"/>
      <c r="T115" s="7"/>
      <c r="V115" s="16"/>
      <c r="W115" s="7"/>
      <c r="X115" s="7"/>
      <c r="Y115" s="434" t="s">
        <v>746</v>
      </c>
      <c r="Z115" s="433">
        <v>22387261.078847732</v>
      </c>
      <c r="AA115" s="433">
        <v>30053409.165454242</v>
      </c>
      <c r="AB115" s="433">
        <v>32544816.453957163</v>
      </c>
      <c r="AC115" s="32">
        <f t="shared" si="14"/>
        <v>0.6878902239476492</v>
      </c>
      <c r="AD115" s="32">
        <f t="shared" si="15"/>
        <v>0.92344687849053797</v>
      </c>
    </row>
    <row r="116" spans="1:32" ht="15">
      <c r="A116" s="7"/>
      <c r="B116" s="7"/>
      <c r="C116" s="25"/>
      <c r="D116" s="7"/>
      <c r="E116" s="7"/>
      <c r="F116" s="7"/>
      <c r="G116" s="7"/>
      <c r="H116" s="7"/>
      <c r="I116" s="7"/>
      <c r="J116" s="7"/>
      <c r="K116" s="7"/>
      <c r="L116" s="7"/>
      <c r="M116" s="7"/>
      <c r="N116" s="7"/>
      <c r="O116" s="7"/>
      <c r="P116" s="7"/>
      <c r="Q116" s="7"/>
      <c r="R116" s="7"/>
      <c r="S116" s="7"/>
      <c r="T116" s="7"/>
      <c r="V116" s="16"/>
      <c r="W116" s="7"/>
      <c r="X116" s="7"/>
      <c r="Y116" s="468" t="s">
        <v>266</v>
      </c>
      <c r="Z116" s="469">
        <v>50814798.83270625</v>
      </c>
      <c r="AA116" s="469">
        <v>50145382.29240372</v>
      </c>
      <c r="AB116" s="469">
        <v>53036739.000000007</v>
      </c>
      <c r="AC116" s="32">
        <f t="shared" si="14"/>
        <v>0.9581056413122655</v>
      </c>
      <c r="AD116" s="32">
        <f t="shared" si="15"/>
        <v>0.94548388980709608</v>
      </c>
    </row>
    <row r="117" spans="1:32">
      <c r="A117" s="7"/>
      <c r="B117" s="7"/>
      <c r="C117" s="25"/>
      <c r="D117" s="7"/>
      <c r="E117" s="7"/>
      <c r="F117" s="7"/>
      <c r="G117" s="7"/>
      <c r="H117" s="7"/>
      <c r="I117" s="7"/>
      <c r="J117" s="7"/>
      <c r="K117" s="7"/>
      <c r="L117" s="7"/>
      <c r="M117" s="7"/>
      <c r="N117" s="7"/>
      <c r="O117" s="7"/>
      <c r="P117" s="7"/>
      <c r="Q117" s="7"/>
      <c r="R117" s="7"/>
      <c r="S117" s="7"/>
      <c r="T117" s="7"/>
      <c r="V117" s="16"/>
      <c r="W117" s="7"/>
      <c r="X117" s="7"/>
      <c r="Y117" s="434" t="s">
        <v>742</v>
      </c>
      <c r="Z117" s="433">
        <v>26258163.66003301</v>
      </c>
      <c r="AA117" s="433">
        <v>25588747.11973048</v>
      </c>
      <c r="AB117" s="433">
        <v>27474535.177056238</v>
      </c>
      <c r="AC117" s="32">
        <f t="shared" si="14"/>
        <v>0.95572731224806995</v>
      </c>
      <c r="AD117" s="32">
        <f t="shared" si="15"/>
        <v>0.93136233078474195</v>
      </c>
    </row>
    <row r="118" spans="1:32">
      <c r="A118" s="7"/>
      <c r="B118" s="7"/>
      <c r="C118" s="25"/>
      <c r="D118" s="7"/>
      <c r="E118" s="7"/>
      <c r="F118" s="7"/>
      <c r="G118" s="7"/>
      <c r="H118" s="7"/>
      <c r="I118" s="7"/>
      <c r="J118" s="7"/>
      <c r="K118" s="7"/>
      <c r="L118" s="7"/>
      <c r="M118" s="7"/>
      <c r="N118" s="7"/>
      <c r="O118" s="7"/>
      <c r="P118" s="7"/>
      <c r="Q118" s="7"/>
      <c r="R118" s="7"/>
      <c r="S118" s="7"/>
      <c r="T118" s="7"/>
      <c r="V118" s="16"/>
      <c r="W118" s="7"/>
      <c r="X118" s="7"/>
      <c r="Y118" s="434" t="s">
        <v>743</v>
      </c>
      <c r="Z118" s="433">
        <v>24556635.17267324</v>
      </c>
      <c r="AA118" s="433">
        <v>24556635.17267324</v>
      </c>
      <c r="AB118" s="433">
        <v>25562203.822943769</v>
      </c>
      <c r="AC118" s="32">
        <f t="shared" si="14"/>
        <v>0.96066189530309731</v>
      </c>
      <c r="AD118" s="32">
        <f t="shared" si="15"/>
        <v>0.96066189530309731</v>
      </c>
    </row>
    <row r="119" spans="1:32" ht="15">
      <c r="A119" s="7"/>
      <c r="B119" s="7"/>
      <c r="C119" s="25"/>
      <c r="D119" s="7"/>
      <c r="E119" s="7"/>
      <c r="F119" s="7"/>
      <c r="G119" s="7"/>
      <c r="H119" s="7"/>
      <c r="I119" s="7"/>
      <c r="J119" s="7"/>
      <c r="K119" s="7"/>
      <c r="L119" s="7"/>
      <c r="M119" s="7"/>
      <c r="N119" s="7"/>
      <c r="O119" s="7"/>
      <c r="P119" s="7"/>
      <c r="Q119" s="7"/>
      <c r="R119" s="7"/>
      <c r="S119" s="7"/>
      <c r="T119" s="7"/>
      <c r="V119" s="16"/>
      <c r="W119" s="7"/>
      <c r="X119" s="7"/>
      <c r="Y119" s="468" t="s">
        <v>748</v>
      </c>
      <c r="Z119" s="469">
        <v>414543040.08194339</v>
      </c>
      <c r="AA119" s="469">
        <v>528018097.06570667</v>
      </c>
      <c r="AB119" s="469">
        <v>570929487.99999988</v>
      </c>
      <c r="AC119" s="32">
        <f>Z119/AB119</f>
        <v>0.7260844794233916</v>
      </c>
      <c r="AD119" s="32">
        <f>AA119/AB119</f>
        <v>0.92483942091585714</v>
      </c>
      <c r="AE119" s="34">
        <f>AC119</f>
        <v>0.7260844794233916</v>
      </c>
    </row>
    <row r="120" spans="1:32">
      <c r="A120" s="7"/>
      <c r="B120" s="7"/>
      <c r="C120" s="25"/>
      <c r="D120" s="7"/>
      <c r="E120" s="7"/>
      <c r="F120" s="7"/>
      <c r="G120" s="7"/>
      <c r="H120" s="7"/>
      <c r="I120" s="7"/>
      <c r="J120" s="7"/>
      <c r="K120" s="7"/>
      <c r="L120" s="7"/>
      <c r="M120" s="7"/>
      <c r="N120" s="7"/>
      <c r="O120" s="7"/>
      <c r="P120" s="7"/>
      <c r="Q120" s="7"/>
      <c r="R120" s="7"/>
      <c r="S120" s="7"/>
      <c r="T120" s="7"/>
      <c r="V120" s="16"/>
      <c r="W120" s="7"/>
      <c r="X120" s="7"/>
      <c r="Y120" s="434" t="s">
        <v>742</v>
      </c>
      <c r="Z120" s="433">
        <v>39096656.051702648</v>
      </c>
      <c r="AA120" s="433">
        <v>54800804.729642868</v>
      </c>
      <c r="AB120" s="433">
        <v>59224380.55444251</v>
      </c>
      <c r="AC120" s="32">
        <f>Z120/AB120</f>
        <v>0.66014461756611731</v>
      </c>
      <c r="AD120" s="32">
        <f t="shared" ref="AD120:AD137" si="20">AA120/AB120</f>
        <v>0.92530819599314795</v>
      </c>
      <c r="AE120" s="34">
        <f>AC120</f>
        <v>0.66014461756611731</v>
      </c>
    </row>
    <row r="121" spans="1:32">
      <c r="A121" s="7"/>
      <c r="B121" s="7"/>
      <c r="C121" s="7"/>
      <c r="D121" s="7"/>
      <c r="E121" s="7"/>
      <c r="F121" s="7"/>
      <c r="G121" s="7"/>
      <c r="H121" s="7"/>
      <c r="I121" s="7"/>
      <c r="J121" s="7"/>
      <c r="K121" s="7"/>
      <c r="L121" s="7"/>
      <c r="M121" s="7"/>
      <c r="N121" s="7"/>
      <c r="O121" s="7"/>
      <c r="P121" s="7"/>
      <c r="Q121" s="7"/>
      <c r="R121" s="7"/>
      <c r="S121" s="7"/>
      <c r="T121" s="7"/>
      <c r="V121" s="16"/>
      <c r="W121" s="7"/>
      <c r="X121" s="7"/>
      <c r="Y121" s="473" t="s">
        <v>743</v>
      </c>
      <c r="Z121" s="474">
        <v>94873430.817876413</v>
      </c>
      <c r="AA121" s="474">
        <v>154249970.50174269</v>
      </c>
      <c r="AB121" s="474">
        <v>186496889.44555739</v>
      </c>
      <c r="AC121" s="475">
        <f t="shared" ref="AC121:AC137" si="21">Z121/AB121</f>
        <v>0.50871320749600002</v>
      </c>
      <c r="AD121" s="475">
        <f t="shared" si="20"/>
        <v>0.82709138452827502</v>
      </c>
      <c r="AE121" s="476"/>
      <c r="AF121" s="476"/>
    </row>
    <row r="122" spans="1:32">
      <c r="A122" s="7"/>
      <c r="B122" s="7"/>
      <c r="C122" s="7"/>
      <c r="D122" s="7"/>
      <c r="E122" s="7"/>
      <c r="F122" s="7"/>
      <c r="G122" s="7"/>
      <c r="H122" s="7"/>
      <c r="I122" s="7"/>
      <c r="J122" s="7"/>
      <c r="K122" s="7"/>
      <c r="L122" s="7"/>
      <c r="M122" s="7"/>
      <c r="N122" s="7"/>
      <c r="O122" s="7"/>
      <c r="P122" s="7"/>
      <c r="Q122" s="7"/>
      <c r="R122" s="7"/>
      <c r="S122" s="7"/>
      <c r="T122" s="7"/>
      <c r="V122" s="16"/>
      <c r="W122" s="7"/>
      <c r="X122" s="7"/>
      <c r="Y122" s="473" t="s">
        <v>744</v>
      </c>
      <c r="Z122" s="474">
        <v>122016946.63945058</v>
      </c>
      <c r="AA122" s="474">
        <v>156486203.50881305</v>
      </c>
      <c r="AB122" s="474">
        <v>159704133.08919239</v>
      </c>
      <c r="AC122" s="475">
        <f t="shared" si="21"/>
        <v>0.76401871560397205</v>
      </c>
      <c r="AD122" s="475">
        <f t="shared" si="20"/>
        <v>0.97985068064217118</v>
      </c>
      <c r="AE122" s="475">
        <f>SUMPRODUCT(AC121:AC122,Z121:Z122)/SUM(Z121:Z122)</f>
        <v>0.65234151837252696</v>
      </c>
      <c r="AF122" s="476"/>
    </row>
    <row r="123" spans="1:32">
      <c r="A123" s="7"/>
      <c r="B123" s="7"/>
      <c r="C123" s="7"/>
      <c r="D123" s="7"/>
      <c r="E123" s="7"/>
      <c r="F123" s="7"/>
      <c r="G123" s="7"/>
      <c r="H123" s="7"/>
      <c r="I123" s="7"/>
      <c r="J123" s="7"/>
      <c r="K123" s="7"/>
      <c r="L123" s="7"/>
      <c r="M123" s="7"/>
      <c r="N123" s="7"/>
      <c r="O123" s="7"/>
      <c r="P123" s="7"/>
      <c r="Q123" s="7"/>
      <c r="R123" s="7"/>
      <c r="S123" s="7"/>
      <c r="T123" s="7"/>
      <c r="V123" s="16"/>
      <c r="W123" s="7"/>
      <c r="X123" s="7"/>
      <c r="Y123" s="470" t="s">
        <v>745</v>
      </c>
      <c r="Z123" s="471">
        <v>31086013.955643475</v>
      </c>
      <c r="AA123" s="471">
        <v>31342144.812589288</v>
      </c>
      <c r="AB123" s="471">
        <v>31550759.910807591</v>
      </c>
      <c r="AC123" s="472">
        <f t="shared" si="21"/>
        <v>0.98526989662125641</v>
      </c>
      <c r="AD123" s="472">
        <f t="shared" si="20"/>
        <v>0.99338795329151985</v>
      </c>
      <c r="AE123" s="477">
        <f>AC123</f>
        <v>0.98526989662125641</v>
      </c>
      <c r="AF123" s="222"/>
    </row>
    <row r="124" spans="1:32">
      <c r="A124" s="7"/>
      <c r="B124" s="7"/>
      <c r="C124" s="7"/>
      <c r="D124" s="7"/>
      <c r="E124" s="7"/>
      <c r="F124" s="7"/>
      <c r="G124" s="7"/>
      <c r="H124" s="7"/>
      <c r="I124" s="7"/>
      <c r="J124" s="7"/>
      <c r="K124" s="7"/>
      <c r="L124" s="7"/>
      <c r="M124" s="7"/>
      <c r="N124" s="7"/>
      <c r="O124" s="7"/>
      <c r="P124" s="7"/>
      <c r="Q124" s="7"/>
      <c r="R124" s="7"/>
      <c r="S124" s="7"/>
      <c r="T124" s="7"/>
      <c r="V124" s="16"/>
      <c r="W124" s="7"/>
      <c r="X124" s="7"/>
      <c r="Y124" s="434" t="s">
        <v>746</v>
      </c>
      <c r="Z124" s="433">
        <v>127469992.61727026</v>
      </c>
      <c r="AA124" s="433">
        <v>131138973.51291876</v>
      </c>
      <c r="AB124" s="433">
        <v>133953325.00000001</v>
      </c>
      <c r="AC124" s="32">
        <f t="shared" si="21"/>
        <v>0.95160006380782447</v>
      </c>
      <c r="AD124" s="32">
        <f t="shared" si="20"/>
        <v>0.9789900587605328</v>
      </c>
      <c r="AE124" s="34">
        <f>AC124</f>
        <v>0.95160006380782447</v>
      </c>
    </row>
    <row r="125" spans="1:32" ht="15">
      <c r="A125" s="7"/>
      <c r="B125" s="7"/>
      <c r="C125" s="7"/>
      <c r="D125" s="7"/>
      <c r="E125" s="7"/>
      <c r="F125" s="7"/>
      <c r="G125" s="7"/>
      <c r="H125" s="7"/>
      <c r="I125" s="7"/>
      <c r="J125" s="7"/>
      <c r="K125" s="7"/>
      <c r="L125" s="7"/>
      <c r="M125" s="7"/>
      <c r="N125" s="7"/>
      <c r="O125" s="7"/>
      <c r="P125" s="7"/>
      <c r="Q125" s="7"/>
      <c r="R125" s="7"/>
      <c r="S125" s="7"/>
      <c r="T125" s="7"/>
      <c r="V125" s="16"/>
      <c r="W125" s="7"/>
      <c r="X125" s="7"/>
      <c r="Y125" s="468" t="s">
        <v>725</v>
      </c>
      <c r="Z125" s="469">
        <v>170810721.12644279</v>
      </c>
      <c r="AA125" s="469">
        <v>241410438.13519463</v>
      </c>
      <c r="AB125" s="469">
        <v>245353160.99999988</v>
      </c>
      <c r="AC125" s="32">
        <f t="shared" si="21"/>
        <v>0.69618308739231149</v>
      </c>
      <c r="AD125" s="32">
        <f t="shared" si="20"/>
        <v>0.9839304174898923</v>
      </c>
    </row>
    <row r="126" spans="1:32">
      <c r="A126" s="7"/>
      <c r="B126" s="7"/>
      <c r="C126" s="7"/>
      <c r="D126" s="7"/>
      <c r="E126" s="7"/>
      <c r="F126" s="7"/>
      <c r="G126" s="7"/>
      <c r="H126" s="7"/>
      <c r="I126" s="7"/>
      <c r="J126" s="7"/>
      <c r="K126" s="7"/>
      <c r="L126" s="7"/>
      <c r="M126" s="7"/>
      <c r="N126" s="7"/>
      <c r="O126" s="7"/>
      <c r="P126" s="7"/>
      <c r="Q126" s="7"/>
      <c r="R126" s="7"/>
      <c r="S126" s="7"/>
      <c r="T126" s="7"/>
      <c r="V126" s="16"/>
      <c r="W126" s="7"/>
      <c r="X126" s="7"/>
      <c r="Y126" s="434" t="s">
        <v>742</v>
      </c>
      <c r="Z126" s="433">
        <v>2441470.9724364099</v>
      </c>
      <c r="AA126" s="433">
        <v>3576965.5740659018</v>
      </c>
      <c r="AB126" s="433">
        <v>3576965.5740659018</v>
      </c>
      <c r="AC126" s="32">
        <f t="shared" si="21"/>
        <v>0.68255366787363669</v>
      </c>
      <c r="AD126" s="32">
        <f t="shared" si="20"/>
        <v>1</v>
      </c>
    </row>
    <row r="127" spans="1:32">
      <c r="A127" s="7"/>
      <c r="B127" s="7"/>
      <c r="C127" s="7"/>
      <c r="D127" s="7"/>
      <c r="E127" s="7"/>
      <c r="F127" s="7"/>
      <c r="G127" s="7"/>
      <c r="H127" s="7"/>
      <c r="I127" s="7"/>
      <c r="J127" s="7"/>
      <c r="K127" s="7"/>
      <c r="L127" s="7"/>
      <c r="M127" s="7"/>
      <c r="N127" s="7"/>
      <c r="O127" s="7"/>
      <c r="P127" s="7"/>
      <c r="Q127" s="7"/>
      <c r="R127" s="7"/>
      <c r="S127" s="7"/>
      <c r="T127" s="7"/>
      <c r="V127" s="16"/>
      <c r="W127" s="7"/>
      <c r="X127" s="7"/>
      <c r="Y127" s="434" t="s">
        <v>743</v>
      </c>
      <c r="Z127" s="433">
        <v>6956853.0324681448</v>
      </c>
      <c r="AA127" s="433">
        <v>8579794.2721499298</v>
      </c>
      <c r="AB127" s="433">
        <v>8579794.2721499298</v>
      </c>
      <c r="AC127" s="32">
        <f t="shared" si="21"/>
        <v>0.81084147379269178</v>
      </c>
      <c r="AD127" s="32">
        <f t="shared" si="20"/>
        <v>1</v>
      </c>
    </row>
    <row r="128" spans="1:32">
      <c r="A128" s="7"/>
      <c r="B128" s="7"/>
      <c r="C128" s="7"/>
      <c r="D128" s="7"/>
      <c r="E128" s="7"/>
      <c r="F128" s="7"/>
      <c r="G128" s="7"/>
      <c r="H128" s="7"/>
      <c r="I128" s="7"/>
      <c r="J128" s="7"/>
      <c r="K128" s="7"/>
      <c r="L128" s="7"/>
      <c r="M128" s="7"/>
      <c r="N128" s="7"/>
      <c r="O128" s="7"/>
      <c r="P128" s="7"/>
      <c r="Q128" s="7"/>
      <c r="R128" s="7"/>
      <c r="S128" s="7"/>
      <c r="T128" s="7"/>
      <c r="V128" s="16"/>
      <c r="W128" s="7"/>
      <c r="X128" s="7"/>
      <c r="Y128" s="434" t="s">
        <v>744</v>
      </c>
      <c r="Z128" s="433">
        <v>54204423.617145523</v>
      </c>
      <c r="AA128" s="433">
        <v>87157982.247272909</v>
      </c>
      <c r="AB128" s="433">
        <v>89420077.153784156</v>
      </c>
      <c r="AC128" s="32">
        <f t="shared" si="21"/>
        <v>0.60617732999631679</v>
      </c>
      <c r="AD128" s="32">
        <f t="shared" si="20"/>
        <v>0.97470260618741233</v>
      </c>
    </row>
    <row r="129" spans="1:33">
      <c r="A129" s="7"/>
      <c r="B129" s="7"/>
      <c r="C129" s="7"/>
      <c r="D129" s="7"/>
      <c r="E129" s="7"/>
      <c r="F129" s="7"/>
      <c r="G129" s="7"/>
      <c r="H129" s="7"/>
      <c r="I129" s="7"/>
      <c r="J129" s="7"/>
      <c r="K129" s="7"/>
      <c r="L129" s="7"/>
      <c r="M129" s="7"/>
      <c r="N129" s="7"/>
      <c r="O129" s="7"/>
      <c r="P129" s="7"/>
      <c r="Q129" s="7"/>
      <c r="R129" s="7"/>
      <c r="S129" s="7"/>
      <c r="T129" s="7"/>
      <c r="V129" s="16"/>
      <c r="W129" s="7"/>
      <c r="X129" s="7"/>
      <c r="Y129" s="434" t="s">
        <v>745</v>
      </c>
      <c r="Z129" s="433">
        <v>46500992.64605689</v>
      </c>
      <c r="AA129" s="433">
        <v>60784036.874942802</v>
      </c>
      <c r="AB129" s="433">
        <v>61178403.799226828</v>
      </c>
      <c r="AC129" s="32">
        <f t="shared" si="21"/>
        <v>0.76008836057021434</v>
      </c>
      <c r="AD129" s="32">
        <f t="shared" si="20"/>
        <v>0.99355382128670366</v>
      </c>
    </row>
    <row r="130" spans="1:33">
      <c r="A130" s="7"/>
      <c r="B130" s="7"/>
      <c r="C130" s="7"/>
      <c r="D130" s="7"/>
      <c r="E130" s="7"/>
      <c r="F130" s="7"/>
      <c r="G130" s="7"/>
      <c r="H130" s="7"/>
      <c r="I130" s="7"/>
      <c r="J130" s="7"/>
      <c r="K130" s="7"/>
      <c r="L130" s="7"/>
      <c r="M130" s="7"/>
      <c r="N130" s="7"/>
      <c r="O130" s="7"/>
      <c r="P130" s="7"/>
      <c r="Q130" s="7"/>
      <c r="R130" s="7"/>
      <c r="S130" s="7"/>
      <c r="T130" s="7"/>
      <c r="V130" s="16"/>
      <c r="W130" s="7"/>
      <c r="X130" s="7"/>
      <c r="Y130" s="434" t="s">
        <v>746</v>
      </c>
      <c r="Z130" s="433">
        <v>60706980.858335808</v>
      </c>
      <c r="AA130" s="433">
        <v>81311659.166763097</v>
      </c>
      <c r="AB130" s="433">
        <v>82597920.200773075</v>
      </c>
      <c r="AC130" s="32">
        <f t="shared" si="21"/>
        <v>0.73496984803943799</v>
      </c>
      <c r="AD130" s="32">
        <f t="shared" si="20"/>
        <v>0.98442744041395436</v>
      </c>
    </row>
    <row r="131" spans="1:33" ht="15">
      <c r="A131" s="7"/>
      <c r="B131" s="7"/>
      <c r="C131" s="7"/>
      <c r="D131" s="7"/>
      <c r="E131" s="7"/>
      <c r="F131" s="7"/>
      <c r="G131" s="7"/>
      <c r="H131" s="7"/>
      <c r="I131" s="7"/>
      <c r="J131" s="7"/>
      <c r="K131" s="7"/>
      <c r="L131" s="7"/>
      <c r="M131" s="7"/>
      <c r="N131" s="7"/>
      <c r="O131" s="7"/>
      <c r="P131" s="7"/>
      <c r="Q131" s="7"/>
      <c r="R131" s="7"/>
      <c r="S131" s="7"/>
      <c r="T131" s="7"/>
      <c r="V131" s="16"/>
      <c r="W131" s="7"/>
      <c r="X131" s="7"/>
      <c r="Y131" s="468" t="s">
        <v>264</v>
      </c>
      <c r="Z131" s="469">
        <v>99872298.408480659</v>
      </c>
      <c r="AA131" s="469">
        <v>232930353.25844473</v>
      </c>
      <c r="AB131" s="469">
        <v>442224054.00000006</v>
      </c>
      <c r="AC131" s="32">
        <f t="shared" si="21"/>
        <v>0.2258409453423369</v>
      </c>
      <c r="AD131" s="32">
        <f t="shared" si="20"/>
        <v>0.52672474767382216</v>
      </c>
    </row>
    <row r="132" spans="1:33">
      <c r="A132" s="7"/>
      <c r="B132" s="7"/>
      <c r="C132" s="7"/>
      <c r="D132" s="7"/>
      <c r="E132" s="7"/>
      <c r="F132" s="7"/>
      <c r="G132" s="7"/>
      <c r="H132" s="7"/>
      <c r="I132" s="7"/>
      <c r="J132" s="7"/>
      <c r="K132" s="7"/>
      <c r="L132" s="7"/>
      <c r="M132" s="7"/>
      <c r="N132" s="7"/>
      <c r="O132" s="7"/>
      <c r="P132" s="7"/>
      <c r="Q132" s="7"/>
      <c r="R132" s="7"/>
      <c r="S132" s="7"/>
      <c r="T132" s="7"/>
      <c r="V132" s="16"/>
      <c r="W132" s="7"/>
      <c r="X132" s="7"/>
      <c r="Y132" s="434" t="s">
        <v>742</v>
      </c>
      <c r="Z132" s="433">
        <v>3270578.6155254422</v>
      </c>
      <c r="AA132" s="433">
        <v>10598190.403861849</v>
      </c>
      <c r="AB132" s="433">
        <v>15579781.760726731</v>
      </c>
      <c r="AC132" s="32">
        <f t="shared" si="21"/>
        <v>0.20992454616853912</v>
      </c>
      <c r="AD132" s="32">
        <f t="shared" si="20"/>
        <v>0.68025281525942816</v>
      </c>
    </row>
    <row r="133" spans="1:33">
      <c r="A133" s="7"/>
      <c r="B133" s="7"/>
      <c r="C133" s="7"/>
      <c r="D133" s="7"/>
      <c r="E133" s="7"/>
      <c r="F133" s="7"/>
      <c r="G133" s="7"/>
      <c r="H133" s="7"/>
      <c r="I133" s="7"/>
      <c r="J133" s="7"/>
      <c r="K133" s="7"/>
      <c r="L133" s="7"/>
      <c r="M133" s="7"/>
      <c r="N133" s="7"/>
      <c r="O133" s="7"/>
      <c r="P133" s="7"/>
      <c r="Q133" s="7"/>
      <c r="R133" s="7"/>
      <c r="S133" s="7"/>
      <c r="T133" s="7"/>
      <c r="V133" s="16"/>
      <c r="W133" s="7"/>
      <c r="X133" s="7"/>
      <c r="Y133" s="434" t="s">
        <v>743</v>
      </c>
      <c r="Z133" s="433">
        <v>31349551.836150467</v>
      </c>
      <c r="AA133" s="433">
        <v>61418420.626886286</v>
      </c>
      <c r="AB133" s="433">
        <v>103627930.86603715</v>
      </c>
      <c r="AC133" s="32">
        <f t="shared" si="21"/>
        <v>0.30252029133609692</v>
      </c>
      <c r="AD133" s="32">
        <f t="shared" si="20"/>
        <v>0.592682109095507</v>
      </c>
    </row>
    <row r="134" spans="1:33">
      <c r="A134" s="7"/>
      <c r="B134" s="7"/>
      <c r="C134" s="7"/>
      <c r="D134" s="7"/>
      <c r="E134" s="7"/>
      <c r="F134" s="7"/>
      <c r="G134" s="7"/>
      <c r="H134" s="7"/>
      <c r="I134" s="7"/>
      <c r="J134" s="7"/>
      <c r="K134" s="7"/>
      <c r="L134" s="7"/>
      <c r="M134" s="7"/>
      <c r="N134" s="7"/>
      <c r="O134" s="7"/>
      <c r="P134" s="7"/>
      <c r="Q134" s="7"/>
      <c r="R134" s="7"/>
      <c r="S134" s="7"/>
      <c r="T134" s="7"/>
      <c r="V134" s="16"/>
      <c r="W134" s="7"/>
      <c r="X134" s="7"/>
      <c r="Y134" s="434" t="s">
        <v>744</v>
      </c>
      <c r="Z134" s="433">
        <v>47026207.022004806</v>
      </c>
      <c r="AA134" s="433">
        <v>108586443.30876587</v>
      </c>
      <c r="AB134" s="433">
        <v>156871588.36440587</v>
      </c>
      <c r="AC134" s="32">
        <f t="shared" si="21"/>
        <v>0.299775169693348</v>
      </c>
      <c r="AD134" s="32">
        <f t="shared" si="20"/>
        <v>0.69219955277385403</v>
      </c>
    </row>
    <row r="135" spans="1:33">
      <c r="A135" s="7"/>
      <c r="B135" s="7"/>
      <c r="C135" s="7"/>
      <c r="D135" s="7"/>
      <c r="E135" s="7"/>
      <c r="F135" s="7"/>
      <c r="G135" s="7"/>
      <c r="H135" s="7"/>
      <c r="I135" s="7"/>
      <c r="J135" s="7"/>
      <c r="K135" s="7"/>
      <c r="L135" s="7"/>
      <c r="M135" s="7"/>
      <c r="N135" s="7"/>
      <c r="O135" s="7"/>
      <c r="P135" s="7"/>
      <c r="Q135" s="7"/>
      <c r="R135" s="7"/>
      <c r="S135" s="7"/>
      <c r="T135" s="7"/>
      <c r="V135" s="16"/>
      <c r="W135" s="7"/>
      <c r="X135" s="7"/>
      <c r="Y135" s="434" t="s">
        <v>745</v>
      </c>
      <c r="Z135" s="433">
        <v>13613979.163652292</v>
      </c>
      <c r="AA135" s="433">
        <v>23502412.849257719</v>
      </c>
      <c r="AB135" s="433">
        <v>137319866.93915731</v>
      </c>
      <c r="AC135" s="32">
        <f t="shared" si="21"/>
        <v>9.9140637601143861E-2</v>
      </c>
      <c r="AD135" s="32">
        <f t="shared" si="20"/>
        <v>0.17115085655938625</v>
      </c>
    </row>
    <row r="136" spans="1:33">
      <c r="A136" s="7"/>
      <c r="B136" s="7"/>
      <c r="C136" s="7"/>
      <c r="D136" s="7"/>
      <c r="E136" s="7"/>
      <c r="F136" s="7"/>
      <c r="G136" s="7"/>
      <c r="H136" s="7"/>
      <c r="I136" s="7"/>
      <c r="J136" s="7"/>
      <c r="K136" s="7"/>
      <c r="L136" s="7"/>
      <c r="M136" s="7"/>
      <c r="N136" s="7"/>
      <c r="O136" s="7"/>
      <c r="P136" s="7"/>
      <c r="Q136" s="7"/>
      <c r="R136" s="7"/>
      <c r="S136" s="7"/>
      <c r="T136" s="7"/>
      <c r="V136" s="16"/>
      <c r="W136" s="7"/>
      <c r="X136" s="7"/>
      <c r="Y136" s="434" t="s">
        <v>746</v>
      </c>
      <c r="Z136" s="433">
        <v>4611981.7711476702</v>
      </c>
      <c r="AA136" s="433">
        <v>28824886.069673002</v>
      </c>
      <c r="AB136" s="433">
        <v>28824886.069673002</v>
      </c>
      <c r="AC136" s="32">
        <f t="shared" si="21"/>
        <v>0.15999999999999964</v>
      </c>
      <c r="AD136" s="32">
        <f t="shared" si="20"/>
        <v>1</v>
      </c>
    </row>
    <row r="137" spans="1:33" ht="15">
      <c r="A137" s="7"/>
      <c r="B137" s="7"/>
      <c r="C137" s="7"/>
      <c r="D137" s="7"/>
      <c r="E137" s="7"/>
      <c r="F137" s="7"/>
      <c r="G137" s="7"/>
      <c r="H137" s="7"/>
      <c r="I137" s="7"/>
      <c r="J137" s="7"/>
      <c r="K137" s="7"/>
      <c r="L137" s="7"/>
      <c r="M137" s="7"/>
      <c r="N137" s="7"/>
      <c r="O137" s="7"/>
      <c r="P137" s="7"/>
      <c r="Q137" s="7"/>
      <c r="R137" s="7"/>
      <c r="S137" s="7"/>
      <c r="T137" s="7"/>
      <c r="V137" s="16"/>
      <c r="W137" s="7"/>
      <c r="X137" s="7"/>
      <c r="Y137" s="478" t="s">
        <v>747</v>
      </c>
      <c r="Z137" s="479">
        <v>2189138808.5456882</v>
      </c>
      <c r="AA137" s="479">
        <v>2692839618.4582195</v>
      </c>
      <c r="AB137" s="479">
        <v>3121530487.0000005</v>
      </c>
      <c r="AC137" s="32">
        <f t="shared" si="21"/>
        <v>0.70130303633510138</v>
      </c>
      <c r="AD137" s="32">
        <f t="shared" si="20"/>
        <v>0.8626664482928752</v>
      </c>
    </row>
    <row r="138" spans="1:33">
      <c r="A138" s="7"/>
      <c r="B138" s="7"/>
      <c r="C138" s="7"/>
      <c r="D138" s="7"/>
      <c r="E138" s="7"/>
      <c r="F138" s="7"/>
      <c r="G138" s="7"/>
      <c r="H138" s="7"/>
      <c r="I138" s="7"/>
      <c r="J138" s="7"/>
      <c r="K138" s="7"/>
      <c r="L138" s="7"/>
      <c r="M138" s="7"/>
      <c r="N138" s="7"/>
      <c r="O138" s="7"/>
      <c r="P138" s="7"/>
      <c r="Q138" s="7"/>
      <c r="R138" s="7"/>
      <c r="S138" s="7"/>
      <c r="T138" s="7"/>
      <c r="V138" s="16"/>
      <c r="W138" s="7"/>
      <c r="X138" s="7"/>
      <c r="Y138" s="7"/>
      <c r="AF138" s="218" t="s">
        <v>1149</v>
      </c>
    </row>
    <row r="139" spans="1:33">
      <c r="A139" s="7"/>
      <c r="B139" s="7"/>
      <c r="C139" s="7"/>
      <c r="D139" s="7"/>
      <c r="E139" s="7"/>
      <c r="F139" s="7"/>
      <c r="G139" s="7"/>
      <c r="H139" s="7"/>
      <c r="I139" s="7"/>
      <c r="J139" s="7"/>
      <c r="K139" s="7"/>
      <c r="L139" s="7"/>
      <c r="M139" s="7"/>
      <c r="N139" s="7"/>
      <c r="O139" s="7"/>
      <c r="P139" s="7"/>
      <c r="Q139" s="7"/>
      <c r="R139" s="7"/>
      <c r="S139" s="7"/>
      <c r="T139" s="7"/>
      <c r="V139" s="16"/>
      <c r="W139" s="7"/>
      <c r="X139" s="7"/>
      <c r="Y139" s="7"/>
      <c r="Z139" s="218" t="s">
        <v>918</v>
      </c>
      <c r="AA139" s="218" t="s">
        <v>919</v>
      </c>
      <c r="AB139" s="218" t="s">
        <v>921</v>
      </c>
      <c r="AC139" s="218" t="s">
        <v>922</v>
      </c>
      <c r="AE139" s="500"/>
      <c r="AF139" s="499" t="s">
        <v>1148</v>
      </c>
    </row>
    <row r="140" spans="1:33">
      <c r="A140" s="7"/>
      <c r="B140" s="7"/>
      <c r="C140" s="7"/>
      <c r="D140" s="7"/>
      <c r="E140" s="7"/>
      <c r="F140" s="7"/>
      <c r="G140" s="7"/>
      <c r="H140" s="7"/>
      <c r="I140" s="7"/>
      <c r="J140" s="7"/>
      <c r="K140" s="7"/>
      <c r="L140" s="7"/>
      <c r="M140" s="7"/>
      <c r="N140" s="7"/>
      <c r="O140" s="7"/>
      <c r="P140" s="7"/>
      <c r="Q140" s="7"/>
      <c r="R140" s="7"/>
      <c r="S140" s="7"/>
      <c r="T140" s="7"/>
      <c r="X140" s="7"/>
      <c r="Y140" s="496" t="s">
        <v>274</v>
      </c>
      <c r="Z140" s="32">
        <f>HLOOKUP($Y140,$C$64:$T$69,3,FALSE)</f>
        <v>9.6336650827114415E-2</v>
      </c>
      <c r="AA140" s="433">
        <f t="shared" ref="AA140:AA158" si="22">Z140*$Z$175</f>
        <v>322657806.00000006</v>
      </c>
      <c r="AB140" s="32">
        <f>HLOOKUP($Y140,$C$64:$T$70,7,FALSE)</f>
        <v>0.76889412716362515</v>
      </c>
      <c r="AC140" s="433">
        <f>AA140*AB140</f>
        <v>248089692.11690035</v>
      </c>
      <c r="AE140" t="s">
        <v>311</v>
      </c>
      <c r="AF140" s="32">
        <v>6.6382185345618808E-2</v>
      </c>
      <c r="AG140" s="277" t="s">
        <v>1155</v>
      </c>
    </row>
    <row r="141" spans="1:33">
      <c r="A141" s="7"/>
      <c r="B141" s="7"/>
      <c r="C141" s="7"/>
      <c r="D141" s="7"/>
      <c r="E141" s="7"/>
      <c r="F141" s="7"/>
      <c r="G141" s="7"/>
      <c r="H141" s="7"/>
      <c r="I141" s="7"/>
      <c r="J141" s="7"/>
      <c r="K141" s="7"/>
      <c r="L141" s="7"/>
      <c r="M141" s="7"/>
      <c r="N141" s="7"/>
      <c r="O141" s="7"/>
      <c r="P141" s="7"/>
      <c r="Q141" s="7"/>
      <c r="R141" s="7"/>
      <c r="S141" s="7"/>
      <c r="T141" s="7"/>
      <c r="X141" s="7"/>
      <c r="Y141" s="496" t="s">
        <v>275</v>
      </c>
      <c r="Z141" s="32">
        <f t="shared" ref="Z141:Z157" si="23">HLOOKUP(Y141,$C$64:$T$69,3,FALSE)</f>
        <v>9.4421070712341362E-2</v>
      </c>
      <c r="AA141" s="433">
        <f t="shared" si="22"/>
        <v>316242004.00000012</v>
      </c>
      <c r="AB141" s="32">
        <f t="shared" ref="AB141:AB157" si="24">HLOOKUP($Y141,$C$64:$T$70,7,FALSE)</f>
        <v>0.9156533727398849</v>
      </c>
      <c r="AC141" s="433">
        <f t="shared" ref="AC141:AC158" si="25">AA141*AB141</f>
        <v>289568057.56462026</v>
      </c>
      <c r="AE141" t="s">
        <v>446</v>
      </c>
      <c r="AF141" s="32">
        <v>5.4746597404996745E-2</v>
      </c>
      <c r="AG141" s="32"/>
    </row>
    <row r="142" spans="1:33">
      <c r="A142" s="7"/>
      <c r="B142" s="7"/>
      <c r="C142" s="7"/>
      <c r="D142" s="7"/>
      <c r="E142" s="7"/>
      <c r="F142" s="7"/>
      <c r="G142" s="7"/>
      <c r="H142" s="7"/>
      <c r="I142" s="7"/>
      <c r="J142" s="7"/>
      <c r="K142" s="7"/>
      <c r="L142" s="7"/>
      <c r="M142" s="7"/>
      <c r="N142" s="7"/>
      <c r="O142" s="7"/>
      <c r="P142" s="7"/>
      <c r="Q142" s="7"/>
      <c r="R142" s="7"/>
      <c r="S142" s="7"/>
      <c r="T142" s="7"/>
      <c r="X142" s="7"/>
      <c r="Y142" s="496" t="s">
        <v>276</v>
      </c>
      <c r="Z142" s="32">
        <f t="shared" si="23"/>
        <v>2.8501198056107426E-2</v>
      </c>
      <c r="AA142" s="433">
        <f t="shared" si="22"/>
        <v>95458311.600000039</v>
      </c>
      <c r="AB142" s="32">
        <f t="shared" si="24"/>
        <v>0.85579006639653332</v>
      </c>
      <c r="AC142" s="433">
        <f t="shared" si="25"/>
        <v>81692274.822264999</v>
      </c>
      <c r="AE142" t="s">
        <v>265</v>
      </c>
      <c r="AF142" s="32">
        <v>2.6514488399329787E-2</v>
      </c>
      <c r="AG142" s="32"/>
    </row>
    <row r="143" spans="1:33">
      <c r="A143" s="7"/>
      <c r="B143" s="7"/>
      <c r="C143" s="7"/>
      <c r="D143" s="7"/>
      <c r="E143" s="7"/>
      <c r="F143" s="7"/>
      <c r="G143" s="7"/>
      <c r="H143" s="7"/>
      <c r="I143" s="7"/>
      <c r="J143" s="7"/>
      <c r="K143" s="7"/>
      <c r="L143" s="7"/>
      <c r="M143" s="7"/>
      <c r="N143" s="7"/>
      <c r="O143" s="7"/>
      <c r="P143" s="7"/>
      <c r="Q143" s="7"/>
      <c r="R143" s="7"/>
      <c r="S143" s="7"/>
      <c r="T143" s="7"/>
      <c r="X143" s="7"/>
      <c r="Y143" s="497" t="s">
        <v>914</v>
      </c>
      <c r="Z143" s="32">
        <f t="shared" si="23"/>
        <v>3.999473857861454E-2</v>
      </c>
      <c r="AA143" s="433">
        <f t="shared" si="22"/>
        <v>133953324.00000004</v>
      </c>
      <c r="AB143" s="32">
        <f t="shared" si="24"/>
        <v>0.95160006380782447</v>
      </c>
      <c r="AC143" s="433">
        <f t="shared" si="25"/>
        <v>127469991.66567023</v>
      </c>
      <c r="AE143" t="s">
        <v>267</v>
      </c>
      <c r="AF143" s="32">
        <v>4.3510047797893039E-2</v>
      </c>
      <c r="AG143" s="32"/>
    </row>
    <row r="144" spans="1:33">
      <c r="A144" s="7"/>
      <c r="B144" s="7"/>
      <c r="C144" s="7"/>
      <c r="D144" s="7"/>
      <c r="E144" s="7"/>
      <c r="F144" s="7"/>
      <c r="G144" s="7"/>
      <c r="H144" s="7"/>
      <c r="I144" s="7"/>
      <c r="J144" s="7"/>
      <c r="K144" s="7"/>
      <c r="L144" s="7"/>
      <c r="M144" s="7"/>
      <c r="N144" s="7"/>
      <c r="O144" s="7"/>
      <c r="P144" s="7"/>
      <c r="Q144" s="7"/>
      <c r="R144" s="7"/>
      <c r="S144" s="7"/>
      <c r="T144" s="7"/>
      <c r="X144" s="7"/>
      <c r="Y144" s="497" t="s">
        <v>722</v>
      </c>
      <c r="Z144" s="32">
        <f t="shared" si="23"/>
        <v>9.4201798094731004E-3</v>
      </c>
      <c r="AA144" s="433">
        <f t="shared" si="22"/>
        <v>31550760.000000011</v>
      </c>
      <c r="AB144" s="32">
        <f t="shared" si="24"/>
        <v>0.98526989662125641</v>
      </c>
      <c r="AC144" s="433">
        <f t="shared" si="25"/>
        <v>31086014.043522082</v>
      </c>
      <c r="AE144" t="s">
        <v>276</v>
      </c>
      <c r="AF144" s="32">
        <v>0.18093220414775901</v>
      </c>
      <c r="AG144" s="32"/>
    </row>
    <row r="145" spans="1:33">
      <c r="A145" s="7"/>
      <c r="B145" s="7"/>
      <c r="C145" s="7"/>
      <c r="D145" s="7"/>
      <c r="E145" s="7"/>
      <c r="F145" s="7"/>
      <c r="G145" s="7"/>
      <c r="H145" s="7"/>
      <c r="I145" s="7"/>
      <c r="J145" s="7"/>
      <c r="K145" s="7"/>
      <c r="L145" s="7"/>
      <c r="M145" s="7"/>
      <c r="N145" s="7"/>
      <c r="O145" s="7"/>
      <c r="P145" s="7"/>
      <c r="Q145" s="7"/>
      <c r="R145" s="7"/>
      <c r="S145" s="7"/>
      <c r="T145" s="7"/>
      <c r="X145" s="7"/>
      <c r="Y145" s="497" t="s">
        <v>723</v>
      </c>
      <c r="Z145" s="32">
        <f t="shared" si="23"/>
        <v>0.10336555514209726</v>
      </c>
      <c r="AA145" s="433">
        <f t="shared" si="22"/>
        <v>346199530.00000006</v>
      </c>
      <c r="AB145" s="32">
        <f t="shared" si="24"/>
        <v>0.65234151837252696</v>
      </c>
      <c r="AC145" s="433">
        <f t="shared" si="25"/>
        <v>225840327.06005523</v>
      </c>
      <c r="AE145" t="s">
        <v>275</v>
      </c>
      <c r="AF145" s="32">
        <v>9.3666492863930473E-2</v>
      </c>
      <c r="AG145" s="32"/>
    </row>
    <row r="146" spans="1:33">
      <c r="A146" s="7"/>
      <c r="B146" s="7"/>
      <c r="C146" s="7"/>
      <c r="D146" s="7"/>
      <c r="E146" s="7"/>
      <c r="F146" s="7"/>
      <c r="G146" s="7"/>
      <c r="H146" s="7"/>
      <c r="I146" s="7"/>
      <c r="J146" s="7"/>
      <c r="K146" s="7"/>
      <c r="L146" s="7"/>
      <c r="M146" s="7"/>
      <c r="N146" s="7"/>
      <c r="O146" s="7"/>
      <c r="P146" s="7"/>
      <c r="Q146" s="7"/>
      <c r="R146" s="7"/>
      <c r="S146" s="7"/>
      <c r="T146" s="7"/>
      <c r="X146" s="7"/>
      <c r="Y146" s="497" t="s">
        <v>724</v>
      </c>
      <c r="Z146" s="32">
        <f t="shared" si="23"/>
        <v>1.7683198453051097E-2</v>
      </c>
      <c r="AA146" s="433">
        <f t="shared" si="22"/>
        <v>59225870.600000016</v>
      </c>
      <c r="AB146" s="32">
        <f t="shared" si="24"/>
        <v>0.66014461756611731</v>
      </c>
      <c r="AC146" s="433">
        <f t="shared" si="25"/>
        <v>39097639.697257362</v>
      </c>
      <c r="AE146" t="s">
        <v>272</v>
      </c>
      <c r="AF146" s="32">
        <v>3.7441828223745317E-2</v>
      </c>
      <c r="AG146" s="32"/>
    </row>
    <row r="147" spans="1:33">
      <c r="A147" s="7"/>
      <c r="B147" s="7"/>
      <c r="C147" s="7"/>
      <c r="D147" s="7"/>
      <c r="E147" s="7"/>
      <c r="F147" s="7"/>
      <c r="G147" s="7"/>
      <c r="H147" s="7"/>
      <c r="I147" s="7"/>
      <c r="J147" s="7"/>
      <c r="K147" s="7"/>
      <c r="L147" s="7"/>
      <c r="M147" s="7"/>
      <c r="N147" s="7"/>
      <c r="O147" s="7"/>
      <c r="P147" s="7"/>
      <c r="Q147" s="7"/>
      <c r="R147" s="7"/>
      <c r="S147" s="7"/>
      <c r="T147" s="7"/>
      <c r="X147" s="7"/>
      <c r="Y147" s="496" t="s">
        <v>725</v>
      </c>
      <c r="Z147" s="32">
        <f t="shared" si="23"/>
        <v>7.3255633922263544E-2</v>
      </c>
      <c r="AA147" s="433">
        <f t="shared" si="22"/>
        <v>245353164.30000001</v>
      </c>
      <c r="AB147" s="32">
        <f t="shared" si="24"/>
        <v>0.69618308739231149</v>
      </c>
      <c r="AC147" s="433">
        <f t="shared" si="25"/>
        <v>170810723.42384708</v>
      </c>
      <c r="AE147" t="s">
        <v>726</v>
      </c>
      <c r="AF147" s="32">
        <v>6.9159304953855333E-2</v>
      </c>
      <c r="AG147" s="32"/>
    </row>
    <row r="148" spans="1:33">
      <c r="A148" s="7"/>
      <c r="B148" s="7"/>
      <c r="C148" s="7"/>
      <c r="D148" s="7"/>
      <c r="E148" s="7"/>
      <c r="F148" s="7"/>
      <c r="G148" s="7"/>
      <c r="H148" s="7"/>
      <c r="I148" s="7"/>
      <c r="J148" s="7"/>
      <c r="K148" s="7"/>
      <c r="L148" s="7"/>
      <c r="M148" s="7"/>
      <c r="N148" s="7"/>
      <c r="O148" s="7"/>
      <c r="P148" s="7"/>
      <c r="Q148" s="7"/>
      <c r="R148" s="7"/>
      <c r="S148" s="7"/>
      <c r="T148" s="7"/>
      <c r="X148" s="7"/>
      <c r="Y148" s="496" t="s">
        <v>273</v>
      </c>
      <c r="Z148" s="32">
        <f t="shared" si="23"/>
        <v>3.701970546823774E-2</v>
      </c>
      <c r="AA148" s="433">
        <f t="shared" si="22"/>
        <v>123989124.00000003</v>
      </c>
      <c r="AB148" s="32">
        <f t="shared" si="24"/>
        <v>0.75</v>
      </c>
      <c r="AC148" s="433">
        <f t="shared" si="25"/>
        <v>92991843.00000003</v>
      </c>
      <c r="AE148" t="s">
        <v>266</v>
      </c>
      <c r="AF148" s="32">
        <v>2.9347519170761286E-2</v>
      </c>
      <c r="AG148" s="32"/>
    </row>
    <row r="149" spans="1:33">
      <c r="A149" s="7"/>
      <c r="B149" s="7"/>
      <c r="C149" s="7"/>
      <c r="D149" s="7"/>
      <c r="E149" s="7"/>
      <c r="F149" s="7"/>
      <c r="G149" s="7"/>
      <c r="H149" s="7"/>
      <c r="I149" s="7"/>
      <c r="J149" s="7"/>
      <c r="K149" s="7"/>
      <c r="L149" s="7"/>
      <c r="M149" s="7"/>
      <c r="N149" s="7"/>
      <c r="O149" s="7"/>
      <c r="P149" s="7"/>
      <c r="Q149" s="7"/>
      <c r="R149" s="7"/>
      <c r="S149" s="7"/>
      <c r="T149" s="7"/>
      <c r="X149" s="7"/>
      <c r="Y149" s="496" t="s">
        <v>264</v>
      </c>
      <c r="Z149" s="32">
        <f t="shared" si="23"/>
        <v>0.13203580856943528</v>
      </c>
      <c r="AA149" s="433">
        <f t="shared" si="22"/>
        <v>442224054.30000013</v>
      </c>
      <c r="AB149" s="32">
        <f t="shared" si="24"/>
        <v>0.23</v>
      </c>
      <c r="AC149" s="433">
        <f t="shared" si="25"/>
        <v>101711532.48900004</v>
      </c>
      <c r="AE149" t="s">
        <v>724</v>
      </c>
      <c r="AF149" s="32">
        <v>0.23278079179476083</v>
      </c>
      <c r="AG149" s="32"/>
    </row>
    <row r="150" spans="1:33">
      <c r="A150" s="7"/>
      <c r="B150" s="7"/>
      <c r="C150" s="7"/>
      <c r="D150" s="7"/>
      <c r="E150" s="7"/>
      <c r="F150" s="7"/>
      <c r="G150" s="7"/>
      <c r="H150" s="7"/>
      <c r="I150" s="7"/>
      <c r="J150" s="7"/>
      <c r="K150" s="7"/>
      <c r="L150" s="7"/>
      <c r="M150" s="7"/>
      <c r="N150" s="7"/>
      <c r="O150" s="7"/>
      <c r="P150" s="7"/>
      <c r="Q150" s="7"/>
      <c r="R150" s="7"/>
      <c r="S150" s="7"/>
      <c r="T150" s="7"/>
      <c r="X150" s="7"/>
      <c r="Y150" s="496" t="s">
        <v>278</v>
      </c>
      <c r="Z150" s="32">
        <f t="shared" si="23"/>
        <v>1.9535504789016944E-2</v>
      </c>
      <c r="AA150" s="433">
        <f t="shared" si="22"/>
        <v>65429751.400000013</v>
      </c>
      <c r="AB150" s="32">
        <f t="shared" si="24"/>
        <v>0.89440943169321674</v>
      </c>
      <c r="AC150" s="433">
        <f t="shared" si="25"/>
        <v>58520986.765502468</v>
      </c>
      <c r="AE150" t="s">
        <v>723</v>
      </c>
      <c r="AF150" s="32">
        <v>0.1845720316176401</v>
      </c>
      <c r="AG150" s="32"/>
    </row>
    <row r="151" spans="1:33">
      <c r="A151" s="7"/>
      <c r="B151" s="7"/>
      <c r="C151" s="7"/>
      <c r="D151" s="7"/>
      <c r="E151" s="7"/>
      <c r="F151" s="7"/>
      <c r="G151" s="7"/>
      <c r="H151" s="7"/>
      <c r="I151" s="7"/>
      <c r="J151" s="7"/>
      <c r="K151" s="7"/>
      <c r="L151" s="7"/>
      <c r="M151" s="7"/>
      <c r="N151" s="7"/>
      <c r="O151" s="7"/>
      <c r="P151" s="7"/>
      <c r="Q151" s="7"/>
      <c r="R151" s="7"/>
      <c r="S151" s="7"/>
      <c r="T151" s="7"/>
      <c r="X151" s="7"/>
      <c r="Y151" s="496" t="s">
        <v>446</v>
      </c>
      <c r="Z151" s="32">
        <f t="shared" si="23"/>
        <v>3.4906338887047794E-3</v>
      </c>
      <c r="AA151" s="433">
        <f t="shared" si="22"/>
        <v>11691088.100000001</v>
      </c>
      <c r="AB151" s="32">
        <f t="shared" si="24"/>
        <v>0.91392039395838554</v>
      </c>
      <c r="AC151" s="433">
        <f t="shared" si="25"/>
        <v>10684723.842154194</v>
      </c>
      <c r="AE151" t="s">
        <v>725</v>
      </c>
      <c r="AF151" s="32">
        <v>3.7519732135274744E-4</v>
      </c>
      <c r="AG151" s="32"/>
    </row>
    <row r="152" spans="1:33">
      <c r="A152" s="7"/>
      <c r="B152" s="7"/>
      <c r="C152" s="7"/>
      <c r="D152" s="7"/>
      <c r="E152" s="7"/>
      <c r="F152" s="7"/>
      <c r="G152" s="7"/>
      <c r="H152" s="7"/>
      <c r="I152" s="7"/>
      <c r="J152" s="7"/>
      <c r="K152" s="7"/>
      <c r="L152" s="7"/>
      <c r="M152" s="7"/>
      <c r="N152" s="7"/>
      <c r="O152" s="7"/>
      <c r="P152" s="7"/>
      <c r="Q152" s="7"/>
      <c r="R152" s="7"/>
      <c r="S152" s="7"/>
      <c r="T152" s="7"/>
      <c r="X152" s="7"/>
      <c r="Y152" s="496" t="s">
        <v>266</v>
      </c>
      <c r="Z152" s="32">
        <f t="shared" si="23"/>
        <v>1.5835296654172451E-2</v>
      </c>
      <c r="AA152" s="433">
        <f t="shared" si="22"/>
        <v>53036741.800000012</v>
      </c>
      <c r="AB152" s="32">
        <f t="shared" si="24"/>
        <v>0.9581056413122655</v>
      </c>
      <c r="AC152" s="433">
        <f t="shared" si="25"/>
        <v>50814801.515402049</v>
      </c>
      <c r="AE152" t="s">
        <v>264</v>
      </c>
      <c r="AF152" s="32">
        <v>4.0847109948506629E-3</v>
      </c>
      <c r="AG152" s="32"/>
    </row>
    <row r="153" spans="1:33">
      <c r="A153" s="7"/>
      <c r="B153" s="7"/>
      <c r="C153" s="7"/>
      <c r="D153" s="7"/>
      <c r="E153" s="7"/>
      <c r="F153" s="7"/>
      <c r="G153" s="7"/>
      <c r="H153" s="7"/>
      <c r="I153" s="7"/>
      <c r="J153" s="7"/>
      <c r="K153" s="7"/>
      <c r="L153" s="7"/>
      <c r="M153" s="7"/>
      <c r="N153" s="7"/>
      <c r="O153" s="7"/>
      <c r="P153" s="7"/>
      <c r="Q153" s="7"/>
      <c r="R153" s="7"/>
      <c r="S153" s="7"/>
      <c r="T153" s="7"/>
      <c r="X153" s="7"/>
      <c r="Y153" s="496" t="s">
        <v>267</v>
      </c>
      <c r="Z153" s="32">
        <f t="shared" si="23"/>
        <v>5.1068065124091046E-2</v>
      </c>
      <c r="AA153" s="433">
        <f t="shared" si="22"/>
        <v>171040924.80000004</v>
      </c>
      <c r="AB153" s="32">
        <f t="shared" si="24"/>
        <v>0.82644591140120194</v>
      </c>
      <c r="AC153" s="433">
        <f t="shared" si="25"/>
        <v>141356072.98324049</v>
      </c>
      <c r="AG153" s="32"/>
    </row>
    <row r="154" spans="1:33">
      <c r="A154" s="7"/>
      <c r="B154" s="7"/>
      <c r="C154" s="7"/>
      <c r="D154" s="7"/>
      <c r="E154" s="7"/>
      <c r="F154" s="7"/>
      <c r="G154" s="7"/>
      <c r="H154" s="7"/>
      <c r="I154" s="7"/>
      <c r="J154" s="7"/>
      <c r="K154" s="7"/>
      <c r="L154" s="7"/>
      <c r="M154" s="7"/>
      <c r="N154" s="7"/>
      <c r="O154" s="7"/>
      <c r="P154" s="7"/>
      <c r="Q154" s="7"/>
      <c r="R154" s="7"/>
      <c r="S154" s="7"/>
      <c r="T154" s="7"/>
      <c r="X154" s="7"/>
      <c r="Y154" s="496" t="s">
        <v>268</v>
      </c>
      <c r="Z154" s="32">
        <f t="shared" si="23"/>
        <v>3.0978070527759683E-2</v>
      </c>
      <c r="AA154" s="433">
        <f t="shared" si="22"/>
        <v>103754035.30000001</v>
      </c>
      <c r="AB154" s="32">
        <f t="shared" si="24"/>
        <v>0.95</v>
      </c>
      <c r="AC154" s="433">
        <f t="shared" si="25"/>
        <v>98566333.535000011</v>
      </c>
    </row>
    <row r="155" spans="1:33">
      <c r="A155" s="7"/>
      <c r="B155" s="7"/>
      <c r="C155" s="7"/>
      <c r="D155" s="7"/>
      <c r="E155" s="7"/>
      <c r="F155" s="7"/>
      <c r="G155" s="7"/>
      <c r="H155" s="7"/>
      <c r="I155" s="7"/>
      <c r="J155" s="7"/>
      <c r="K155" s="7"/>
      <c r="L155" s="7"/>
      <c r="M155" s="7"/>
      <c r="N155" s="7"/>
      <c r="O155" s="7"/>
      <c r="P155" s="7"/>
      <c r="Q155" s="7"/>
      <c r="R155" s="7"/>
      <c r="S155" s="7"/>
      <c r="T155" s="7"/>
      <c r="V155" s="16"/>
      <c r="W155" s="7"/>
      <c r="X155" s="7"/>
      <c r="Y155" s="497" t="s">
        <v>726</v>
      </c>
      <c r="Z155" s="32">
        <f t="shared" si="23"/>
        <v>3.7369486472404026E-2</v>
      </c>
      <c r="AA155" s="433">
        <f t="shared" si="22"/>
        <v>125160636.30000004</v>
      </c>
      <c r="AB155" s="32">
        <f t="shared" si="24"/>
        <v>0.82648440258098632</v>
      </c>
      <c r="AC155" s="433">
        <f t="shared" si="25"/>
        <v>103443313.71906164</v>
      </c>
    </row>
    <row r="156" spans="1:33">
      <c r="A156" s="7"/>
      <c r="B156" s="7"/>
      <c r="C156" s="7"/>
      <c r="D156" s="7"/>
      <c r="E156" s="7"/>
      <c r="F156" s="7"/>
      <c r="G156" s="7"/>
      <c r="H156" s="7"/>
      <c r="I156" s="7"/>
      <c r="J156" s="7"/>
      <c r="K156" s="7"/>
      <c r="L156" s="7"/>
      <c r="M156" s="7"/>
      <c r="N156" s="7"/>
      <c r="O156" s="7"/>
      <c r="P156" s="7"/>
      <c r="Q156" s="7"/>
      <c r="R156" s="7"/>
      <c r="S156" s="7"/>
      <c r="T156" s="7"/>
      <c r="V156" s="16"/>
      <c r="W156" s="7"/>
      <c r="X156" s="7"/>
      <c r="Y156" s="496" t="s">
        <v>311</v>
      </c>
      <c r="Z156" s="32">
        <f t="shared" si="23"/>
        <v>0.11013494038183547</v>
      </c>
      <c r="AA156" s="433">
        <f t="shared" si="22"/>
        <v>368872053.60000008</v>
      </c>
      <c r="AB156" s="32">
        <f t="shared" si="24"/>
        <v>0.77184416415983825</v>
      </c>
      <c r="AC156" s="433">
        <f t="shared" si="25"/>
        <v>284711741.89281511</v>
      </c>
    </row>
    <row r="157" spans="1:33">
      <c r="A157" s="7"/>
      <c r="B157" s="7"/>
      <c r="C157" s="7"/>
      <c r="D157" s="7"/>
      <c r="E157" s="7"/>
      <c r="F157" s="7"/>
      <c r="G157" s="7"/>
      <c r="H157" s="7"/>
      <c r="I157" s="7"/>
      <c r="J157" s="7"/>
      <c r="K157" s="7"/>
      <c r="L157" s="7"/>
      <c r="M157" s="7"/>
      <c r="N157" s="7"/>
      <c r="O157" s="7"/>
      <c r="P157" s="7"/>
      <c r="Q157" s="7"/>
      <c r="R157" s="7"/>
      <c r="S157" s="7"/>
      <c r="T157" s="7"/>
      <c r="V157" s="16"/>
      <c r="W157" s="7"/>
      <c r="X157" s="7"/>
      <c r="Y157" s="496" t="s">
        <v>272</v>
      </c>
      <c r="Z157" s="32">
        <f t="shared" si="23"/>
        <v>9.9554262623279946E-2</v>
      </c>
      <c r="AA157" s="433">
        <f t="shared" si="22"/>
        <v>333434468.40000004</v>
      </c>
      <c r="AB157" s="32">
        <f t="shared" si="24"/>
        <v>0.71310077098671132</v>
      </c>
      <c r="AC157" s="433">
        <f t="shared" si="25"/>
        <v>237772376.48958427</v>
      </c>
    </row>
    <row r="158" spans="1:33">
      <c r="A158" s="7"/>
      <c r="B158" s="7"/>
      <c r="C158" s="7"/>
      <c r="D158" s="7"/>
      <c r="E158" s="7"/>
      <c r="F158" s="7"/>
      <c r="G158" s="7"/>
      <c r="H158" s="7"/>
      <c r="I158" s="7"/>
      <c r="J158" s="7"/>
      <c r="K158" s="7"/>
      <c r="L158" s="7"/>
      <c r="M158" s="7"/>
      <c r="N158" s="7"/>
      <c r="O158" s="7"/>
      <c r="P158" s="7"/>
      <c r="Q158" s="7"/>
      <c r="R158" s="7"/>
      <c r="S158" s="7"/>
      <c r="T158" s="7"/>
      <c r="V158" s="16"/>
      <c r="W158" s="7"/>
      <c r="X158" s="7"/>
      <c r="Y158" s="7"/>
      <c r="Z158" s="34">
        <f>SUM(Z140:Z157)</f>
        <v>1.0000000000000002</v>
      </c>
      <c r="AA158" s="433">
        <f t="shared" si="22"/>
        <v>3349273648.5000014</v>
      </c>
      <c r="AB158" s="32">
        <f>SUMPRODUCT(AA140:AA157,AB140:AB157)/AA158</f>
        <v>0.71485005344313157</v>
      </c>
      <c r="AC158" s="433">
        <f t="shared" si="25"/>
        <v>2394228446.6258984</v>
      </c>
    </row>
    <row r="159" spans="1:33">
      <c r="A159" s="7"/>
      <c r="B159" s="7"/>
      <c r="C159" s="7"/>
      <c r="D159" s="7"/>
      <c r="E159" s="7"/>
      <c r="F159" s="7"/>
      <c r="G159" s="7"/>
      <c r="H159" s="7"/>
      <c r="I159" s="7"/>
      <c r="J159" s="7"/>
      <c r="K159" s="7"/>
      <c r="L159" s="7"/>
      <c r="M159" s="7"/>
      <c r="N159" s="7"/>
      <c r="O159" s="7"/>
      <c r="P159" s="7"/>
      <c r="Q159" s="7"/>
      <c r="R159" s="7"/>
      <c r="S159" s="7"/>
      <c r="T159" s="7"/>
      <c r="V159" s="16"/>
      <c r="W159" s="7"/>
      <c r="X159" s="7"/>
      <c r="Y159" s="7"/>
    </row>
    <row r="160" spans="1:33">
      <c r="A160" s="7"/>
      <c r="B160" s="7"/>
      <c r="C160" s="7"/>
      <c r="D160" s="7"/>
      <c r="E160" s="7"/>
      <c r="F160" s="7"/>
      <c r="G160" s="7"/>
      <c r="H160" s="7"/>
      <c r="I160" s="7"/>
      <c r="J160" s="7"/>
      <c r="K160" s="7"/>
      <c r="L160" s="7"/>
      <c r="M160" s="7"/>
      <c r="N160" s="7"/>
      <c r="O160" s="7"/>
      <c r="P160" s="7"/>
      <c r="Q160" s="7"/>
      <c r="R160" s="7"/>
      <c r="S160" s="7"/>
      <c r="T160" s="7"/>
      <c r="V160" s="16"/>
      <c r="W160" s="7"/>
      <c r="X160" s="7"/>
      <c r="Y160" s="499" t="s">
        <v>920</v>
      </c>
      <c r="Z160" s="500"/>
    </row>
    <row r="161" spans="1:26">
      <c r="A161" s="7"/>
      <c r="B161" s="7"/>
      <c r="C161" s="7"/>
      <c r="D161" s="7"/>
      <c r="E161" s="7"/>
      <c r="F161" s="7"/>
      <c r="G161" s="7"/>
      <c r="H161" s="7"/>
      <c r="I161" s="7"/>
      <c r="J161" s="7"/>
      <c r="K161" s="7"/>
      <c r="L161" s="7"/>
      <c r="M161" s="7"/>
      <c r="N161" s="7"/>
      <c r="O161" s="7"/>
      <c r="P161" s="7"/>
      <c r="Q161" s="7"/>
      <c r="R161" s="7"/>
      <c r="S161" s="7"/>
      <c r="T161" s="7"/>
      <c r="V161" s="16"/>
      <c r="W161" s="7"/>
      <c r="X161" s="7"/>
      <c r="Y161" s="16"/>
      <c r="Z161" s="7" t="s">
        <v>730</v>
      </c>
    </row>
    <row r="162" spans="1:26">
      <c r="A162" s="7"/>
      <c r="B162" s="7"/>
      <c r="C162" s="7"/>
      <c r="D162" s="7"/>
      <c r="E162" s="7"/>
      <c r="F162" s="7"/>
      <c r="G162" s="7"/>
      <c r="H162" s="7"/>
      <c r="I162" s="7"/>
      <c r="J162" s="7"/>
      <c r="K162" s="7"/>
      <c r="L162" s="7"/>
      <c r="M162" s="7"/>
      <c r="N162" s="7"/>
      <c r="O162" s="7"/>
      <c r="P162" s="7"/>
      <c r="Q162" s="7"/>
      <c r="R162" s="7"/>
      <c r="S162" s="7"/>
      <c r="T162" s="7"/>
      <c r="V162" s="16"/>
      <c r="W162" s="7"/>
      <c r="X162" s="7"/>
      <c r="Y162" s="501" t="s">
        <v>731</v>
      </c>
      <c r="Z162" s="501" t="s">
        <v>875</v>
      </c>
    </row>
    <row r="163" spans="1:26">
      <c r="A163" s="7"/>
      <c r="B163" s="7"/>
      <c r="C163" s="7"/>
      <c r="D163" s="7"/>
      <c r="E163" s="7"/>
      <c r="F163" s="7"/>
      <c r="G163" s="7"/>
      <c r="H163" s="7"/>
      <c r="I163" s="7"/>
      <c r="J163" s="7"/>
      <c r="K163" s="7"/>
      <c r="L163" s="7"/>
      <c r="M163" s="7"/>
      <c r="N163" s="7"/>
      <c r="O163" s="7"/>
      <c r="P163" s="7"/>
      <c r="Q163" s="7"/>
      <c r="R163" s="7"/>
      <c r="S163" s="7"/>
      <c r="T163" s="7"/>
      <c r="V163" s="16"/>
      <c r="W163" s="7"/>
      <c r="X163" s="7"/>
      <c r="Y163" s="16" t="s">
        <v>311</v>
      </c>
      <c r="Z163" s="498">
        <v>368872053.60000002</v>
      </c>
    </row>
    <row r="164" spans="1:26">
      <c r="A164" s="7"/>
      <c r="B164" s="7"/>
      <c r="C164" s="7"/>
      <c r="D164" s="7"/>
      <c r="E164" s="7"/>
      <c r="F164" s="7"/>
      <c r="G164" s="7"/>
      <c r="H164" s="7"/>
      <c r="I164" s="7"/>
      <c r="J164" s="7"/>
      <c r="K164" s="7"/>
      <c r="L164" s="7"/>
      <c r="M164" s="7"/>
      <c r="N164" s="7"/>
      <c r="O164" s="7"/>
      <c r="P164" s="7"/>
      <c r="Q164" s="7"/>
      <c r="R164" s="7"/>
      <c r="S164" s="7"/>
      <c r="T164" s="7"/>
      <c r="V164" s="16"/>
      <c r="W164" s="7"/>
      <c r="X164" s="7"/>
      <c r="Y164" s="16" t="s">
        <v>265</v>
      </c>
      <c r="Z164" s="498">
        <v>77120839.500000015</v>
      </c>
    </row>
    <row r="165" spans="1:26">
      <c r="A165" s="7"/>
      <c r="B165" s="7"/>
      <c r="C165" s="7"/>
      <c r="D165" s="7"/>
      <c r="E165" s="7"/>
      <c r="F165" s="7"/>
      <c r="G165" s="7"/>
      <c r="H165" s="7"/>
      <c r="I165" s="7"/>
      <c r="J165" s="7"/>
      <c r="K165" s="7"/>
      <c r="L165" s="7"/>
      <c r="M165" s="7"/>
      <c r="N165" s="7"/>
      <c r="O165" s="7"/>
      <c r="P165" s="7"/>
      <c r="Q165" s="7"/>
      <c r="R165" s="7"/>
      <c r="S165" s="7"/>
      <c r="T165" s="7"/>
      <c r="V165" s="16"/>
      <c r="W165" s="7"/>
      <c r="X165" s="7"/>
      <c r="Y165" s="16" t="s">
        <v>268</v>
      </c>
      <c r="Z165" s="498">
        <v>103754035.29999998</v>
      </c>
    </row>
    <row r="166" spans="1:26">
      <c r="A166" s="7"/>
      <c r="B166" s="7"/>
      <c r="C166" s="7"/>
      <c r="D166" s="7"/>
      <c r="E166" s="7"/>
      <c r="F166" s="7"/>
      <c r="G166" s="7"/>
      <c r="H166" s="7"/>
      <c r="I166" s="7"/>
      <c r="J166" s="7"/>
      <c r="K166" s="7"/>
      <c r="L166" s="7"/>
      <c r="M166" s="7"/>
      <c r="N166" s="7"/>
      <c r="O166" s="7"/>
      <c r="P166" s="7"/>
      <c r="Q166" s="7"/>
      <c r="R166" s="7"/>
      <c r="S166" s="7"/>
      <c r="T166" s="7"/>
      <c r="V166" s="16"/>
      <c r="W166" s="7"/>
      <c r="X166" s="7"/>
      <c r="Y166" s="16" t="s">
        <v>267</v>
      </c>
      <c r="Z166" s="498">
        <v>171040924.80000001</v>
      </c>
    </row>
    <row r="167" spans="1:26">
      <c r="A167" s="7"/>
      <c r="B167" s="7"/>
      <c r="C167" s="7"/>
      <c r="D167" s="7"/>
      <c r="E167" s="7"/>
      <c r="F167" s="7"/>
      <c r="G167" s="7"/>
      <c r="H167" s="7"/>
      <c r="I167" s="7"/>
      <c r="J167" s="7"/>
      <c r="K167" s="7"/>
      <c r="L167" s="7"/>
      <c r="M167" s="7"/>
      <c r="N167" s="7"/>
      <c r="O167" s="7"/>
      <c r="P167" s="7"/>
      <c r="Q167" s="7"/>
      <c r="R167" s="7"/>
      <c r="S167" s="7"/>
      <c r="T167" s="7"/>
      <c r="V167" s="16"/>
      <c r="W167" s="7"/>
      <c r="X167" s="7"/>
      <c r="Y167" s="16" t="s">
        <v>256</v>
      </c>
      <c r="Z167" s="498">
        <v>734358121.60000002</v>
      </c>
    </row>
    <row r="168" spans="1:26">
      <c r="A168" s="7"/>
      <c r="B168" s="7"/>
      <c r="C168" s="7"/>
      <c r="D168" s="7"/>
      <c r="E168" s="7"/>
      <c r="F168" s="7"/>
      <c r="G168" s="7"/>
      <c r="H168" s="7"/>
      <c r="I168" s="7"/>
      <c r="J168" s="7"/>
      <c r="K168" s="7"/>
      <c r="L168" s="7"/>
      <c r="M168" s="7"/>
      <c r="N168" s="7"/>
      <c r="O168" s="7"/>
      <c r="P168" s="7"/>
      <c r="Q168" s="7"/>
      <c r="R168" s="7"/>
      <c r="S168" s="7"/>
      <c r="T168" s="7"/>
      <c r="V168" s="16"/>
      <c r="W168" s="7"/>
      <c r="X168" s="7"/>
      <c r="Y168" s="16" t="s">
        <v>272</v>
      </c>
      <c r="Z168" s="498">
        <v>333434468.39999998</v>
      </c>
    </row>
    <row r="169" spans="1:26">
      <c r="A169" s="7"/>
      <c r="B169" s="7"/>
      <c r="C169" s="7"/>
      <c r="D169" s="7"/>
      <c r="E169" s="7"/>
      <c r="F169" s="7"/>
      <c r="G169" s="7"/>
      <c r="H169" s="7"/>
      <c r="I169" s="7"/>
      <c r="J169" s="7"/>
      <c r="K169" s="7"/>
      <c r="L169" s="7"/>
      <c r="M169" s="7"/>
      <c r="N169" s="7"/>
      <c r="O169" s="7"/>
      <c r="P169" s="7"/>
      <c r="Q169" s="7"/>
      <c r="R169" s="7"/>
      <c r="S169" s="7"/>
      <c r="T169" s="7"/>
      <c r="V169" s="16"/>
      <c r="W169" s="7"/>
      <c r="X169" s="7"/>
      <c r="Y169" s="16" t="s">
        <v>726</v>
      </c>
      <c r="Z169" s="498">
        <v>125160636.30000001</v>
      </c>
    </row>
    <row r="170" spans="1:26">
      <c r="A170" s="7"/>
      <c r="B170" s="7"/>
      <c r="C170" s="7"/>
      <c r="D170" s="7"/>
      <c r="E170" s="7"/>
      <c r="F170" s="7"/>
      <c r="G170" s="7"/>
      <c r="H170" s="7"/>
      <c r="I170" s="7"/>
      <c r="J170" s="7"/>
      <c r="K170" s="7"/>
      <c r="L170" s="7"/>
      <c r="M170" s="7"/>
      <c r="N170" s="7"/>
      <c r="O170" s="7"/>
      <c r="P170" s="7"/>
      <c r="Q170" s="7"/>
      <c r="R170" s="7"/>
      <c r="S170" s="7"/>
      <c r="T170" s="7"/>
      <c r="V170" s="16"/>
      <c r="W170" s="7"/>
      <c r="X170" s="7"/>
      <c r="Y170" s="16" t="s">
        <v>266</v>
      </c>
      <c r="Z170" s="498">
        <v>53036741.800000004</v>
      </c>
    </row>
    <row r="171" spans="1:26">
      <c r="Y171" s="16" t="s">
        <v>748</v>
      </c>
      <c r="Z171" s="498">
        <v>570929484.5999999</v>
      </c>
    </row>
    <row r="172" spans="1:26">
      <c r="Y172" s="16" t="s">
        <v>725</v>
      </c>
      <c r="Z172" s="498">
        <v>245353164.29999998</v>
      </c>
    </row>
    <row r="173" spans="1:26">
      <c r="Y173" s="16" t="s">
        <v>273</v>
      </c>
      <c r="Z173" s="498">
        <v>123989124</v>
      </c>
    </row>
    <row r="174" spans="1:26">
      <c r="Y174" s="501" t="s">
        <v>264</v>
      </c>
      <c r="Z174" s="502">
        <v>442224054.30000001</v>
      </c>
    </row>
    <row r="175" spans="1:26">
      <c r="Y175" s="16" t="s">
        <v>747</v>
      </c>
      <c r="Z175" s="498">
        <v>3349273648.5000005</v>
      </c>
    </row>
  </sheetData>
  <mergeCells count="71">
    <mergeCell ref="AD64:AD65"/>
    <mergeCell ref="Z61:AA61"/>
    <mergeCell ref="Z64:Z65"/>
    <mergeCell ref="AA64:AA65"/>
    <mergeCell ref="AB64:AB65"/>
    <mergeCell ref="AC64:AC65"/>
    <mergeCell ref="Q77:R77"/>
    <mergeCell ref="Q71:R71"/>
    <mergeCell ref="Q73:R73"/>
    <mergeCell ref="Q75:R75"/>
    <mergeCell ref="Q62:R62"/>
    <mergeCell ref="Q63:R63"/>
    <mergeCell ref="C71:E71"/>
    <mergeCell ref="F71:I71"/>
    <mergeCell ref="J71:K71"/>
    <mergeCell ref="M71:N71"/>
    <mergeCell ref="C77:E77"/>
    <mergeCell ref="F77:I77"/>
    <mergeCell ref="J77:K77"/>
    <mergeCell ref="M77:N77"/>
    <mergeCell ref="C75:E75"/>
    <mergeCell ref="F75:I75"/>
    <mergeCell ref="J75:K75"/>
    <mergeCell ref="M75:N75"/>
    <mergeCell ref="C73:E73"/>
    <mergeCell ref="F73:I73"/>
    <mergeCell ref="J73:K73"/>
    <mergeCell ref="M73:N73"/>
    <mergeCell ref="C63:E63"/>
    <mergeCell ref="F63:I63"/>
    <mergeCell ref="J63:K63"/>
    <mergeCell ref="M63:N63"/>
    <mergeCell ref="C62:E62"/>
    <mergeCell ref="F62:I62"/>
    <mergeCell ref="J62:K62"/>
    <mergeCell ref="M62:N62"/>
    <mergeCell ref="C27:E27"/>
    <mergeCell ref="M25:N25"/>
    <mergeCell ref="J15:K15"/>
    <mergeCell ref="M15:N15"/>
    <mergeCell ref="C25:E25"/>
    <mergeCell ref="C23:E23"/>
    <mergeCell ref="F25:I25"/>
    <mergeCell ref="C14:E14"/>
    <mergeCell ref="M14:N14"/>
    <mergeCell ref="C13:E13"/>
    <mergeCell ref="M13:N13"/>
    <mergeCell ref="F14:I14"/>
    <mergeCell ref="F13:I13"/>
    <mergeCell ref="Q27:R27"/>
    <mergeCell ref="Q13:R13"/>
    <mergeCell ref="Q25:R25"/>
    <mergeCell ref="Q15:R15"/>
    <mergeCell ref="J14:K14"/>
    <mergeCell ref="J13:K13"/>
    <mergeCell ref="C29:E29"/>
    <mergeCell ref="F29:I29"/>
    <mergeCell ref="J29:K29"/>
    <mergeCell ref="Q14:R14"/>
    <mergeCell ref="F23:I23"/>
    <mergeCell ref="J23:K23"/>
    <mergeCell ref="Q29:R29"/>
    <mergeCell ref="M23:N23"/>
    <mergeCell ref="F27:I27"/>
    <mergeCell ref="J27:K27"/>
    <mergeCell ref="Q23:R23"/>
    <mergeCell ref="J25:K25"/>
    <mergeCell ref="M29:N29"/>
    <mergeCell ref="M27:N27"/>
    <mergeCell ref="C15:E15"/>
    <mergeCell ref="F15:I15"/>
  </mergeCells>
  <phoneticPr fontId="0" type="noConversion"/>
  <pageMargins left="0.75" right="0.75" top="1" bottom="1" header="0.5" footer="0.5"/>
  <pageSetup scale="49" fitToHeight="0" orientation="landscape" r:id="rId1"/>
  <headerFooter alignWithMargins="0">
    <oddFooter xml:space="preserve">&amp;L&amp;D &amp;T&amp;C&amp;P of &amp;N&amp;R&amp;F &amp;A  </oddFooter>
  </headerFooter>
  <legacyDrawing r:id="rId2"/>
</worksheet>
</file>

<file path=xl/worksheets/sheet13.xml><?xml version="1.0" encoding="utf-8"?>
<worksheet xmlns="http://schemas.openxmlformats.org/spreadsheetml/2006/main" xmlns:r="http://schemas.openxmlformats.org/officeDocument/2006/relationships">
  <sheetPr codeName="Sheet21"/>
  <dimension ref="A2:X72"/>
  <sheetViews>
    <sheetView zoomScale="72" workbookViewId="0">
      <selection activeCell="M25" sqref="M25"/>
    </sheetView>
  </sheetViews>
  <sheetFormatPr defaultRowHeight="12.75"/>
  <cols>
    <col min="1" max="2" width="19" customWidth="1"/>
    <col min="3" max="9" width="12" customWidth="1"/>
    <col min="10" max="10" width="15.7109375" customWidth="1"/>
    <col min="11" max="12" width="12" customWidth="1"/>
    <col min="13" max="14" width="11.7109375" customWidth="1"/>
    <col min="15" max="16" width="10.7109375" style="7" customWidth="1"/>
    <col min="17" max="18" width="11.28515625" style="7" customWidth="1"/>
    <col min="19" max="19" width="10" style="7" customWidth="1"/>
    <col min="20" max="20" width="10.7109375" style="7" customWidth="1"/>
    <col min="22" max="22" width="19.28515625" customWidth="1"/>
    <col min="23" max="23" width="19.85546875" customWidth="1"/>
    <col min="24" max="24" width="9.7109375" customWidth="1"/>
  </cols>
  <sheetData>
    <row r="2" spans="1:24">
      <c r="B2" s="219" t="s">
        <v>934</v>
      </c>
      <c r="C2" s="510"/>
      <c r="D2" s="510"/>
      <c r="E2" s="510"/>
      <c r="F2" s="510"/>
      <c r="G2" s="510"/>
      <c r="H2" s="510"/>
      <c r="M2" s="218" t="s">
        <v>765</v>
      </c>
    </row>
    <row r="3" spans="1:24">
      <c r="C3" s="7" t="s">
        <v>122</v>
      </c>
      <c r="D3" s="7"/>
      <c r="E3" s="7"/>
      <c r="F3" s="7"/>
      <c r="G3" s="7" t="s">
        <v>129</v>
      </c>
      <c r="H3" s="7"/>
      <c r="I3" s="7"/>
      <c r="J3" s="7"/>
      <c r="K3" s="7"/>
      <c r="L3" s="7"/>
      <c r="M3" s="218" t="s">
        <v>764</v>
      </c>
    </row>
    <row r="4" spans="1:24">
      <c r="C4" s="7"/>
      <c r="D4" s="7"/>
      <c r="E4" s="7"/>
      <c r="F4" s="7"/>
      <c r="G4" s="7"/>
      <c r="H4" s="7"/>
      <c r="I4" s="7"/>
      <c r="J4" s="7"/>
      <c r="K4" s="7"/>
      <c r="L4" s="7"/>
    </row>
    <row r="5" spans="1:24">
      <c r="C5" s="7"/>
      <c r="D5" s="7"/>
      <c r="E5" s="7"/>
      <c r="F5" s="7"/>
      <c r="G5" s="7"/>
      <c r="H5" s="7"/>
      <c r="I5" s="7"/>
      <c r="J5" s="7"/>
      <c r="K5" s="354"/>
      <c r="L5" s="354"/>
      <c r="M5" s="350" t="s">
        <v>123</v>
      </c>
      <c r="N5" s="350" t="s">
        <v>124</v>
      </c>
    </row>
    <row r="6" spans="1:24">
      <c r="B6" t="s">
        <v>121</v>
      </c>
      <c r="C6" s="7"/>
      <c r="D6" s="7"/>
      <c r="E6" s="7"/>
      <c r="F6" s="7"/>
      <c r="G6" s="7"/>
      <c r="H6" s="7"/>
      <c r="I6" s="7"/>
      <c r="J6" s="7"/>
      <c r="K6" s="278"/>
      <c r="L6" s="278"/>
      <c r="M6" s="350">
        <v>0</v>
      </c>
      <c r="N6" s="350" t="s">
        <v>769</v>
      </c>
    </row>
    <row r="7" spans="1:24">
      <c r="A7" s="288" t="s">
        <v>274</v>
      </c>
      <c r="B7" s="288" t="s">
        <v>274</v>
      </c>
      <c r="C7" s="355"/>
      <c r="D7" s="25"/>
      <c r="E7" s="355"/>
      <c r="F7" s="25"/>
      <c r="G7" s="355"/>
      <c r="H7" s="221"/>
      <c r="I7" s="355"/>
      <c r="J7" s="221"/>
      <c r="K7" s="355"/>
      <c r="L7" s="221"/>
      <c r="M7" s="352">
        <f>W7/1000000</f>
        <v>322.65780599999999</v>
      </c>
      <c r="N7" s="353">
        <f>M7/M$26</f>
        <v>9.6336650827114415E-2</v>
      </c>
      <c r="O7" s="355"/>
      <c r="P7" s="25"/>
      <c r="Q7" s="355"/>
      <c r="R7" s="25"/>
      <c r="S7" s="355"/>
      <c r="T7" s="25"/>
      <c r="V7" s="288" t="s">
        <v>274</v>
      </c>
      <c r="W7" s="351">
        <v>322657806</v>
      </c>
      <c r="X7" s="17">
        <v>9.6336650827114387E-2</v>
      </c>
    </row>
    <row r="8" spans="1:24">
      <c r="A8" s="289" t="s">
        <v>275</v>
      </c>
      <c r="B8" s="289" t="s">
        <v>275</v>
      </c>
      <c r="C8" s="355"/>
      <c r="D8" s="25"/>
      <c r="E8" s="355"/>
      <c r="F8" s="25"/>
      <c r="G8" s="355"/>
      <c r="H8" s="221"/>
      <c r="I8" s="355"/>
      <c r="J8" s="221"/>
      <c r="K8" s="355"/>
      <c r="L8" s="221"/>
      <c r="M8" s="352">
        <f t="shared" ref="M8:M24" si="0">W8/1000000</f>
        <v>316.24200400000001</v>
      </c>
      <c r="N8" s="353">
        <f t="shared" ref="N8:N26" si="1">M8/M$26</f>
        <v>9.4421070712341362E-2</v>
      </c>
      <c r="O8" s="355"/>
      <c r="P8" s="25"/>
      <c r="Q8" s="355"/>
      <c r="R8" s="25"/>
      <c r="S8" s="355"/>
      <c r="T8" s="25"/>
      <c r="V8" s="289" t="s">
        <v>275</v>
      </c>
      <c r="W8" s="351">
        <v>316242004</v>
      </c>
      <c r="X8" s="17">
        <v>9.4421070712341335E-2</v>
      </c>
    </row>
    <row r="9" spans="1:24">
      <c r="A9" s="272" t="s">
        <v>276</v>
      </c>
      <c r="B9" s="272" t="s">
        <v>276</v>
      </c>
      <c r="C9" s="355"/>
      <c r="D9" s="25"/>
      <c r="E9" s="355"/>
      <c r="F9" s="25"/>
      <c r="G9" s="355"/>
      <c r="H9" s="221"/>
      <c r="I9" s="355"/>
      <c r="J9" s="221"/>
      <c r="K9" s="355"/>
      <c r="L9" s="221"/>
      <c r="M9" s="352">
        <f t="shared" si="0"/>
        <v>95.458311600000016</v>
      </c>
      <c r="N9" s="353">
        <f t="shared" si="1"/>
        <v>2.8501198056107426E-2</v>
      </c>
      <c r="O9" s="355"/>
      <c r="P9" s="25"/>
      <c r="Q9" s="355"/>
      <c r="R9" s="25"/>
      <c r="S9" s="355"/>
      <c r="T9" s="25"/>
      <c r="V9" s="272" t="s">
        <v>276</v>
      </c>
      <c r="W9" s="351">
        <v>95458311.600000009</v>
      </c>
      <c r="X9" s="17">
        <v>2.8501198056107416E-2</v>
      </c>
    </row>
    <row r="10" spans="1:24">
      <c r="A10" s="272" t="s">
        <v>721</v>
      </c>
      <c r="B10" s="272" t="s">
        <v>721</v>
      </c>
      <c r="C10" s="355"/>
      <c r="D10" s="25"/>
      <c r="E10" s="355"/>
      <c r="F10" s="25"/>
      <c r="G10" s="355"/>
      <c r="H10" s="221"/>
      <c r="I10" s="355"/>
      <c r="J10" s="221"/>
      <c r="K10" s="355"/>
      <c r="L10" s="221"/>
      <c r="M10" s="352">
        <f t="shared" si="0"/>
        <v>133.95332400000001</v>
      </c>
      <c r="N10" s="353">
        <f t="shared" si="1"/>
        <v>3.999473857861454E-2</v>
      </c>
      <c r="O10" s="355"/>
      <c r="P10" s="25"/>
      <c r="Q10" s="355"/>
      <c r="R10" s="25"/>
      <c r="S10" s="355"/>
      <c r="T10" s="25"/>
      <c r="V10" s="272" t="s">
        <v>721</v>
      </c>
      <c r="W10" s="351">
        <v>133953324</v>
      </c>
      <c r="X10" s="17">
        <v>3.9994738578614526E-2</v>
      </c>
    </row>
    <row r="11" spans="1:24">
      <c r="A11" s="272" t="s">
        <v>722</v>
      </c>
      <c r="B11" s="272" t="s">
        <v>722</v>
      </c>
      <c r="C11" s="355"/>
      <c r="D11" s="25"/>
      <c r="E11" s="355"/>
      <c r="F11" s="25"/>
      <c r="G11" s="355"/>
      <c r="H11" s="221"/>
      <c r="I11" s="355"/>
      <c r="J11" s="221"/>
      <c r="K11" s="355"/>
      <c r="L11" s="221"/>
      <c r="M11" s="352">
        <f t="shared" si="0"/>
        <v>31.55076</v>
      </c>
      <c r="N11" s="353">
        <f t="shared" si="1"/>
        <v>9.4201798094731004E-3</v>
      </c>
      <c r="O11" s="355"/>
      <c r="P11" s="25"/>
      <c r="Q11" s="355"/>
      <c r="R11" s="25"/>
      <c r="S11" s="355"/>
      <c r="T11" s="25"/>
      <c r="V11" s="272" t="s">
        <v>722</v>
      </c>
      <c r="W11" s="351">
        <v>31550760</v>
      </c>
      <c r="X11" s="17">
        <v>9.4201798094730969E-3</v>
      </c>
    </row>
    <row r="12" spans="1:24">
      <c r="A12" s="272" t="s">
        <v>723</v>
      </c>
      <c r="B12" s="272" t="s">
        <v>723</v>
      </c>
      <c r="C12" s="355"/>
      <c r="D12" s="25"/>
      <c r="E12" s="355"/>
      <c r="F12" s="25"/>
      <c r="G12" s="355"/>
      <c r="H12" s="221"/>
      <c r="I12" s="355"/>
      <c r="J12" s="221"/>
      <c r="K12" s="355"/>
      <c r="L12" s="221"/>
      <c r="M12" s="352">
        <f t="shared" si="0"/>
        <v>346.19952999999998</v>
      </c>
      <c r="N12" s="353">
        <f t="shared" si="1"/>
        <v>0.10336555514209726</v>
      </c>
      <c r="O12" s="355"/>
      <c r="P12" s="25"/>
      <c r="Q12" s="355"/>
      <c r="R12" s="25"/>
      <c r="S12" s="355"/>
      <c r="T12" s="25"/>
      <c r="V12" s="272" t="s">
        <v>723</v>
      </c>
      <c r="W12" s="351">
        <v>346199530</v>
      </c>
      <c r="X12" s="17">
        <v>0.10336555514209725</v>
      </c>
    </row>
    <row r="13" spans="1:24">
      <c r="A13" s="272" t="s">
        <v>724</v>
      </c>
      <c r="B13" s="272" t="s">
        <v>724</v>
      </c>
      <c r="C13" s="355"/>
      <c r="D13" s="25"/>
      <c r="E13" s="355"/>
      <c r="F13" s="25"/>
      <c r="G13" s="355"/>
      <c r="H13" s="221"/>
      <c r="I13" s="355"/>
      <c r="J13" s="221"/>
      <c r="K13" s="355"/>
      <c r="L13" s="221"/>
      <c r="M13" s="352">
        <f t="shared" si="0"/>
        <v>59.225870599999993</v>
      </c>
      <c r="N13" s="353">
        <f t="shared" si="1"/>
        <v>1.7683198453051097E-2</v>
      </c>
      <c r="O13" s="355"/>
      <c r="P13" s="25"/>
      <c r="Q13" s="355"/>
      <c r="R13" s="25"/>
      <c r="S13" s="355"/>
      <c r="T13" s="25"/>
      <c r="V13" s="272" t="s">
        <v>724</v>
      </c>
      <c r="W13" s="351">
        <v>59225870.599999994</v>
      </c>
      <c r="X13" s="17">
        <v>1.768319845305109E-2</v>
      </c>
    </row>
    <row r="14" spans="1:24">
      <c r="A14" s="272" t="s">
        <v>725</v>
      </c>
      <c r="B14" s="272" t="s">
        <v>725</v>
      </c>
      <c r="C14" s="355"/>
      <c r="D14" s="25"/>
      <c r="E14" s="355"/>
      <c r="F14" s="25"/>
      <c r="G14" s="355"/>
      <c r="H14" s="221"/>
      <c r="I14" s="355"/>
      <c r="J14" s="221"/>
      <c r="K14" s="355"/>
      <c r="L14" s="221"/>
      <c r="M14" s="352">
        <f t="shared" si="0"/>
        <v>245.35316429999997</v>
      </c>
      <c r="N14" s="353">
        <f t="shared" si="1"/>
        <v>7.3255633922263544E-2</v>
      </c>
      <c r="O14" s="355"/>
      <c r="P14" s="25"/>
      <c r="Q14" s="355"/>
      <c r="R14" s="25"/>
      <c r="S14" s="355"/>
      <c r="T14" s="25"/>
      <c r="V14" s="272" t="s">
        <v>725</v>
      </c>
      <c r="W14" s="351">
        <v>245353164.29999998</v>
      </c>
      <c r="X14" s="17">
        <v>7.325563392226353E-2</v>
      </c>
    </row>
    <row r="15" spans="1:24">
      <c r="A15" s="272" t="s">
        <v>273</v>
      </c>
      <c r="B15" s="272" t="s">
        <v>273</v>
      </c>
      <c r="C15" s="355"/>
      <c r="D15" s="25"/>
      <c r="E15" s="355"/>
      <c r="F15" s="25"/>
      <c r="G15" s="355"/>
      <c r="H15" s="221"/>
      <c r="I15" s="355"/>
      <c r="J15" s="221"/>
      <c r="K15" s="355"/>
      <c r="L15" s="221"/>
      <c r="M15" s="352">
        <f t="shared" si="0"/>
        <v>123.989124</v>
      </c>
      <c r="N15" s="353">
        <f t="shared" si="1"/>
        <v>3.701970546823774E-2</v>
      </c>
      <c r="O15" s="355"/>
      <c r="P15" s="25"/>
      <c r="Q15" s="355"/>
      <c r="R15" s="25"/>
      <c r="S15" s="355"/>
      <c r="T15" s="25"/>
      <c r="V15" s="272" t="s">
        <v>273</v>
      </c>
      <c r="W15" s="351">
        <v>123989124</v>
      </c>
      <c r="X15" s="17">
        <v>3.7019705468237733E-2</v>
      </c>
    </row>
    <row r="16" spans="1:24">
      <c r="A16" s="272" t="s">
        <v>264</v>
      </c>
      <c r="B16" s="272" t="s">
        <v>264</v>
      </c>
      <c r="C16" s="355"/>
      <c r="D16" s="25"/>
      <c r="E16" s="355"/>
      <c r="F16" s="25"/>
      <c r="G16" s="355"/>
      <c r="H16" s="221"/>
      <c r="I16" s="355"/>
      <c r="J16" s="221"/>
      <c r="K16" s="355"/>
      <c r="L16" s="221"/>
      <c r="M16" s="352">
        <f t="shared" si="0"/>
        <v>442.22405430000003</v>
      </c>
      <c r="N16" s="353">
        <f t="shared" si="1"/>
        <v>0.13203580856943528</v>
      </c>
      <c r="O16" s="355"/>
      <c r="P16" s="25"/>
      <c r="Q16" s="355"/>
      <c r="R16" s="25"/>
      <c r="S16" s="355"/>
      <c r="T16" s="25"/>
      <c r="V16" s="272" t="s">
        <v>264</v>
      </c>
      <c r="W16" s="351">
        <v>442224054.30000001</v>
      </c>
      <c r="X16" s="17">
        <v>0.13203580856943525</v>
      </c>
    </row>
    <row r="17" spans="1:24">
      <c r="A17" s="12" t="s">
        <v>278</v>
      </c>
      <c r="B17" s="12" t="s">
        <v>278</v>
      </c>
      <c r="C17" s="355"/>
      <c r="D17" s="25"/>
      <c r="E17" s="355"/>
      <c r="F17" s="25"/>
      <c r="G17" s="355"/>
      <c r="H17" s="221"/>
      <c r="I17" s="355"/>
      <c r="J17" s="221"/>
      <c r="K17" s="355"/>
      <c r="L17" s="221"/>
      <c r="M17" s="352">
        <f t="shared" si="0"/>
        <v>65.429751400000001</v>
      </c>
      <c r="N17" s="353">
        <f t="shared" si="1"/>
        <v>1.9535504789016944E-2</v>
      </c>
      <c r="O17" s="355"/>
      <c r="P17" s="25"/>
      <c r="Q17" s="355"/>
      <c r="R17" s="25"/>
      <c r="S17" s="355"/>
      <c r="T17" s="25"/>
      <c r="V17" s="12" t="s">
        <v>278</v>
      </c>
      <c r="W17" s="351">
        <v>65429751.399999999</v>
      </c>
      <c r="X17" s="17">
        <v>1.9535504789016941E-2</v>
      </c>
    </row>
    <row r="18" spans="1:24">
      <c r="A18" s="12" t="s">
        <v>446</v>
      </c>
      <c r="B18" s="12" t="s">
        <v>446</v>
      </c>
      <c r="C18" s="355"/>
      <c r="D18" s="25"/>
      <c r="E18" s="355"/>
      <c r="F18" s="25"/>
      <c r="G18" s="355"/>
      <c r="H18" s="221"/>
      <c r="I18" s="355"/>
      <c r="J18" s="221"/>
      <c r="K18" s="355"/>
      <c r="L18" s="221"/>
      <c r="M18" s="352">
        <f t="shared" si="0"/>
        <v>11.691088099999998</v>
      </c>
      <c r="N18" s="353">
        <f t="shared" si="1"/>
        <v>3.4906338887047794E-3</v>
      </c>
      <c r="O18" s="355"/>
      <c r="P18" s="25"/>
      <c r="Q18" s="355"/>
      <c r="R18" s="25"/>
      <c r="S18" s="355"/>
      <c r="T18" s="25"/>
      <c r="V18" s="12" t="s">
        <v>446</v>
      </c>
      <c r="W18" s="351">
        <v>11691088.099999998</v>
      </c>
      <c r="X18" s="17">
        <v>3.4906338887047785E-3</v>
      </c>
    </row>
    <row r="19" spans="1:24">
      <c r="A19" s="12" t="s">
        <v>266</v>
      </c>
      <c r="B19" s="12" t="s">
        <v>266</v>
      </c>
      <c r="C19" s="355"/>
      <c r="D19" s="25"/>
      <c r="E19" s="355"/>
      <c r="F19" s="25"/>
      <c r="G19" s="355"/>
      <c r="H19" s="221"/>
      <c r="I19" s="355"/>
      <c r="J19" s="221"/>
      <c r="K19" s="355"/>
      <c r="L19" s="221"/>
      <c r="M19" s="352">
        <f t="shared" si="0"/>
        <v>53.036741800000001</v>
      </c>
      <c r="N19" s="353">
        <f t="shared" si="1"/>
        <v>1.5835296654172451E-2</v>
      </c>
      <c r="O19" s="355"/>
      <c r="P19" s="25"/>
      <c r="Q19" s="355"/>
      <c r="R19" s="25"/>
      <c r="S19" s="355"/>
      <c r="T19" s="25"/>
      <c r="V19" s="12" t="s">
        <v>266</v>
      </c>
      <c r="W19" s="351">
        <v>53036741.800000004</v>
      </c>
      <c r="X19" s="17">
        <v>1.5835296654172448E-2</v>
      </c>
    </row>
    <row r="20" spans="1:24">
      <c r="A20" s="12" t="s">
        <v>267</v>
      </c>
      <c r="B20" s="12" t="s">
        <v>267</v>
      </c>
      <c r="C20" s="355"/>
      <c r="D20" s="25"/>
      <c r="E20" s="355"/>
      <c r="F20" s="25"/>
      <c r="G20" s="355"/>
      <c r="H20" s="221"/>
      <c r="I20" s="355"/>
      <c r="J20" s="221"/>
      <c r="K20" s="355"/>
      <c r="L20" s="221"/>
      <c r="M20" s="352">
        <f t="shared" si="0"/>
        <v>171.0409248</v>
      </c>
      <c r="N20" s="353">
        <f t="shared" si="1"/>
        <v>5.1068065124091046E-2</v>
      </c>
      <c r="O20" s="355"/>
      <c r="P20" s="25"/>
      <c r="Q20" s="355"/>
      <c r="R20" s="25"/>
      <c r="S20" s="355"/>
      <c r="T20" s="25"/>
      <c r="V20" s="12" t="s">
        <v>267</v>
      </c>
      <c r="W20" s="351">
        <v>171040924.80000001</v>
      </c>
      <c r="X20" s="17">
        <v>5.1068065124091039E-2</v>
      </c>
    </row>
    <row r="21" spans="1:24">
      <c r="A21" s="12" t="s">
        <v>268</v>
      </c>
      <c r="B21" s="12" t="s">
        <v>268</v>
      </c>
      <c r="C21" s="355"/>
      <c r="D21" s="25"/>
      <c r="E21" s="355"/>
      <c r="F21" s="25"/>
      <c r="G21" s="355"/>
      <c r="H21" s="221"/>
      <c r="I21" s="355"/>
      <c r="J21" s="221"/>
      <c r="K21" s="355"/>
      <c r="L21" s="221"/>
      <c r="M21" s="352">
        <f t="shared" si="0"/>
        <v>103.75403529999998</v>
      </c>
      <c r="N21" s="353">
        <f t="shared" si="1"/>
        <v>3.0978070527759683E-2</v>
      </c>
      <c r="O21" s="355"/>
      <c r="P21" s="25"/>
      <c r="Q21" s="355"/>
      <c r="R21" s="25"/>
      <c r="S21" s="355"/>
      <c r="T21" s="25"/>
      <c r="V21" s="12" t="s">
        <v>268</v>
      </c>
      <c r="W21" s="351">
        <v>103754035.29999998</v>
      </c>
      <c r="X21" s="17">
        <v>3.0978070527759676E-2</v>
      </c>
    </row>
    <row r="22" spans="1:24">
      <c r="A22" s="289" t="s">
        <v>726</v>
      </c>
      <c r="B22" s="289" t="s">
        <v>726</v>
      </c>
      <c r="C22" s="355"/>
      <c r="D22" s="25"/>
      <c r="E22" s="355"/>
      <c r="F22" s="25"/>
      <c r="G22" s="355"/>
      <c r="H22" s="221"/>
      <c r="I22" s="355"/>
      <c r="J22" s="221"/>
      <c r="K22" s="355"/>
      <c r="L22" s="221"/>
      <c r="M22" s="352">
        <f t="shared" si="0"/>
        <v>125.16063630000001</v>
      </c>
      <c r="N22" s="353">
        <f t="shared" si="1"/>
        <v>3.7369486472404026E-2</v>
      </c>
      <c r="O22" s="355"/>
      <c r="P22" s="25"/>
      <c r="Q22" s="355"/>
      <c r="R22" s="25"/>
      <c r="S22" s="355"/>
      <c r="T22" s="25"/>
      <c r="V22" s="289" t="s">
        <v>726</v>
      </c>
      <c r="W22" s="351">
        <v>125160636.30000001</v>
      </c>
      <c r="X22" s="17">
        <v>3.7369486472404019E-2</v>
      </c>
    </row>
    <row r="23" spans="1:24">
      <c r="A23" s="272" t="s">
        <v>311</v>
      </c>
      <c r="B23" s="272" t="s">
        <v>311</v>
      </c>
      <c r="C23" s="355"/>
      <c r="D23" s="25"/>
      <c r="E23" s="355"/>
      <c r="F23" s="25"/>
      <c r="G23" s="355"/>
      <c r="H23" s="221"/>
      <c r="I23" s="355"/>
      <c r="J23" s="221"/>
      <c r="K23" s="355"/>
      <c r="L23" s="221"/>
      <c r="M23" s="352">
        <f t="shared" si="0"/>
        <v>368.87205360000002</v>
      </c>
      <c r="N23" s="353">
        <f t="shared" si="1"/>
        <v>0.11013494038183547</v>
      </c>
      <c r="O23" s="355"/>
      <c r="P23" s="25"/>
      <c r="Q23" s="355"/>
      <c r="R23" s="25"/>
      <c r="S23" s="355"/>
      <c r="T23" s="25"/>
      <c r="V23" s="272" t="s">
        <v>311</v>
      </c>
      <c r="W23" s="351">
        <v>368872053.60000002</v>
      </c>
      <c r="X23" s="17">
        <v>0.11013494038183544</v>
      </c>
    </row>
    <row r="24" spans="1:24">
      <c r="A24" s="38" t="s">
        <v>272</v>
      </c>
      <c r="B24" s="38" t="s">
        <v>272</v>
      </c>
      <c r="C24" s="355"/>
      <c r="D24" s="25"/>
      <c r="E24" s="355"/>
      <c r="F24" s="25"/>
      <c r="G24" s="355"/>
      <c r="H24" s="221"/>
      <c r="I24" s="355"/>
      <c r="J24" s="221"/>
      <c r="K24" s="355"/>
      <c r="L24" s="221"/>
      <c r="M24" s="352">
        <f t="shared" si="0"/>
        <v>333.43446839999996</v>
      </c>
      <c r="N24" s="353">
        <f t="shared" si="1"/>
        <v>9.9554262623279946E-2</v>
      </c>
      <c r="O24" s="355"/>
      <c r="P24" s="25"/>
      <c r="Q24" s="355"/>
      <c r="R24" s="25"/>
      <c r="S24" s="355"/>
      <c r="T24" s="25"/>
      <c r="V24" s="38" t="s">
        <v>272</v>
      </c>
      <c r="W24" s="351">
        <v>333434468.39999998</v>
      </c>
      <c r="X24" s="17">
        <v>9.9554262623279918E-2</v>
      </c>
    </row>
    <row r="25" spans="1:24">
      <c r="C25" s="355"/>
      <c r="D25" s="25"/>
      <c r="E25" s="7"/>
      <c r="F25" s="7"/>
      <c r="G25" s="7"/>
      <c r="H25" s="7"/>
      <c r="I25" s="7"/>
      <c r="J25" s="7"/>
      <c r="K25" s="7"/>
      <c r="L25" s="7"/>
      <c r="M25" s="352"/>
      <c r="N25" s="353"/>
      <c r="O25" s="355"/>
      <c r="P25" s="25"/>
      <c r="Q25" s="355"/>
      <c r="R25" s="25"/>
      <c r="T25" s="25"/>
      <c r="W25" s="232">
        <v>3349273648.5000005</v>
      </c>
      <c r="X25" s="17">
        <v>0.99999999999999989</v>
      </c>
    </row>
    <row r="26" spans="1:24">
      <c r="C26" s="355"/>
      <c r="D26" s="25"/>
      <c r="E26" s="264"/>
      <c r="F26" s="25"/>
      <c r="G26" s="264"/>
      <c r="H26" s="25"/>
      <c r="I26" s="264"/>
      <c r="J26" s="25"/>
      <c r="K26" s="264"/>
      <c r="L26" s="25"/>
      <c r="M26" s="352">
        <f>SUM(M7:M24)</f>
        <v>3349.2736484999996</v>
      </c>
      <c r="N26" s="353">
        <f t="shared" si="1"/>
        <v>1</v>
      </c>
      <c r="O26" s="355"/>
      <c r="P26" s="25"/>
      <c r="Q26" s="355"/>
      <c r="R26" s="25"/>
      <c r="S26" s="355"/>
      <c r="T26" s="25"/>
    </row>
    <row r="27" spans="1:24">
      <c r="A27" s="12"/>
      <c r="B27" s="12"/>
      <c r="C27" s="12"/>
      <c r="D27" s="12"/>
      <c r="E27" s="12"/>
      <c r="F27" s="12"/>
      <c r="G27" s="12"/>
      <c r="H27" s="12"/>
    </row>
    <row r="28" spans="1:24">
      <c r="A28" s="12"/>
      <c r="B28" s="12"/>
      <c r="C28" s="12"/>
      <c r="D28" s="12"/>
      <c r="E28" s="12"/>
      <c r="F28" s="12"/>
      <c r="G28" s="12"/>
      <c r="H28" s="12"/>
    </row>
    <row r="29" spans="1:24">
      <c r="A29" s="12"/>
      <c r="B29" s="12"/>
      <c r="C29" s="12"/>
      <c r="D29" s="16"/>
      <c r="E29" s="16"/>
      <c r="F29" s="16"/>
      <c r="G29" s="16"/>
      <c r="H29" s="16"/>
      <c r="I29" s="7"/>
      <c r="J29" s="7"/>
      <c r="K29" s="7"/>
      <c r="L29" s="7"/>
    </row>
    <row r="30" spans="1:24">
      <c r="A30" s="12"/>
      <c r="B30" s="12"/>
      <c r="C30" s="12"/>
      <c r="D30" s="16"/>
      <c r="E30" s="16"/>
      <c r="F30" s="16"/>
      <c r="G30" s="16"/>
      <c r="H30" s="16"/>
      <c r="I30" s="7"/>
      <c r="J30" s="7"/>
      <c r="K30" s="7"/>
      <c r="L30" s="7"/>
      <c r="M30" s="16"/>
      <c r="N30" s="16"/>
      <c r="O30" s="16"/>
      <c r="P30" s="16"/>
    </row>
    <row r="31" spans="1:24">
      <c r="A31" s="12"/>
      <c r="B31" s="289"/>
      <c r="C31" s="12"/>
      <c r="D31" s="523"/>
      <c r="E31" s="16"/>
      <c r="F31" s="523"/>
      <c r="G31" s="16"/>
      <c r="H31" s="523"/>
      <c r="I31" s="7"/>
      <c r="J31" s="25"/>
      <c r="K31" s="7"/>
      <c r="L31" s="25"/>
      <c r="M31" s="16"/>
      <c r="N31" s="532"/>
      <c r="O31" s="16"/>
      <c r="P31" s="532"/>
      <c r="R31" s="221"/>
      <c r="T31" s="221"/>
    </row>
    <row r="32" spans="1:24">
      <c r="A32" s="12"/>
      <c r="B32" s="289"/>
      <c r="C32" s="12"/>
      <c r="D32" s="523"/>
      <c r="E32" s="16"/>
      <c r="F32" s="523"/>
      <c r="G32" s="16"/>
      <c r="H32" s="523"/>
      <c r="I32" s="7"/>
      <c r="J32" s="25"/>
      <c r="K32" s="7"/>
      <c r="L32" s="25"/>
      <c r="M32" s="16"/>
      <c r="N32" s="532"/>
      <c r="O32" s="16"/>
      <c r="P32" s="532"/>
      <c r="R32" s="221"/>
      <c r="T32" s="221"/>
    </row>
    <row r="33" spans="1:20">
      <c r="A33" s="12"/>
      <c r="B33" s="272"/>
      <c r="C33" s="12"/>
      <c r="D33" s="523"/>
      <c r="E33" s="16"/>
      <c r="F33" s="523"/>
      <c r="G33" s="16"/>
      <c r="H33" s="523"/>
      <c r="I33" s="7"/>
      <c r="J33" s="25"/>
      <c r="K33" s="7"/>
      <c r="L33" s="25"/>
      <c r="M33" s="16"/>
      <c r="N33" s="532"/>
      <c r="O33" s="16"/>
      <c r="P33" s="532"/>
      <c r="R33" s="221"/>
      <c r="T33" s="221"/>
    </row>
    <row r="34" spans="1:20">
      <c r="A34" s="12"/>
      <c r="B34" s="272"/>
      <c r="C34" s="12"/>
      <c r="D34" s="523"/>
      <c r="E34" s="16"/>
      <c r="F34" s="523"/>
      <c r="G34" s="16"/>
      <c r="H34" s="523"/>
      <c r="I34" s="7"/>
      <c r="J34" s="25"/>
      <c r="K34" s="7"/>
      <c r="L34" s="25"/>
      <c r="M34" s="16"/>
      <c r="N34" s="532"/>
      <c r="O34" s="16"/>
      <c r="P34" s="532"/>
      <c r="R34" s="221"/>
      <c r="T34" s="221"/>
    </row>
    <row r="35" spans="1:20">
      <c r="A35" s="12"/>
      <c r="B35" s="272"/>
      <c r="C35" s="12"/>
      <c r="D35" s="523"/>
      <c r="E35" s="16"/>
      <c r="F35" s="523"/>
      <c r="G35" s="16"/>
      <c r="H35" s="523"/>
      <c r="I35" s="7"/>
      <c r="J35" s="25"/>
      <c r="K35" s="7"/>
      <c r="L35" s="25"/>
      <c r="M35" s="16"/>
      <c r="N35" s="532"/>
      <c r="O35" s="16"/>
      <c r="P35" s="532"/>
      <c r="R35" s="221"/>
      <c r="T35" s="221"/>
    </row>
    <row r="36" spans="1:20">
      <c r="A36" s="12"/>
      <c r="B36" s="272"/>
      <c r="C36" s="12"/>
      <c r="D36" s="523"/>
      <c r="E36" s="16"/>
      <c r="F36" s="523"/>
      <c r="G36" s="16"/>
      <c r="H36" s="523"/>
      <c r="I36" s="7"/>
      <c r="J36" s="25"/>
      <c r="K36" s="7"/>
      <c r="L36" s="25"/>
      <c r="M36" s="16"/>
      <c r="N36" s="532"/>
      <c r="O36" s="16"/>
      <c r="P36" s="532"/>
      <c r="R36" s="221"/>
      <c r="T36" s="221"/>
    </row>
    <row r="37" spans="1:20">
      <c r="A37" s="12"/>
      <c r="B37" s="272"/>
      <c r="C37" s="12"/>
      <c r="D37" s="523"/>
      <c r="E37" s="16"/>
      <c r="F37" s="523"/>
      <c r="G37" s="16"/>
      <c r="H37" s="523"/>
      <c r="I37" s="7"/>
      <c r="J37" s="25"/>
      <c r="K37" s="7"/>
      <c r="L37" s="25"/>
      <c r="M37" s="16"/>
      <c r="N37" s="532"/>
      <c r="O37" s="16"/>
      <c r="P37" s="532"/>
      <c r="R37" s="221"/>
      <c r="T37" s="221"/>
    </row>
    <row r="38" spans="1:20">
      <c r="A38" s="12"/>
      <c r="B38" s="272"/>
      <c r="C38" s="12"/>
      <c r="D38" s="523"/>
      <c r="E38" s="16"/>
      <c r="F38" s="523"/>
      <c r="G38" s="16"/>
      <c r="H38" s="523"/>
      <c r="I38" s="7"/>
      <c r="J38" s="25"/>
      <c r="K38" s="7"/>
      <c r="L38" s="25"/>
      <c r="M38" s="16"/>
      <c r="N38" s="532"/>
      <c r="O38" s="16"/>
      <c r="P38" s="532"/>
      <c r="R38" s="221"/>
      <c r="T38" s="221"/>
    </row>
    <row r="39" spans="1:20">
      <c r="A39" s="12"/>
      <c r="B39" s="272"/>
      <c r="C39" s="12"/>
      <c r="D39" s="523"/>
      <c r="E39" s="16"/>
      <c r="F39" s="523"/>
      <c r="G39" s="16"/>
      <c r="H39" s="523"/>
      <c r="I39" s="7"/>
      <c r="J39" s="25"/>
      <c r="K39" s="7"/>
      <c r="L39" s="25"/>
      <c r="M39" s="16"/>
      <c r="N39" s="532"/>
      <c r="O39" s="16"/>
      <c r="P39" s="532"/>
      <c r="R39" s="221"/>
      <c r="T39" s="221"/>
    </row>
    <row r="40" spans="1:20">
      <c r="A40" s="12"/>
      <c r="B40" s="272"/>
      <c r="C40" s="12"/>
      <c r="D40" s="523"/>
      <c r="E40" s="16"/>
      <c r="F40" s="523"/>
      <c r="G40" s="16"/>
      <c r="H40" s="523"/>
      <c r="I40" s="7"/>
      <c r="J40" s="25"/>
      <c r="K40" s="7"/>
      <c r="L40" s="25"/>
      <c r="M40" s="16"/>
      <c r="N40" s="532"/>
      <c r="O40" s="16"/>
      <c r="P40" s="532"/>
      <c r="R40" s="221"/>
      <c r="T40" s="221"/>
    </row>
    <row r="41" spans="1:20">
      <c r="A41" s="12"/>
      <c r="B41" s="12"/>
      <c r="C41" s="12"/>
      <c r="D41" s="523"/>
      <c r="E41" s="16"/>
      <c r="F41" s="523"/>
      <c r="G41" s="16"/>
      <c r="H41" s="523"/>
      <c r="I41" s="7"/>
      <c r="J41" s="25"/>
      <c r="K41" s="7"/>
      <c r="L41" s="25"/>
      <c r="M41" s="16"/>
      <c r="N41" s="532"/>
      <c r="O41" s="16"/>
      <c r="P41" s="532"/>
      <c r="R41" s="221"/>
      <c r="T41" s="221"/>
    </row>
    <row r="42" spans="1:20">
      <c r="A42" s="12"/>
      <c r="B42" s="12"/>
      <c r="C42" s="12"/>
      <c r="D42" s="523"/>
      <c r="E42" s="16"/>
      <c r="F42" s="523"/>
      <c r="G42" s="16"/>
      <c r="H42" s="523"/>
      <c r="I42" s="7"/>
      <c r="J42" s="25"/>
      <c r="K42" s="7"/>
      <c r="L42" s="25"/>
      <c r="M42" s="16"/>
      <c r="N42" s="532"/>
      <c r="O42" s="16"/>
      <c r="P42" s="532"/>
      <c r="R42" s="221"/>
      <c r="T42" s="221"/>
    </row>
    <row r="43" spans="1:20">
      <c r="A43" s="12"/>
      <c r="B43" s="12"/>
      <c r="C43" s="12"/>
      <c r="D43" s="523"/>
      <c r="E43" s="16"/>
      <c r="F43" s="523"/>
      <c r="G43" s="16"/>
      <c r="H43" s="523"/>
      <c r="I43" s="7"/>
      <c r="J43" s="25"/>
      <c r="K43" s="7"/>
      <c r="L43" s="25"/>
      <c r="M43" s="16"/>
      <c r="N43" s="532"/>
      <c r="O43" s="16"/>
      <c r="P43" s="532"/>
      <c r="R43" s="221"/>
      <c r="T43" s="221"/>
    </row>
    <row r="44" spans="1:20">
      <c r="A44" s="12"/>
      <c r="B44" s="12"/>
      <c r="C44" s="12"/>
      <c r="D44" s="523"/>
      <c r="E44" s="16"/>
      <c r="F44" s="523"/>
      <c r="G44" s="16"/>
      <c r="H44" s="523"/>
      <c r="I44" s="7"/>
      <c r="J44" s="25"/>
      <c r="K44" s="7"/>
      <c r="L44" s="25"/>
      <c r="M44" s="16"/>
      <c r="N44" s="532"/>
      <c r="O44" s="16"/>
      <c r="P44" s="532"/>
      <c r="R44" s="221"/>
      <c r="T44" s="221"/>
    </row>
    <row r="45" spans="1:20">
      <c r="A45" s="12"/>
      <c r="B45" s="12"/>
      <c r="C45" s="12"/>
      <c r="D45" s="523"/>
      <c r="E45" s="16"/>
      <c r="F45" s="523"/>
      <c r="G45" s="16"/>
      <c r="H45" s="523"/>
      <c r="I45" s="7"/>
      <c r="J45" s="25"/>
      <c r="K45" s="7"/>
      <c r="L45" s="25"/>
      <c r="M45" s="16"/>
      <c r="N45" s="532"/>
      <c r="O45" s="16"/>
      <c r="P45" s="532"/>
      <c r="R45" s="221"/>
      <c r="T45" s="221"/>
    </row>
    <row r="46" spans="1:20">
      <c r="A46" s="12"/>
      <c r="B46" s="289"/>
      <c r="C46" s="12"/>
      <c r="D46" s="523"/>
      <c r="E46" s="16"/>
      <c r="F46" s="523"/>
      <c r="G46" s="16"/>
      <c r="H46" s="523"/>
      <c r="I46" s="7"/>
      <c r="J46" s="25"/>
      <c r="K46" s="7"/>
      <c r="L46" s="25"/>
      <c r="M46" s="16"/>
      <c r="N46" s="532"/>
      <c r="O46" s="16"/>
      <c r="P46" s="532"/>
      <c r="R46" s="221"/>
      <c r="T46" s="221"/>
    </row>
    <row r="47" spans="1:20">
      <c r="A47" s="12"/>
      <c r="B47" s="272"/>
      <c r="C47" s="12"/>
      <c r="D47" s="523"/>
      <c r="E47" s="16"/>
      <c r="F47" s="523"/>
      <c r="G47" s="16"/>
      <c r="H47" s="523"/>
      <c r="I47" s="7"/>
      <c r="J47" s="25"/>
      <c r="K47" s="7"/>
      <c r="L47" s="25"/>
      <c r="M47" s="16"/>
      <c r="N47" s="532"/>
      <c r="O47" s="16"/>
      <c r="P47" s="532"/>
      <c r="R47" s="221"/>
      <c r="T47" s="221"/>
    </row>
    <row r="48" spans="1:20">
      <c r="A48" s="12"/>
      <c r="B48" s="12"/>
      <c r="C48" s="12"/>
      <c r="D48" s="523"/>
      <c r="E48" s="16"/>
      <c r="F48" s="523"/>
      <c r="G48" s="16"/>
      <c r="H48" s="523"/>
      <c r="I48" s="7"/>
      <c r="J48" s="25"/>
      <c r="K48" s="7"/>
      <c r="L48" s="25"/>
      <c r="M48" s="16"/>
      <c r="N48" s="532"/>
      <c r="O48" s="16"/>
      <c r="P48" s="532"/>
      <c r="R48" s="221"/>
      <c r="T48" s="221"/>
    </row>
    <row r="49" spans="1:20">
      <c r="A49" s="12"/>
      <c r="B49" s="12"/>
      <c r="C49" s="12"/>
      <c r="D49" s="16"/>
      <c r="E49" s="16"/>
      <c r="F49" s="16"/>
      <c r="G49" s="16"/>
      <c r="H49" s="16"/>
      <c r="I49" s="7"/>
      <c r="J49" s="7"/>
      <c r="K49" s="7"/>
      <c r="L49" s="7"/>
      <c r="M49" s="16"/>
      <c r="N49" s="16"/>
      <c r="O49" s="16"/>
      <c r="P49" s="16"/>
    </row>
    <row r="50" spans="1:20">
      <c r="A50" s="12"/>
      <c r="B50" s="12"/>
      <c r="C50" s="12"/>
      <c r="D50" s="16"/>
      <c r="E50" s="16"/>
      <c r="F50" s="16"/>
      <c r="G50" s="16"/>
      <c r="H50" s="16"/>
      <c r="I50" s="7"/>
      <c r="J50" s="7"/>
      <c r="K50" s="7"/>
      <c r="L50" s="7"/>
      <c r="M50" s="16"/>
      <c r="N50" s="16"/>
      <c r="O50" s="16"/>
      <c r="P50" s="16"/>
    </row>
    <row r="51" spans="1:20">
      <c r="A51" s="12"/>
      <c r="B51" s="289"/>
      <c r="C51" s="12"/>
      <c r="D51" s="16"/>
      <c r="E51" s="16"/>
      <c r="F51" s="16"/>
      <c r="G51" s="16"/>
      <c r="H51" s="16"/>
      <c r="I51" s="7"/>
      <c r="J51" s="7"/>
      <c r="K51" s="7"/>
      <c r="L51" s="7"/>
      <c r="M51" s="16"/>
      <c r="N51" s="16"/>
      <c r="O51" s="16"/>
      <c r="P51" s="16"/>
    </row>
    <row r="52" spans="1:20">
      <c r="A52" s="12"/>
      <c r="B52" s="12"/>
      <c r="C52" s="12"/>
      <c r="D52" s="16"/>
      <c r="E52" s="16"/>
      <c r="F52" s="16"/>
      <c r="G52" s="16"/>
      <c r="H52" s="16"/>
      <c r="I52" s="7"/>
      <c r="J52" s="7"/>
      <c r="K52" s="7"/>
      <c r="L52" s="7"/>
      <c r="M52" s="16"/>
      <c r="N52" s="16"/>
      <c r="O52" s="16"/>
      <c r="P52" s="16"/>
    </row>
    <row r="53" spans="1:20">
      <c r="A53" s="12"/>
      <c r="B53" s="289"/>
      <c r="C53" s="12"/>
      <c r="D53" s="523"/>
      <c r="E53" s="16"/>
      <c r="F53" s="523"/>
      <c r="G53" s="16"/>
      <c r="H53" s="523"/>
      <c r="I53" s="7"/>
      <c r="J53" s="25"/>
      <c r="K53" s="7"/>
      <c r="L53" s="25"/>
      <c r="M53" s="16"/>
      <c r="N53" s="532"/>
      <c r="O53" s="16"/>
      <c r="P53" s="532"/>
      <c r="R53" s="221"/>
      <c r="T53" s="221"/>
    </row>
    <row r="54" spans="1:20">
      <c r="A54" s="12"/>
      <c r="B54" s="289"/>
      <c r="C54" s="12"/>
      <c r="D54" s="523"/>
      <c r="E54" s="16"/>
      <c r="F54" s="523"/>
      <c r="G54" s="16"/>
      <c r="H54" s="523"/>
      <c r="I54" s="7"/>
      <c r="J54" s="25"/>
      <c r="K54" s="7"/>
      <c r="L54" s="25"/>
      <c r="M54" s="16"/>
      <c r="N54" s="532"/>
      <c r="O54" s="16"/>
      <c r="P54" s="532"/>
      <c r="R54" s="221"/>
      <c r="T54" s="221"/>
    </row>
    <row r="55" spans="1:20">
      <c r="A55" s="12"/>
      <c r="B55" s="272"/>
      <c r="C55" s="12"/>
      <c r="D55" s="523"/>
      <c r="E55" s="16"/>
      <c r="F55" s="523"/>
      <c r="G55" s="16"/>
      <c r="H55" s="523"/>
      <c r="I55" s="7"/>
      <c r="J55" s="25"/>
      <c r="K55" s="7"/>
      <c r="L55" s="25"/>
      <c r="M55" s="16"/>
      <c r="N55" s="532"/>
      <c r="O55" s="16"/>
      <c r="P55" s="532"/>
      <c r="R55" s="221"/>
      <c r="T55" s="221"/>
    </row>
    <row r="56" spans="1:20">
      <c r="A56" s="12"/>
      <c r="B56" s="272"/>
      <c r="C56" s="12"/>
      <c r="D56" s="523"/>
      <c r="E56" s="16"/>
      <c r="F56" s="523"/>
      <c r="G56" s="16"/>
      <c r="H56" s="523"/>
      <c r="I56" s="7"/>
      <c r="J56" s="25"/>
      <c r="K56" s="7"/>
      <c r="L56" s="25"/>
      <c r="M56" s="16"/>
      <c r="N56" s="532"/>
      <c r="O56" s="16"/>
      <c r="P56" s="532"/>
      <c r="R56" s="221"/>
      <c r="T56" s="221"/>
    </row>
    <row r="57" spans="1:20">
      <c r="A57" s="12"/>
      <c r="B57" s="272"/>
      <c r="C57" s="12"/>
      <c r="D57" s="523"/>
      <c r="E57" s="16"/>
      <c r="F57" s="523"/>
      <c r="G57" s="16"/>
      <c r="H57" s="523"/>
      <c r="I57" s="7"/>
      <c r="J57" s="25"/>
      <c r="K57" s="7"/>
      <c r="L57" s="25"/>
      <c r="M57" s="16"/>
      <c r="N57" s="532"/>
      <c r="O57" s="16"/>
      <c r="P57" s="532"/>
      <c r="R57" s="221"/>
      <c r="T57" s="221"/>
    </row>
    <row r="58" spans="1:20">
      <c r="A58" s="12"/>
      <c r="B58" s="272"/>
      <c r="C58" s="12"/>
      <c r="D58" s="523"/>
      <c r="E58" s="16"/>
      <c r="F58" s="523"/>
      <c r="G58" s="16"/>
      <c r="H58" s="523"/>
      <c r="I58" s="7"/>
      <c r="J58" s="25"/>
      <c r="K58" s="7"/>
      <c r="L58" s="25"/>
      <c r="M58" s="16"/>
      <c r="N58" s="532"/>
      <c r="O58" s="16"/>
      <c r="P58" s="532"/>
      <c r="R58" s="221"/>
      <c r="T58" s="221"/>
    </row>
    <row r="59" spans="1:20">
      <c r="A59" s="12"/>
      <c r="B59" s="272"/>
      <c r="C59" s="12"/>
      <c r="D59" s="523"/>
      <c r="E59" s="16"/>
      <c r="F59" s="523"/>
      <c r="G59" s="16"/>
      <c r="H59" s="523"/>
      <c r="I59" s="7"/>
      <c r="J59" s="25"/>
      <c r="K59" s="7"/>
      <c r="L59" s="25"/>
      <c r="M59" s="16"/>
      <c r="N59" s="532"/>
      <c r="O59" s="16"/>
      <c r="P59" s="532"/>
      <c r="R59" s="221"/>
      <c r="T59" s="221"/>
    </row>
    <row r="60" spans="1:20">
      <c r="A60" s="12"/>
      <c r="B60" s="272"/>
      <c r="C60" s="12"/>
      <c r="D60" s="523"/>
      <c r="E60" s="16"/>
      <c r="F60" s="523"/>
      <c r="G60" s="16"/>
      <c r="H60" s="523"/>
      <c r="I60" s="7"/>
      <c r="J60" s="25"/>
      <c r="K60" s="7"/>
      <c r="L60" s="25"/>
      <c r="M60" s="16"/>
      <c r="N60" s="532"/>
      <c r="O60" s="16"/>
      <c r="P60" s="532"/>
      <c r="R60" s="221"/>
      <c r="T60" s="221"/>
    </row>
    <row r="61" spans="1:20">
      <c r="A61" s="12"/>
      <c r="B61" s="272"/>
      <c r="C61" s="12"/>
      <c r="D61" s="523"/>
      <c r="E61" s="16"/>
      <c r="F61" s="523"/>
      <c r="G61" s="16"/>
      <c r="H61" s="523"/>
      <c r="I61" s="7"/>
      <c r="J61" s="25"/>
      <c r="K61" s="7"/>
      <c r="L61" s="25"/>
      <c r="M61" s="16"/>
      <c r="N61" s="532"/>
      <c r="O61" s="16"/>
      <c r="P61" s="532"/>
      <c r="R61" s="221"/>
      <c r="T61" s="221"/>
    </row>
    <row r="62" spans="1:20">
      <c r="A62" s="12"/>
      <c r="B62" s="272"/>
      <c r="C62" s="12"/>
      <c r="D62" s="523"/>
      <c r="E62" s="16"/>
      <c r="F62" s="523"/>
      <c r="G62" s="16"/>
      <c r="H62" s="523"/>
      <c r="I62" s="7"/>
      <c r="J62" s="25"/>
      <c r="K62" s="7"/>
      <c r="L62" s="25"/>
      <c r="M62" s="16"/>
      <c r="N62" s="532"/>
      <c r="O62" s="16"/>
      <c r="P62" s="532"/>
      <c r="R62" s="221"/>
      <c r="T62" s="221"/>
    </row>
    <row r="63" spans="1:20">
      <c r="A63" s="12"/>
      <c r="B63" s="12"/>
      <c r="C63" s="12"/>
      <c r="D63" s="523"/>
      <c r="E63" s="16"/>
      <c r="F63" s="523"/>
      <c r="G63" s="16"/>
      <c r="H63" s="523"/>
      <c r="I63" s="7"/>
      <c r="J63" s="25"/>
      <c r="K63" s="7"/>
      <c r="L63" s="25"/>
      <c r="M63" s="16"/>
      <c r="N63" s="532"/>
      <c r="O63" s="16"/>
      <c r="P63" s="532"/>
      <c r="R63" s="221"/>
      <c r="T63" s="221"/>
    </row>
    <row r="64" spans="1:20">
      <c r="A64" s="12"/>
      <c r="B64" s="12"/>
      <c r="C64" s="12"/>
      <c r="D64" s="523"/>
      <c r="E64" s="16"/>
      <c r="F64" s="523"/>
      <c r="G64" s="16"/>
      <c r="H64" s="523"/>
      <c r="I64" s="7"/>
      <c r="J64" s="25"/>
      <c r="K64" s="7"/>
      <c r="L64" s="25"/>
      <c r="M64" s="16"/>
      <c r="N64" s="532"/>
      <c r="O64" s="16"/>
      <c r="P64" s="532"/>
      <c r="R64" s="221"/>
      <c r="T64" s="221"/>
    </row>
    <row r="65" spans="2:20">
      <c r="B65" s="12"/>
      <c r="D65" s="25"/>
      <c r="E65" s="7"/>
      <c r="F65" s="25"/>
      <c r="G65" s="7"/>
      <c r="H65" s="25"/>
      <c r="I65" s="7"/>
      <c r="J65" s="25"/>
      <c r="K65" s="7"/>
      <c r="L65" s="25"/>
      <c r="M65" s="16"/>
      <c r="N65" s="532"/>
      <c r="O65" s="16"/>
      <c r="P65" s="532"/>
      <c r="R65" s="221"/>
      <c r="T65" s="221"/>
    </row>
    <row r="66" spans="2:20">
      <c r="B66" s="12"/>
      <c r="D66" s="25"/>
      <c r="E66" s="7"/>
      <c r="F66" s="25"/>
      <c r="G66" s="7"/>
      <c r="H66" s="25"/>
      <c r="I66" s="7"/>
      <c r="J66" s="25"/>
      <c r="K66" s="7"/>
      <c r="L66" s="25"/>
      <c r="M66" s="16"/>
      <c r="N66" s="532"/>
      <c r="O66" s="16"/>
      <c r="P66" s="532"/>
      <c r="R66" s="221"/>
      <c r="T66" s="221"/>
    </row>
    <row r="67" spans="2:20">
      <c r="B67" s="12"/>
      <c r="D67" s="25"/>
      <c r="E67" s="7"/>
      <c r="F67" s="25"/>
      <c r="G67" s="7"/>
      <c r="H67" s="25"/>
      <c r="I67" s="7"/>
      <c r="J67" s="25"/>
      <c r="K67" s="7"/>
      <c r="L67" s="25"/>
      <c r="M67" s="16"/>
      <c r="N67" s="532"/>
      <c r="O67" s="16"/>
      <c r="P67" s="532"/>
      <c r="R67" s="221"/>
      <c r="T67" s="221"/>
    </row>
    <row r="68" spans="2:20">
      <c r="B68" s="289"/>
      <c r="D68" s="25"/>
      <c r="E68" s="7"/>
      <c r="F68" s="25"/>
      <c r="G68" s="7"/>
      <c r="H68" s="25"/>
      <c r="I68" s="7"/>
      <c r="J68" s="25"/>
      <c r="K68" s="7"/>
      <c r="L68" s="25"/>
      <c r="M68" s="16"/>
      <c r="N68" s="532"/>
      <c r="O68" s="16"/>
      <c r="P68" s="532"/>
      <c r="R68" s="221"/>
      <c r="T68" s="221"/>
    </row>
    <row r="69" spans="2:20">
      <c r="B69" s="272"/>
      <c r="D69" s="25"/>
      <c r="E69" s="7"/>
      <c r="F69" s="25"/>
      <c r="G69" s="7"/>
      <c r="H69" s="25"/>
      <c r="I69" s="7"/>
      <c r="J69" s="25"/>
      <c r="K69" s="7"/>
      <c r="L69" s="25"/>
      <c r="M69" s="16"/>
      <c r="N69" s="532"/>
      <c r="O69" s="16"/>
      <c r="P69" s="532"/>
      <c r="R69" s="221"/>
      <c r="T69" s="221"/>
    </row>
    <row r="70" spans="2:20">
      <c r="B70" s="38"/>
      <c r="D70" s="25"/>
      <c r="E70" s="7"/>
      <c r="F70" s="25"/>
      <c r="G70" s="7"/>
      <c r="H70" s="25"/>
      <c r="I70" s="7"/>
      <c r="J70" s="25"/>
      <c r="K70" s="7"/>
      <c r="L70" s="25"/>
      <c r="M70" s="16"/>
      <c r="N70" s="532"/>
      <c r="O70" s="16"/>
      <c r="P70" s="532"/>
      <c r="R70" s="221"/>
      <c r="T70" s="221"/>
    </row>
    <row r="71" spans="2:20">
      <c r="D71" s="7"/>
      <c r="E71" s="7"/>
      <c r="F71" s="7"/>
      <c r="G71" s="7"/>
      <c r="H71" s="7"/>
      <c r="I71" s="7"/>
      <c r="J71" s="7"/>
      <c r="K71" s="7"/>
      <c r="L71" s="7"/>
      <c r="M71" s="16"/>
      <c r="N71" s="16"/>
      <c r="O71" s="16"/>
      <c r="P71" s="16"/>
    </row>
    <row r="72" spans="2:20">
      <c r="D72" s="7"/>
      <c r="E72" s="7"/>
      <c r="F72" s="7"/>
      <c r="G72" s="7"/>
      <c r="H72" s="7"/>
      <c r="I72" s="7"/>
      <c r="J72" s="7"/>
      <c r="K72" s="7"/>
      <c r="L72" s="7"/>
    </row>
  </sheetData>
  <phoneticPr fontId="0" type="noConversion"/>
  <pageMargins left="0.75" right="0.75" top="1" bottom="1" header="0.5" footer="0.5"/>
  <headerFooter alignWithMargins="0"/>
</worksheet>
</file>

<file path=xl/worksheets/sheet14.xml><?xml version="1.0" encoding="utf-8"?>
<worksheet xmlns="http://schemas.openxmlformats.org/spreadsheetml/2006/main" xmlns:r="http://schemas.openxmlformats.org/officeDocument/2006/relationships">
  <sheetPr codeName="Sheet8"/>
  <dimension ref="A1:C42"/>
  <sheetViews>
    <sheetView workbookViewId="0">
      <selection activeCell="B10" sqref="B10"/>
    </sheetView>
  </sheetViews>
  <sheetFormatPr defaultRowHeight="12.75"/>
  <cols>
    <col min="1" max="1" width="22.85546875" customWidth="1"/>
    <col min="2" max="2" width="111.5703125" customWidth="1"/>
    <col min="4" max="4" width="17.7109375" customWidth="1"/>
  </cols>
  <sheetData>
    <row r="1" spans="1:3">
      <c r="A1" t="s">
        <v>291</v>
      </c>
      <c r="B1" t="s">
        <v>378</v>
      </c>
    </row>
    <row r="3" spans="1:3">
      <c r="A3" s="511" t="s">
        <v>931</v>
      </c>
      <c r="B3" s="510"/>
    </row>
    <row r="5" spans="1:3">
      <c r="A5" s="137" t="s">
        <v>286</v>
      </c>
      <c r="B5" s="5" t="s">
        <v>292</v>
      </c>
      <c r="C5" s="5" t="s">
        <v>217</v>
      </c>
    </row>
    <row r="6" spans="1:3">
      <c r="A6" s="138" t="s">
        <v>290</v>
      </c>
      <c r="B6" t="s">
        <v>293</v>
      </c>
      <c r="C6" s="2">
        <f>ROW()-5</f>
        <v>1</v>
      </c>
    </row>
    <row r="7" spans="1:3">
      <c r="A7" s="12" t="s">
        <v>287</v>
      </c>
      <c r="B7" t="s">
        <v>294</v>
      </c>
      <c r="C7" s="2">
        <f t="shared" ref="C7:C42" si="0">ROW()-5</f>
        <v>2</v>
      </c>
    </row>
    <row r="8" spans="1:3">
      <c r="A8" s="12" t="s">
        <v>285</v>
      </c>
      <c r="B8" t="s">
        <v>295</v>
      </c>
      <c r="C8" s="2">
        <f t="shared" si="0"/>
        <v>3</v>
      </c>
    </row>
    <row r="9" spans="1:3">
      <c r="A9" s="12" t="s">
        <v>296</v>
      </c>
      <c r="B9" t="s">
        <v>297</v>
      </c>
      <c r="C9" s="2">
        <f t="shared" si="0"/>
        <v>4</v>
      </c>
    </row>
    <row r="10" spans="1:3">
      <c r="A10" s="12" t="s">
        <v>298</v>
      </c>
      <c r="B10" t="s">
        <v>300</v>
      </c>
      <c r="C10" s="2">
        <f t="shared" si="0"/>
        <v>5</v>
      </c>
    </row>
    <row r="11" spans="1:3">
      <c r="A11" s="12" t="s">
        <v>299</v>
      </c>
      <c r="B11" t="s">
        <v>301</v>
      </c>
      <c r="C11" s="2">
        <f t="shared" si="0"/>
        <v>6</v>
      </c>
    </row>
    <row r="12" spans="1:3">
      <c r="A12" s="12" t="s">
        <v>303</v>
      </c>
      <c r="B12" t="s">
        <v>302</v>
      </c>
      <c r="C12" s="2">
        <f t="shared" si="0"/>
        <v>7</v>
      </c>
    </row>
    <row r="13" spans="1:3">
      <c r="A13" s="12" t="s">
        <v>304</v>
      </c>
      <c r="B13" t="s">
        <v>305</v>
      </c>
      <c r="C13" s="2">
        <f t="shared" si="0"/>
        <v>8</v>
      </c>
    </row>
    <row r="14" spans="1:3">
      <c r="A14" s="12" t="s">
        <v>329</v>
      </c>
      <c r="B14" t="s">
        <v>331</v>
      </c>
      <c r="C14" s="2">
        <f t="shared" si="0"/>
        <v>9</v>
      </c>
    </row>
    <row r="15" spans="1:3">
      <c r="A15" s="12" t="s">
        <v>330</v>
      </c>
      <c r="B15" t="s">
        <v>332</v>
      </c>
      <c r="C15" s="2">
        <f t="shared" si="0"/>
        <v>10</v>
      </c>
    </row>
    <row r="16" spans="1:3">
      <c r="A16" s="12" t="s">
        <v>367</v>
      </c>
      <c r="B16" t="s">
        <v>368</v>
      </c>
      <c r="C16" s="2">
        <f t="shared" si="0"/>
        <v>11</v>
      </c>
    </row>
    <row r="17" spans="1:3">
      <c r="A17" s="12" t="s">
        <v>369</v>
      </c>
      <c r="B17" t="s">
        <v>370</v>
      </c>
      <c r="C17" s="2">
        <f t="shared" si="0"/>
        <v>12</v>
      </c>
    </row>
    <row r="18" spans="1:3">
      <c r="A18" s="12" t="s">
        <v>371</v>
      </c>
      <c r="B18" t="s">
        <v>212</v>
      </c>
      <c r="C18" s="2">
        <f t="shared" si="0"/>
        <v>13</v>
      </c>
    </row>
    <row r="19" spans="1:3">
      <c r="A19" s="12" t="s">
        <v>372</v>
      </c>
      <c r="B19" t="s">
        <v>213</v>
      </c>
      <c r="C19" s="2">
        <f t="shared" si="0"/>
        <v>14</v>
      </c>
    </row>
    <row r="20" spans="1:3">
      <c r="A20" s="12" t="s">
        <v>399</v>
      </c>
      <c r="B20" t="s">
        <v>23</v>
      </c>
      <c r="C20" s="2">
        <f t="shared" si="0"/>
        <v>15</v>
      </c>
    </row>
    <row r="21" spans="1:3">
      <c r="A21" s="12" t="s">
        <v>400</v>
      </c>
      <c r="B21" t="s">
        <v>25</v>
      </c>
      <c r="C21" s="2">
        <f t="shared" si="0"/>
        <v>16</v>
      </c>
    </row>
    <row r="22" spans="1:3">
      <c r="A22" s="12" t="s">
        <v>401</v>
      </c>
      <c r="B22" t="s">
        <v>24</v>
      </c>
      <c r="C22" s="2">
        <f t="shared" si="0"/>
        <v>17</v>
      </c>
    </row>
    <row r="23" spans="1:3">
      <c r="A23" s="12" t="s">
        <v>397</v>
      </c>
      <c r="B23" t="s">
        <v>402</v>
      </c>
      <c r="C23" s="2">
        <f t="shared" si="0"/>
        <v>18</v>
      </c>
    </row>
    <row r="24" spans="1:3">
      <c r="A24" s="12" t="s">
        <v>398</v>
      </c>
      <c r="B24" t="s">
        <v>403</v>
      </c>
      <c r="C24" s="2">
        <f t="shared" si="0"/>
        <v>19</v>
      </c>
    </row>
    <row r="25" spans="1:3">
      <c r="A25" s="12" t="s">
        <v>405</v>
      </c>
      <c r="B25" t="s">
        <v>404</v>
      </c>
      <c r="C25" s="2">
        <f t="shared" si="0"/>
        <v>20</v>
      </c>
    </row>
    <row r="26" spans="1:3">
      <c r="A26" s="12" t="s">
        <v>407</v>
      </c>
      <c r="B26" t="s">
        <v>406</v>
      </c>
      <c r="C26" s="2">
        <f t="shared" si="0"/>
        <v>21</v>
      </c>
    </row>
    <row r="27" spans="1:3">
      <c r="A27" s="12" t="s">
        <v>411</v>
      </c>
      <c r="B27" t="s">
        <v>0</v>
      </c>
      <c r="C27" s="2">
        <f t="shared" si="0"/>
        <v>22</v>
      </c>
    </row>
    <row r="28" spans="1:3">
      <c r="A28" s="12" t="s">
        <v>3</v>
      </c>
      <c r="B28" t="s">
        <v>4</v>
      </c>
      <c r="C28" s="2">
        <f t="shared" si="0"/>
        <v>23</v>
      </c>
    </row>
    <row r="29" spans="1:3">
      <c r="A29" s="12" t="s">
        <v>352</v>
      </c>
      <c r="B29" t="s">
        <v>22</v>
      </c>
      <c r="C29" s="2">
        <f t="shared" si="0"/>
        <v>24</v>
      </c>
    </row>
    <row r="30" spans="1:3">
      <c r="A30" s="12" t="s">
        <v>39</v>
      </c>
      <c r="B30" t="s">
        <v>40</v>
      </c>
      <c r="C30" s="2">
        <f t="shared" si="0"/>
        <v>25</v>
      </c>
    </row>
    <row r="31" spans="1:3">
      <c r="A31" s="16" t="s">
        <v>41</v>
      </c>
      <c r="B31" t="s">
        <v>42</v>
      </c>
      <c r="C31" s="2">
        <f t="shared" si="0"/>
        <v>26</v>
      </c>
    </row>
    <row r="32" spans="1:3">
      <c r="A32" s="12" t="s">
        <v>306</v>
      </c>
      <c r="B32" s="7" t="s">
        <v>126</v>
      </c>
      <c r="C32" s="2">
        <f t="shared" si="0"/>
        <v>27</v>
      </c>
    </row>
    <row r="33" spans="1:3">
      <c r="A33" s="12" t="s">
        <v>125</v>
      </c>
      <c r="B33" s="7" t="s">
        <v>127</v>
      </c>
      <c r="C33" s="2">
        <f t="shared" si="0"/>
        <v>28</v>
      </c>
    </row>
    <row r="34" spans="1:3">
      <c r="A34" s="16" t="s">
        <v>136</v>
      </c>
      <c r="B34" t="s">
        <v>139</v>
      </c>
      <c r="C34" s="2">
        <f t="shared" si="0"/>
        <v>29</v>
      </c>
    </row>
    <row r="35" spans="1:3">
      <c r="A35" s="16" t="s">
        <v>137</v>
      </c>
      <c r="B35" t="s">
        <v>140</v>
      </c>
      <c r="C35" s="2">
        <f t="shared" si="0"/>
        <v>30</v>
      </c>
    </row>
    <row r="36" spans="1:3">
      <c r="A36" s="16" t="s">
        <v>138</v>
      </c>
      <c r="B36" t="s">
        <v>141</v>
      </c>
      <c r="C36" s="2">
        <f t="shared" si="0"/>
        <v>31</v>
      </c>
    </row>
    <row r="37" spans="1:3">
      <c r="A37" s="16" t="s">
        <v>142</v>
      </c>
      <c r="B37" t="s">
        <v>143</v>
      </c>
      <c r="C37" s="2">
        <f t="shared" si="0"/>
        <v>32</v>
      </c>
    </row>
    <row r="38" spans="1:3">
      <c r="A38" s="16" t="s">
        <v>144</v>
      </c>
      <c r="B38" t="s">
        <v>145</v>
      </c>
      <c r="C38" s="2">
        <f t="shared" si="0"/>
        <v>33</v>
      </c>
    </row>
    <row r="39" spans="1:3">
      <c r="A39" s="16" t="s">
        <v>146</v>
      </c>
      <c r="B39" t="s">
        <v>147</v>
      </c>
      <c r="C39" s="2">
        <f t="shared" si="0"/>
        <v>34</v>
      </c>
    </row>
    <row r="40" spans="1:3">
      <c r="A40" s="16" t="s">
        <v>215</v>
      </c>
      <c r="B40" t="s">
        <v>219</v>
      </c>
      <c r="C40" s="2">
        <f t="shared" si="0"/>
        <v>35</v>
      </c>
    </row>
    <row r="41" spans="1:3">
      <c r="A41" s="16" t="s">
        <v>216</v>
      </c>
      <c r="B41" t="s">
        <v>220</v>
      </c>
      <c r="C41" s="2">
        <f t="shared" si="0"/>
        <v>36</v>
      </c>
    </row>
    <row r="42" spans="1:3">
      <c r="A42" s="16" t="s">
        <v>236</v>
      </c>
      <c r="B42" t="s">
        <v>239</v>
      </c>
      <c r="C42" s="2">
        <f t="shared" si="0"/>
        <v>37</v>
      </c>
    </row>
  </sheetData>
  <phoneticPr fontId="0" type="noConversion"/>
  <pageMargins left="0.75" right="0.75" top="1" bottom="1" header="0.5" footer="0.5"/>
  <pageSetup orientation="portrait" r:id="rId1"/>
  <headerFooter alignWithMargins="0"/>
  <legacyDrawing r:id="rId2"/>
</worksheet>
</file>

<file path=xl/worksheets/sheet15.xml><?xml version="1.0" encoding="utf-8"?>
<worksheet xmlns="http://schemas.openxmlformats.org/spreadsheetml/2006/main" xmlns:r="http://schemas.openxmlformats.org/officeDocument/2006/relationships">
  <sheetPr codeName="Sheet9">
    <pageSetUpPr fitToPage="1"/>
  </sheetPr>
  <dimension ref="A2:Q99"/>
  <sheetViews>
    <sheetView zoomScale="75" workbookViewId="0">
      <selection activeCell="I51" sqref="I51"/>
    </sheetView>
  </sheetViews>
  <sheetFormatPr defaultRowHeight="12.75"/>
  <cols>
    <col min="2" max="2" width="20.28515625" customWidth="1"/>
    <col min="3" max="3" width="19.42578125" customWidth="1"/>
    <col min="4" max="4" width="16.5703125" customWidth="1"/>
    <col min="5" max="5" width="24" customWidth="1"/>
    <col min="6" max="6" width="24.28515625" customWidth="1"/>
    <col min="7" max="7" width="25.140625" customWidth="1"/>
    <col min="8" max="8" width="13.7109375" customWidth="1"/>
    <col min="9" max="9" width="19.28515625" customWidth="1"/>
    <col min="10" max="10" width="21.28515625" customWidth="1"/>
    <col min="11" max="11" width="19" customWidth="1"/>
    <col min="12" max="12" width="17.28515625" customWidth="1"/>
    <col min="13" max="13" width="10.7109375" customWidth="1"/>
    <col min="14" max="14" width="16.140625" customWidth="1"/>
    <col min="16" max="16" width="19.7109375" customWidth="1"/>
  </cols>
  <sheetData>
    <row r="2" spans="2:9">
      <c r="B2" s="28" t="s">
        <v>715</v>
      </c>
      <c r="I2" s="28" t="s">
        <v>714</v>
      </c>
    </row>
    <row r="3" spans="2:9" ht="25.5">
      <c r="B3" s="346" t="s">
        <v>78</v>
      </c>
      <c r="C3" s="346" t="s">
        <v>758</v>
      </c>
      <c r="D3" s="346" t="s">
        <v>716</v>
      </c>
      <c r="E3" s="346" t="s">
        <v>444</v>
      </c>
      <c r="F3" s="287" t="s">
        <v>759</v>
      </c>
      <c r="G3" s="287" t="s">
        <v>444</v>
      </c>
      <c r="H3" s="195" t="s">
        <v>80</v>
      </c>
    </row>
    <row r="4" spans="2:9">
      <c r="B4" s="186" t="s">
        <v>256</v>
      </c>
      <c r="C4" s="187" t="s">
        <v>441</v>
      </c>
      <c r="D4" s="288" t="s">
        <v>274</v>
      </c>
      <c r="E4" s="344" t="s">
        <v>751</v>
      </c>
      <c r="F4" s="186" t="s">
        <v>441</v>
      </c>
      <c r="G4" s="284" t="s">
        <v>82</v>
      </c>
      <c r="H4" s="284" t="s">
        <v>83</v>
      </c>
    </row>
    <row r="5" spans="2:9">
      <c r="B5" s="36" t="s">
        <v>256</v>
      </c>
      <c r="C5" s="12" t="s">
        <v>442</v>
      </c>
      <c r="D5" s="289" t="s">
        <v>275</v>
      </c>
      <c r="E5" s="345" t="s">
        <v>753</v>
      </c>
      <c r="F5" s="36" t="s">
        <v>442</v>
      </c>
      <c r="G5" s="285" t="s">
        <v>84</v>
      </c>
      <c r="H5" s="285" t="s">
        <v>83</v>
      </c>
    </row>
    <row r="6" spans="2:9">
      <c r="B6" s="36" t="s">
        <v>256</v>
      </c>
      <c r="C6" s="12" t="s">
        <v>443</v>
      </c>
      <c r="D6" s="272" t="s">
        <v>276</v>
      </c>
      <c r="E6" s="345" t="s">
        <v>752</v>
      </c>
      <c r="F6" s="36" t="s">
        <v>443</v>
      </c>
      <c r="G6" s="285" t="s">
        <v>85</v>
      </c>
      <c r="H6" s="285" t="s">
        <v>83</v>
      </c>
    </row>
    <row r="7" spans="2:9">
      <c r="B7" s="36" t="s">
        <v>261</v>
      </c>
      <c r="C7" s="289" t="s">
        <v>717</v>
      </c>
      <c r="D7" s="272" t="s">
        <v>721</v>
      </c>
      <c r="E7" s="345" t="s">
        <v>754</v>
      </c>
      <c r="F7" s="36" t="s">
        <v>257</v>
      </c>
      <c r="G7" s="285" t="s">
        <v>86</v>
      </c>
      <c r="H7" s="285">
        <v>1</v>
      </c>
    </row>
    <row r="8" spans="2:9">
      <c r="B8" s="36" t="s">
        <v>261</v>
      </c>
      <c r="C8" s="289" t="s">
        <v>718</v>
      </c>
      <c r="D8" s="272" t="s">
        <v>722</v>
      </c>
      <c r="E8" s="345" t="s">
        <v>755</v>
      </c>
      <c r="F8" s="36" t="s">
        <v>258</v>
      </c>
      <c r="G8" s="285" t="s">
        <v>88</v>
      </c>
      <c r="H8" s="285">
        <v>1</v>
      </c>
    </row>
    <row r="9" spans="2:9">
      <c r="B9" s="36" t="s">
        <v>261</v>
      </c>
      <c r="C9" s="289" t="s">
        <v>719</v>
      </c>
      <c r="D9" s="272" t="s">
        <v>723</v>
      </c>
      <c r="E9" s="345" t="s">
        <v>756</v>
      </c>
      <c r="F9" s="36" t="s">
        <v>259</v>
      </c>
      <c r="G9" s="285" t="s">
        <v>85</v>
      </c>
      <c r="H9" s="285">
        <v>1</v>
      </c>
    </row>
    <row r="10" spans="2:9">
      <c r="B10" s="36" t="s">
        <v>261</v>
      </c>
      <c r="C10" s="289" t="s">
        <v>720</v>
      </c>
      <c r="D10" s="272" t="s">
        <v>724</v>
      </c>
      <c r="E10" s="345" t="s">
        <v>757</v>
      </c>
      <c r="F10" s="36" t="s">
        <v>260</v>
      </c>
      <c r="G10" s="285" t="s">
        <v>86</v>
      </c>
      <c r="H10" s="285" t="s">
        <v>90</v>
      </c>
    </row>
    <row r="11" spans="2:9">
      <c r="B11" s="36" t="s">
        <v>262</v>
      </c>
      <c r="C11" s="289" t="s">
        <v>725</v>
      </c>
      <c r="D11" s="272" t="s">
        <v>725</v>
      </c>
      <c r="E11" s="190" t="s">
        <v>83</v>
      </c>
      <c r="F11" s="36" t="s">
        <v>263</v>
      </c>
      <c r="G11" s="285" t="s">
        <v>83</v>
      </c>
      <c r="H11" s="285" t="s">
        <v>83</v>
      </c>
    </row>
    <row r="12" spans="2:9">
      <c r="B12" s="36" t="s">
        <v>262</v>
      </c>
      <c r="C12" s="12" t="s">
        <v>273</v>
      </c>
      <c r="D12" s="272" t="s">
        <v>273</v>
      </c>
      <c r="E12" s="190" t="s">
        <v>83</v>
      </c>
      <c r="F12" s="36" t="s">
        <v>273</v>
      </c>
      <c r="G12" s="285" t="s">
        <v>83</v>
      </c>
      <c r="H12" s="285" t="s">
        <v>83</v>
      </c>
    </row>
    <row r="13" spans="2:9">
      <c r="B13" s="36" t="s">
        <v>264</v>
      </c>
      <c r="C13" s="12" t="s">
        <v>264</v>
      </c>
      <c r="D13" s="272" t="s">
        <v>264</v>
      </c>
      <c r="E13" s="190" t="s">
        <v>83</v>
      </c>
      <c r="F13" s="36" t="s">
        <v>264</v>
      </c>
      <c r="G13" s="285" t="s">
        <v>83</v>
      </c>
      <c r="H13" s="285" t="s">
        <v>83</v>
      </c>
    </row>
    <row r="14" spans="2:9">
      <c r="B14" s="36" t="s">
        <v>449</v>
      </c>
      <c r="C14" s="12" t="s">
        <v>278</v>
      </c>
      <c r="D14" s="12" t="s">
        <v>278</v>
      </c>
      <c r="E14" s="190" t="s">
        <v>92</v>
      </c>
      <c r="F14" s="36" t="s">
        <v>278</v>
      </c>
      <c r="G14" s="285" t="s">
        <v>92</v>
      </c>
      <c r="H14" s="285" t="s">
        <v>83</v>
      </c>
    </row>
    <row r="15" spans="2:9">
      <c r="B15" s="36" t="s">
        <v>449</v>
      </c>
      <c r="C15" s="12" t="s">
        <v>446</v>
      </c>
      <c r="D15" s="12" t="s">
        <v>446</v>
      </c>
      <c r="E15" s="190" t="s">
        <v>445</v>
      </c>
      <c r="F15" s="36" t="s">
        <v>446</v>
      </c>
      <c r="G15" s="285" t="s">
        <v>445</v>
      </c>
      <c r="H15" s="285" t="s">
        <v>83</v>
      </c>
    </row>
    <row r="16" spans="2:9">
      <c r="B16" s="36" t="s">
        <v>266</v>
      </c>
      <c r="C16" s="12" t="s">
        <v>266</v>
      </c>
      <c r="D16" s="12" t="s">
        <v>266</v>
      </c>
      <c r="E16" s="190" t="s">
        <v>83</v>
      </c>
      <c r="F16" s="36" t="s">
        <v>266</v>
      </c>
      <c r="G16" s="285" t="s">
        <v>83</v>
      </c>
      <c r="H16" s="285" t="s">
        <v>83</v>
      </c>
    </row>
    <row r="17" spans="2:14">
      <c r="B17" s="36" t="s">
        <v>267</v>
      </c>
      <c r="C17" s="12" t="s">
        <v>267</v>
      </c>
      <c r="D17" s="12" t="s">
        <v>267</v>
      </c>
      <c r="E17" s="190" t="s">
        <v>83</v>
      </c>
      <c r="F17" s="36" t="s">
        <v>267</v>
      </c>
      <c r="G17" s="285" t="s">
        <v>83</v>
      </c>
      <c r="H17" s="285" t="s">
        <v>83</v>
      </c>
    </row>
    <row r="18" spans="2:14">
      <c r="B18" s="36" t="s">
        <v>94</v>
      </c>
      <c r="C18" s="12" t="s">
        <v>268</v>
      </c>
      <c r="D18" s="12" t="s">
        <v>268</v>
      </c>
      <c r="E18" s="190" t="s">
        <v>83</v>
      </c>
      <c r="F18" s="36" t="s">
        <v>268</v>
      </c>
      <c r="G18" s="285" t="s">
        <v>83</v>
      </c>
      <c r="H18" s="285" t="s">
        <v>83</v>
      </c>
    </row>
    <row r="19" spans="2:14">
      <c r="B19" s="36" t="s">
        <v>94</v>
      </c>
      <c r="C19" s="289" t="s">
        <v>726</v>
      </c>
      <c r="D19" s="289" t="s">
        <v>726</v>
      </c>
      <c r="E19" s="190" t="s">
        <v>83</v>
      </c>
      <c r="F19" s="36" t="s">
        <v>269</v>
      </c>
      <c r="G19" s="285" t="s">
        <v>83</v>
      </c>
      <c r="H19" s="285" t="s">
        <v>83</v>
      </c>
    </row>
    <row r="20" spans="2:14">
      <c r="B20" s="36" t="s">
        <v>311</v>
      </c>
      <c r="C20" s="272" t="s">
        <v>311</v>
      </c>
      <c r="D20" s="272" t="s">
        <v>311</v>
      </c>
      <c r="E20" s="190" t="s">
        <v>83</v>
      </c>
      <c r="F20" s="36" t="s">
        <v>311</v>
      </c>
      <c r="G20" s="285" t="s">
        <v>83</v>
      </c>
      <c r="H20" s="285" t="s">
        <v>83</v>
      </c>
    </row>
    <row r="21" spans="2:14">
      <c r="B21" s="191" t="s">
        <v>272</v>
      </c>
      <c r="C21" s="38" t="s">
        <v>272</v>
      </c>
      <c r="D21" s="38" t="s">
        <v>272</v>
      </c>
      <c r="E21" s="192" t="s">
        <v>83</v>
      </c>
      <c r="F21" s="191" t="s">
        <v>272</v>
      </c>
      <c r="G21" s="286" t="s">
        <v>83</v>
      </c>
      <c r="H21" s="286" t="s">
        <v>83</v>
      </c>
    </row>
    <row r="24" spans="2:14">
      <c r="B24" s="15" t="s">
        <v>727</v>
      </c>
      <c r="C24" s="290" t="s">
        <v>256</v>
      </c>
      <c r="D24" s="12"/>
      <c r="E24" s="343" t="s">
        <v>750</v>
      </c>
      <c r="F24" s="12"/>
      <c r="G24" s="12"/>
      <c r="H24" s="12"/>
      <c r="I24" s="12"/>
      <c r="J24" s="12"/>
      <c r="K24" s="12"/>
      <c r="L24" s="12"/>
      <c r="M24" s="12"/>
    </row>
    <row r="25" spans="2:14">
      <c r="B25" s="15" t="s">
        <v>728</v>
      </c>
      <c r="C25" s="41" t="s">
        <v>729</v>
      </c>
      <c r="D25" s="12"/>
      <c r="E25" s="12"/>
      <c r="F25" s="12"/>
      <c r="G25" s="12"/>
      <c r="H25" s="12"/>
      <c r="I25" s="12"/>
      <c r="J25" s="12"/>
      <c r="K25" s="12"/>
      <c r="L25" s="12"/>
      <c r="M25" s="12"/>
    </row>
    <row r="26" spans="2:14">
      <c r="B26" s="15"/>
      <c r="C26" s="41"/>
      <c r="D26" s="12"/>
      <c r="E26" s="12"/>
      <c r="F26" s="12"/>
      <c r="G26" s="12"/>
      <c r="H26" s="12"/>
      <c r="I26" s="12"/>
      <c r="J26" s="12"/>
      <c r="K26" s="12"/>
      <c r="L26" s="12"/>
      <c r="M26" s="12"/>
    </row>
    <row r="27" spans="2:14">
      <c r="B27" s="15"/>
      <c r="C27" s="41" t="s">
        <v>730</v>
      </c>
      <c r="D27" s="12"/>
      <c r="E27" s="12"/>
      <c r="F27" s="12"/>
      <c r="G27" s="12"/>
      <c r="H27" s="12"/>
      <c r="I27" s="12"/>
      <c r="J27" s="12"/>
      <c r="K27" s="12"/>
      <c r="L27" s="12"/>
      <c r="M27" s="12"/>
    </row>
    <row r="28" spans="2:14" ht="38.25">
      <c r="B28" s="144" t="s">
        <v>731</v>
      </c>
      <c r="C28" s="144" t="s">
        <v>732</v>
      </c>
      <c r="D28" s="291" t="s">
        <v>733</v>
      </c>
      <c r="E28" s="144" t="s">
        <v>734</v>
      </c>
      <c r="F28" s="144" t="s">
        <v>735</v>
      </c>
      <c r="G28" s="291" t="s">
        <v>736</v>
      </c>
      <c r="H28" s="291"/>
      <c r="I28" s="291" t="s">
        <v>737</v>
      </c>
      <c r="J28" s="291"/>
      <c r="K28" s="144" t="s">
        <v>738</v>
      </c>
      <c r="L28" s="291" t="s">
        <v>739</v>
      </c>
      <c r="M28" s="144" t="s">
        <v>740</v>
      </c>
      <c r="N28" s="292" t="s">
        <v>741</v>
      </c>
    </row>
    <row r="29" spans="2:14">
      <c r="B29" s="293" t="s">
        <v>742</v>
      </c>
      <c r="C29" s="294">
        <v>32</v>
      </c>
      <c r="D29" s="295">
        <v>95458311.526895136</v>
      </c>
      <c r="E29" s="294">
        <v>0</v>
      </c>
      <c r="F29" s="296">
        <v>1.44600515748125</v>
      </c>
      <c r="G29" s="296">
        <v>1.4196043411312098</v>
      </c>
      <c r="H29" s="296"/>
      <c r="I29" s="297">
        <v>2605.1531889816397</v>
      </c>
      <c r="J29" s="298">
        <f>I29</f>
        <v>2605.1531889816397</v>
      </c>
      <c r="K29" s="295">
        <v>55.871005424767731</v>
      </c>
      <c r="L29" s="297">
        <v>62.641582479308482</v>
      </c>
      <c r="M29" s="296">
        <v>51.078125</v>
      </c>
      <c r="N29" s="299">
        <v>15.414112631735692</v>
      </c>
    </row>
    <row r="30" spans="2:14">
      <c r="B30" s="300" t="s">
        <v>743</v>
      </c>
      <c r="C30" s="301">
        <v>21</v>
      </c>
      <c r="D30" s="302">
        <v>179770297.47310495</v>
      </c>
      <c r="E30" s="301">
        <v>1</v>
      </c>
      <c r="F30" s="303">
        <v>1.1349086639428572</v>
      </c>
      <c r="G30" s="303">
        <v>1.1352814227841366</v>
      </c>
      <c r="H30" s="591">
        <f>SUMPRODUCT(G30:G31,C30:C31)/SUM(C30:C31)</f>
        <v>1.1271197868627141</v>
      </c>
      <c r="I30" s="304">
        <v>2621.0311132130655</v>
      </c>
      <c r="J30" s="593">
        <f>SUMPRODUCT(I30:I31,D30:D31)/SUM(D30:D31)</f>
        <v>2810.5319958026707</v>
      </c>
      <c r="K30" s="302">
        <v>54.065498637753784</v>
      </c>
      <c r="L30" s="304">
        <v>52.128877602508318</v>
      </c>
      <c r="M30" s="303">
        <v>53.38095238095238</v>
      </c>
      <c r="N30" s="305">
        <v>12.555992472807018</v>
      </c>
    </row>
    <row r="31" spans="2:14">
      <c r="B31" s="300" t="s">
        <v>744</v>
      </c>
      <c r="C31" s="301">
        <v>29</v>
      </c>
      <c r="D31" s="302">
        <v>136471707.75979474</v>
      </c>
      <c r="E31" s="301">
        <v>4</v>
      </c>
      <c r="F31" s="303">
        <v>1.152219445848276</v>
      </c>
      <c r="G31" s="303">
        <v>1.1212096367127184</v>
      </c>
      <c r="H31" s="592"/>
      <c r="I31" s="304">
        <v>3060.1561163897027</v>
      </c>
      <c r="J31" s="594"/>
      <c r="K31" s="302">
        <v>37.18170782263401</v>
      </c>
      <c r="L31" s="304">
        <v>34.735507973306092</v>
      </c>
      <c r="M31" s="303">
        <v>59.137931034482762</v>
      </c>
      <c r="N31" s="305">
        <v>16.763935531313802</v>
      </c>
    </row>
    <row r="32" spans="2:14">
      <c r="B32" s="306" t="s">
        <v>745</v>
      </c>
      <c r="C32" s="307">
        <v>10</v>
      </c>
      <c r="D32" s="308">
        <v>121007363.24020527</v>
      </c>
      <c r="E32" s="307">
        <v>13</v>
      </c>
      <c r="F32" s="309">
        <v>0.82888965290000005</v>
      </c>
      <c r="G32" s="309">
        <v>0.8372967994754239</v>
      </c>
      <c r="H32" s="595">
        <f>SUMPRODUCT(G32:G33,C32:C33)/SUM(C32:C33)</f>
        <v>0.86082195143942553</v>
      </c>
      <c r="I32" s="310">
        <v>3222.7884337083865</v>
      </c>
      <c r="J32" s="597">
        <f>SUMPRODUCT(I32:I33,D32:D33)/SUM(D32:D33)</f>
        <v>3295.5283728075524</v>
      </c>
      <c r="K32" s="308">
        <v>33.806146572104019</v>
      </c>
      <c r="L32" s="310">
        <v>24.223397014792155</v>
      </c>
      <c r="M32" s="309">
        <v>61.1</v>
      </c>
      <c r="N32" s="305">
        <v>22.992427101465715</v>
      </c>
    </row>
    <row r="33" spans="2:14">
      <c r="B33" s="306" t="s">
        <v>746</v>
      </c>
      <c r="C33" s="307">
        <v>24</v>
      </c>
      <c r="D33" s="308">
        <v>201650445.99999997</v>
      </c>
      <c r="E33" s="307">
        <v>35</v>
      </c>
      <c r="F33" s="309">
        <v>0.88098196757083302</v>
      </c>
      <c r="G33" s="309">
        <v>0.87062409809109287</v>
      </c>
      <c r="H33" s="596"/>
      <c r="I33" s="310">
        <v>3339.1785030564247</v>
      </c>
      <c r="J33" s="598"/>
      <c r="K33" s="308">
        <v>49.790143766954543</v>
      </c>
      <c r="L33" s="310">
        <v>55.115989937160393</v>
      </c>
      <c r="M33" s="309">
        <v>61.958333333333336</v>
      </c>
      <c r="N33" s="305">
        <v>14.574986322602543</v>
      </c>
    </row>
    <row r="34" spans="2:14">
      <c r="B34" s="311" t="s">
        <v>747</v>
      </c>
      <c r="C34" s="312">
        <v>116</v>
      </c>
      <c r="D34" s="313">
        <v>734358126.00000024</v>
      </c>
      <c r="E34" s="312">
        <v>53</v>
      </c>
      <c r="F34" s="314">
        <v>1.1461385746767239</v>
      </c>
      <c r="G34" s="314">
        <v>1.0478499451391019</v>
      </c>
      <c r="H34" s="314"/>
      <c r="I34" s="313">
        <v>2996.9298166001049</v>
      </c>
      <c r="J34" s="313"/>
      <c r="K34" s="313">
        <v>47.761973122568946</v>
      </c>
      <c r="L34" s="315">
        <v>46.485045602193175</v>
      </c>
      <c r="M34" s="314">
        <v>56.625</v>
      </c>
      <c r="N34" s="15"/>
    </row>
    <row r="37" spans="2:14">
      <c r="B37" s="15" t="s">
        <v>727</v>
      </c>
      <c r="C37" s="290" t="s">
        <v>748</v>
      </c>
      <c r="D37" s="12"/>
      <c r="E37" s="12"/>
      <c r="F37" s="12"/>
      <c r="G37" s="12"/>
      <c r="H37" s="12"/>
      <c r="I37" s="12"/>
      <c r="J37" s="12"/>
      <c r="K37" s="12"/>
      <c r="L37" s="12"/>
      <c r="M37" s="12"/>
    </row>
    <row r="38" spans="2:14">
      <c r="B38" s="15" t="s">
        <v>728</v>
      </c>
      <c r="C38" s="41" t="s">
        <v>729</v>
      </c>
      <c r="D38" s="12"/>
      <c r="E38" s="12"/>
      <c r="F38" s="12"/>
      <c r="G38" s="12"/>
      <c r="H38" s="12"/>
      <c r="I38" s="12"/>
      <c r="J38" s="12"/>
      <c r="K38" s="12"/>
      <c r="L38" s="12"/>
      <c r="M38" s="12"/>
    </row>
    <row r="39" spans="2:14">
      <c r="B39" s="15"/>
      <c r="C39" s="41"/>
      <c r="D39" s="12"/>
      <c r="E39" s="12"/>
      <c r="F39" s="12"/>
      <c r="G39" s="12"/>
      <c r="H39" s="12"/>
      <c r="I39" s="12"/>
      <c r="J39" s="12"/>
      <c r="K39" s="12"/>
      <c r="L39" s="12"/>
      <c r="M39" s="12"/>
    </row>
    <row r="40" spans="2:14">
      <c r="B40" s="15"/>
      <c r="C40" s="41" t="s">
        <v>730</v>
      </c>
      <c r="D40" s="12"/>
      <c r="E40" s="12"/>
      <c r="F40" s="12"/>
      <c r="G40" s="12"/>
      <c r="H40" s="12"/>
      <c r="I40" s="12"/>
      <c r="J40" s="12"/>
      <c r="K40" s="12"/>
      <c r="L40" s="12"/>
      <c r="M40" s="12"/>
    </row>
    <row r="41" spans="2:14" ht="38.25">
      <c r="B41" s="144" t="s">
        <v>731</v>
      </c>
      <c r="C41" s="144" t="s">
        <v>732</v>
      </c>
      <c r="D41" s="144" t="s">
        <v>733</v>
      </c>
      <c r="E41" s="144" t="s">
        <v>734</v>
      </c>
      <c r="F41" s="144" t="s">
        <v>735</v>
      </c>
      <c r="G41" s="144" t="s">
        <v>736</v>
      </c>
      <c r="H41" s="144"/>
      <c r="I41" s="144" t="s">
        <v>737</v>
      </c>
      <c r="J41" s="144"/>
      <c r="K41" s="144" t="s">
        <v>749</v>
      </c>
      <c r="L41" s="144" t="s">
        <v>739</v>
      </c>
      <c r="M41" s="144" t="s">
        <v>740</v>
      </c>
      <c r="N41" s="292" t="s">
        <v>741</v>
      </c>
    </row>
    <row r="42" spans="2:14">
      <c r="B42" s="316" t="s">
        <v>742</v>
      </c>
      <c r="C42" s="317">
        <v>30</v>
      </c>
      <c r="D42" s="318">
        <v>59224380.554442525</v>
      </c>
      <c r="E42" s="317">
        <v>0</v>
      </c>
      <c r="F42" s="319">
        <v>1.5272819154399999</v>
      </c>
      <c r="G42" s="319">
        <v>1.4369897064659012</v>
      </c>
      <c r="H42" s="319"/>
      <c r="I42" s="318">
        <v>2762.118796566951</v>
      </c>
      <c r="J42" s="318"/>
      <c r="K42" s="318">
        <v>43.785677771108105</v>
      </c>
      <c r="L42" s="320">
        <v>33.051637833495548</v>
      </c>
      <c r="M42" s="319">
        <v>55.1</v>
      </c>
      <c r="N42" s="321">
        <v>12.875436812066214</v>
      </c>
    </row>
    <row r="43" spans="2:14">
      <c r="B43" s="322" t="s">
        <v>743</v>
      </c>
      <c r="C43" s="323">
        <v>25</v>
      </c>
      <c r="D43" s="324">
        <v>186496889.44555736</v>
      </c>
      <c r="E43" s="323">
        <v>0</v>
      </c>
      <c r="F43" s="325">
        <v>1.2664125675400002</v>
      </c>
      <c r="G43" s="325">
        <v>1.2388327171274434</v>
      </c>
      <c r="H43" s="325"/>
      <c r="I43" s="324">
        <v>3795.0044826849821</v>
      </c>
      <c r="J43" s="324"/>
      <c r="K43" s="324">
        <v>37.407750162009684</v>
      </c>
      <c r="L43" s="326">
        <v>23.158266244637343</v>
      </c>
      <c r="M43" s="325">
        <v>76.34</v>
      </c>
      <c r="N43" s="327">
        <v>12.333063850163656</v>
      </c>
    </row>
    <row r="44" spans="2:14">
      <c r="B44" s="328" t="s">
        <v>744</v>
      </c>
      <c r="C44" s="329">
        <v>34</v>
      </c>
      <c r="D44" s="330">
        <v>159704133.08919233</v>
      </c>
      <c r="E44" s="329">
        <v>0</v>
      </c>
      <c r="F44" s="331">
        <v>1.0958497064352939</v>
      </c>
      <c r="G44" s="331">
        <v>1.0864505514680138</v>
      </c>
      <c r="H44" s="591">
        <f>SUMPRODUCT(G44:G45,C44:C45)/SUM(C44:C45)</f>
        <v>1.0777987100431961</v>
      </c>
      <c r="I44" s="330">
        <v>3667.5345811967941</v>
      </c>
      <c r="J44" s="593">
        <f>SUMPRODUCT(I44:I45,D44:D45)/SUM(D44:D45)</f>
        <v>3692.2254794077244</v>
      </c>
      <c r="K44" s="330">
        <v>13.037434423723496</v>
      </c>
      <c r="L44" s="332">
        <v>11.646288604900541</v>
      </c>
      <c r="M44" s="331">
        <v>72.32352941176471</v>
      </c>
      <c r="N44" s="333">
        <v>10.175630709696762</v>
      </c>
    </row>
    <row r="45" spans="2:14">
      <c r="B45" s="328" t="s">
        <v>745</v>
      </c>
      <c r="C45" s="329">
        <v>4</v>
      </c>
      <c r="D45" s="330">
        <v>31550759.910807587</v>
      </c>
      <c r="E45" s="329">
        <v>0</v>
      </c>
      <c r="F45" s="331">
        <v>0.98225486277500007</v>
      </c>
      <c r="G45" s="331">
        <v>1.004258057932244</v>
      </c>
      <c r="H45" s="592"/>
      <c r="I45" s="330">
        <v>3817.2062565781425</v>
      </c>
      <c r="J45" s="594"/>
      <c r="K45" s="330">
        <v>1.8510750088321051</v>
      </c>
      <c r="L45" s="332">
        <v>1.570370412390194</v>
      </c>
      <c r="M45" s="331">
        <v>77.25</v>
      </c>
      <c r="N45" s="333">
        <v>10.151096637221519</v>
      </c>
    </row>
    <row r="46" spans="2:14">
      <c r="B46" s="334" t="s">
        <v>746</v>
      </c>
      <c r="C46" s="335">
        <v>34</v>
      </c>
      <c r="D46" s="336">
        <v>133953325</v>
      </c>
      <c r="E46" s="335">
        <v>6</v>
      </c>
      <c r="F46" s="337">
        <v>1.1930721681228571</v>
      </c>
      <c r="G46" s="337">
        <v>1.1904887164069691</v>
      </c>
      <c r="H46" s="337"/>
      <c r="I46" s="336">
        <v>6230.7045853104373</v>
      </c>
      <c r="J46" s="336"/>
      <c r="K46" s="336">
        <v>12.375882269927777</v>
      </c>
      <c r="L46" s="338">
        <v>8.4570799844658442</v>
      </c>
      <c r="M46" s="337">
        <v>128.59285714285716</v>
      </c>
      <c r="N46" s="339">
        <v>17.009833900111737</v>
      </c>
    </row>
    <row r="47" spans="2:14">
      <c r="B47" s="15" t="s">
        <v>747</v>
      </c>
      <c r="C47" s="15">
        <v>127</v>
      </c>
      <c r="D47" s="340">
        <v>570929487.99999988</v>
      </c>
      <c r="E47" s="15">
        <v>6</v>
      </c>
      <c r="F47" s="341">
        <v>1.2533141172335944</v>
      </c>
      <c r="G47" s="341">
        <v>1.1924571389360319</v>
      </c>
      <c r="H47" s="341"/>
      <c r="I47" s="340">
        <v>4224.9019225439506</v>
      </c>
      <c r="J47" s="340"/>
      <c r="K47" s="340">
        <v>24.047433324688789</v>
      </c>
      <c r="L47" s="342">
        <v>16.322099981443166</v>
      </c>
      <c r="M47" s="341">
        <v>84.611328125</v>
      </c>
      <c r="N47" s="15"/>
    </row>
    <row r="54" spans="1:17">
      <c r="A54" t="s">
        <v>713</v>
      </c>
    </row>
    <row r="56" spans="1:17">
      <c r="A56" t="s">
        <v>379</v>
      </c>
      <c r="B56" t="s">
        <v>380</v>
      </c>
    </row>
    <row r="58" spans="1:17">
      <c r="B58" s="18" t="s">
        <v>307</v>
      </c>
      <c r="C58" s="18" t="s">
        <v>308</v>
      </c>
      <c r="D58" s="18"/>
      <c r="E58" s="18" t="s">
        <v>309</v>
      </c>
      <c r="F58" s="18" t="s">
        <v>310</v>
      </c>
      <c r="H58" s="18" t="s">
        <v>255</v>
      </c>
      <c r="L58" s="194"/>
      <c r="M58" s="185"/>
      <c r="N58" s="588" t="s">
        <v>77</v>
      </c>
      <c r="O58" s="589"/>
      <c r="P58" s="590"/>
    </row>
    <row r="59" spans="1:17" ht="38.25">
      <c r="B59" t="s">
        <v>311</v>
      </c>
      <c r="C59" t="s">
        <v>274</v>
      </c>
      <c r="E59" t="str">
        <f>B67</f>
        <v>Office - Large</v>
      </c>
      <c r="F59" t="s">
        <v>274</v>
      </c>
      <c r="H59" t="s">
        <v>247</v>
      </c>
      <c r="I59" t="s">
        <v>361</v>
      </c>
      <c r="L59" s="195" t="s">
        <v>78</v>
      </c>
      <c r="M59" s="195" t="s">
        <v>440</v>
      </c>
      <c r="N59" s="195" t="s">
        <v>444</v>
      </c>
      <c r="O59" s="195" t="s">
        <v>80</v>
      </c>
      <c r="P59" s="195" t="s">
        <v>272</v>
      </c>
      <c r="Q59" s="7"/>
    </row>
    <row r="60" spans="1:17">
      <c r="B60" t="s">
        <v>312</v>
      </c>
      <c r="C60" t="s">
        <v>275</v>
      </c>
      <c r="E60" t="str">
        <f>B67</f>
        <v>Office - Large</v>
      </c>
      <c r="F60" t="s">
        <v>275</v>
      </c>
      <c r="H60" t="s">
        <v>360</v>
      </c>
      <c r="I60" t="s">
        <v>362</v>
      </c>
      <c r="L60" s="186" t="s">
        <v>256</v>
      </c>
      <c r="M60" s="187" t="s">
        <v>441</v>
      </c>
      <c r="N60" s="188" t="s">
        <v>82</v>
      </c>
      <c r="O60" s="188" t="s">
        <v>83</v>
      </c>
      <c r="P60" s="189"/>
    </row>
    <row r="61" spans="1:17">
      <c r="B61" t="s">
        <v>265</v>
      </c>
      <c r="C61" t="s">
        <v>276</v>
      </c>
      <c r="E61" t="str">
        <f>B68</f>
        <v>Office - Small</v>
      </c>
      <c r="F61" t="s">
        <v>276</v>
      </c>
      <c r="H61" t="s">
        <v>248</v>
      </c>
      <c r="I61" t="s">
        <v>363</v>
      </c>
      <c r="L61" s="36" t="s">
        <v>256</v>
      </c>
      <c r="M61" s="12" t="s">
        <v>442</v>
      </c>
      <c r="N61" s="190" t="s">
        <v>84</v>
      </c>
      <c r="O61" s="190" t="s">
        <v>83</v>
      </c>
      <c r="P61" s="37"/>
    </row>
    <row r="62" spans="1:17">
      <c r="B62" t="s">
        <v>268</v>
      </c>
      <c r="C62" t="s">
        <v>257</v>
      </c>
      <c r="E62" t="str">
        <f>B71</f>
        <v>Retail - Large</v>
      </c>
      <c r="F62" t="s">
        <v>257</v>
      </c>
      <c r="L62" s="36" t="s">
        <v>256</v>
      </c>
      <c r="M62" s="12" t="s">
        <v>443</v>
      </c>
      <c r="N62" s="190" t="s">
        <v>85</v>
      </c>
      <c r="O62" s="190" t="s">
        <v>83</v>
      </c>
      <c r="P62" s="37"/>
    </row>
    <row r="63" spans="1:17">
      <c r="B63" t="s">
        <v>313</v>
      </c>
      <c r="C63" t="s">
        <v>258</v>
      </c>
      <c r="E63" t="str">
        <f>B72</f>
        <v>Retail - Small</v>
      </c>
      <c r="F63" t="s">
        <v>258</v>
      </c>
      <c r="L63" s="36" t="s">
        <v>261</v>
      </c>
      <c r="M63" s="12" t="s">
        <v>257</v>
      </c>
      <c r="N63" s="190" t="s">
        <v>86</v>
      </c>
      <c r="O63" s="190">
        <v>1</v>
      </c>
      <c r="P63" s="37" t="s">
        <v>447</v>
      </c>
    </row>
    <row r="64" spans="1:17">
      <c r="B64" t="s">
        <v>314</v>
      </c>
      <c r="C64" t="s">
        <v>259</v>
      </c>
      <c r="E64" t="str">
        <f>B72</f>
        <v>Retail - Small</v>
      </c>
      <c r="F64" t="s">
        <v>259</v>
      </c>
      <c r="L64" s="36" t="s">
        <v>261</v>
      </c>
      <c r="M64" s="12" t="s">
        <v>258</v>
      </c>
      <c r="N64" s="190" t="s">
        <v>88</v>
      </c>
      <c r="O64" s="190">
        <v>1</v>
      </c>
      <c r="P64" s="37"/>
    </row>
    <row r="65" spans="2:16">
      <c r="B65" t="s">
        <v>315</v>
      </c>
      <c r="C65" t="s">
        <v>260</v>
      </c>
      <c r="E65" t="str">
        <f>B71</f>
        <v>Retail - Large</v>
      </c>
      <c r="F65" t="s">
        <v>260</v>
      </c>
      <c r="L65" s="36" t="s">
        <v>261</v>
      </c>
      <c r="M65" s="12" t="s">
        <v>259</v>
      </c>
      <c r="N65" s="190" t="s">
        <v>85</v>
      </c>
      <c r="O65" s="190">
        <v>1</v>
      </c>
      <c r="P65" s="37" t="s">
        <v>448</v>
      </c>
    </row>
    <row r="66" spans="2:16">
      <c r="B66" t="s">
        <v>316</v>
      </c>
      <c r="C66" t="s">
        <v>263</v>
      </c>
      <c r="E66" t="str">
        <f>B74</f>
        <v>School - Primary</v>
      </c>
      <c r="F66" t="s">
        <v>317</v>
      </c>
      <c r="L66" s="36" t="s">
        <v>261</v>
      </c>
      <c r="M66" s="12" t="s">
        <v>260</v>
      </c>
      <c r="N66" s="190" t="s">
        <v>86</v>
      </c>
      <c r="O66" s="190" t="s">
        <v>90</v>
      </c>
      <c r="P66" s="37"/>
    </row>
    <row r="67" spans="2:16">
      <c r="B67" t="s">
        <v>318</v>
      </c>
      <c r="C67" t="s">
        <v>273</v>
      </c>
      <c r="E67" t="str">
        <f>B60</f>
        <v>College</v>
      </c>
      <c r="F67" t="s">
        <v>273</v>
      </c>
      <c r="L67" s="36" t="s">
        <v>262</v>
      </c>
      <c r="M67" s="12" t="s">
        <v>263</v>
      </c>
      <c r="N67" s="190" t="s">
        <v>83</v>
      </c>
      <c r="O67" s="190" t="s">
        <v>83</v>
      </c>
      <c r="P67" s="37"/>
    </row>
    <row r="68" spans="2:16">
      <c r="B68" t="s">
        <v>319</v>
      </c>
      <c r="C68" t="s">
        <v>264</v>
      </c>
      <c r="E68" t="str">
        <f>B78</f>
        <v>Warehouse</v>
      </c>
      <c r="F68" t="s">
        <v>264</v>
      </c>
      <c r="L68" s="36" t="s">
        <v>262</v>
      </c>
      <c r="M68" s="12" t="s">
        <v>273</v>
      </c>
      <c r="N68" s="190" t="s">
        <v>83</v>
      </c>
      <c r="O68" s="190" t="s">
        <v>83</v>
      </c>
      <c r="P68" s="37"/>
    </row>
    <row r="69" spans="2:16">
      <c r="B69" t="s">
        <v>320</v>
      </c>
      <c r="C69" t="s">
        <v>278</v>
      </c>
      <c r="E69" t="str">
        <f>B61</f>
        <v>Grocery</v>
      </c>
      <c r="F69" t="s">
        <v>278</v>
      </c>
      <c r="L69" s="36" t="s">
        <v>264</v>
      </c>
      <c r="M69" s="12" t="s">
        <v>264</v>
      </c>
      <c r="N69" s="190" t="s">
        <v>83</v>
      </c>
      <c r="O69" s="190" t="s">
        <v>83</v>
      </c>
      <c r="P69" s="37"/>
    </row>
    <row r="70" spans="2:16">
      <c r="B70" t="s">
        <v>321</v>
      </c>
      <c r="C70" t="s">
        <v>271</v>
      </c>
      <c r="E70" t="str">
        <f>B61</f>
        <v>Grocery</v>
      </c>
      <c r="F70" t="s">
        <v>271</v>
      </c>
      <c r="L70" s="36" t="s">
        <v>449</v>
      </c>
      <c r="M70" s="12" t="s">
        <v>278</v>
      </c>
      <c r="N70" s="190" t="s">
        <v>92</v>
      </c>
      <c r="O70" s="190" t="s">
        <v>83</v>
      </c>
      <c r="P70" s="37"/>
    </row>
    <row r="71" spans="2:16">
      <c r="B71" t="s">
        <v>322</v>
      </c>
      <c r="C71" t="s">
        <v>266</v>
      </c>
      <c r="E71" t="str">
        <f>B69</f>
        <v>Rest-Fast Food</v>
      </c>
      <c r="F71" t="s">
        <v>266</v>
      </c>
      <c r="L71" s="36" t="s">
        <v>449</v>
      </c>
      <c r="M71" s="12" t="s">
        <v>446</v>
      </c>
      <c r="N71" s="190" t="s">
        <v>445</v>
      </c>
      <c r="O71" s="190" t="s">
        <v>83</v>
      </c>
      <c r="P71" s="37"/>
    </row>
    <row r="72" spans="2:16">
      <c r="B72" t="s">
        <v>323</v>
      </c>
      <c r="C72" t="s">
        <v>267</v>
      </c>
      <c r="E72" t="str">
        <f>B66</f>
        <v>Motel</v>
      </c>
      <c r="F72" t="s">
        <v>267</v>
      </c>
      <c r="L72" s="36" t="s">
        <v>266</v>
      </c>
      <c r="M72" s="12" t="s">
        <v>266</v>
      </c>
      <c r="N72" s="190" t="s">
        <v>83</v>
      </c>
      <c r="O72" s="190" t="s">
        <v>83</v>
      </c>
      <c r="P72" s="37"/>
    </row>
    <row r="73" spans="2:16">
      <c r="B73" t="s">
        <v>324</v>
      </c>
      <c r="C73" t="s">
        <v>268</v>
      </c>
      <c r="E73" t="str">
        <f>B62</f>
        <v>Hospital</v>
      </c>
      <c r="F73" t="s">
        <v>268</v>
      </c>
      <c r="L73" s="36" t="s">
        <v>267</v>
      </c>
      <c r="M73" s="12" t="s">
        <v>267</v>
      </c>
      <c r="N73" s="190" t="s">
        <v>83</v>
      </c>
      <c r="O73" s="190" t="s">
        <v>83</v>
      </c>
      <c r="P73" s="37"/>
    </row>
    <row r="74" spans="2:16">
      <c r="B74" t="s">
        <v>325</v>
      </c>
      <c r="C74" t="s">
        <v>269</v>
      </c>
      <c r="E74" t="str">
        <f>B77</f>
        <v>Skilled Nursing</v>
      </c>
      <c r="F74" t="s">
        <v>269</v>
      </c>
      <c r="L74" s="36" t="s">
        <v>94</v>
      </c>
      <c r="M74" s="12" t="s">
        <v>268</v>
      </c>
      <c r="N74" s="190" t="s">
        <v>83</v>
      </c>
      <c r="O74" s="190" t="s">
        <v>83</v>
      </c>
      <c r="P74" s="37"/>
    </row>
    <row r="75" spans="2:16">
      <c r="B75" t="s">
        <v>326</v>
      </c>
      <c r="C75" t="s">
        <v>311</v>
      </c>
      <c r="E75" t="s">
        <v>311</v>
      </c>
      <c r="L75" s="36" t="s">
        <v>94</v>
      </c>
      <c r="M75" s="12" t="s">
        <v>269</v>
      </c>
      <c r="N75" s="190" t="s">
        <v>83</v>
      </c>
      <c r="O75" s="190" t="s">
        <v>83</v>
      </c>
      <c r="P75" s="37"/>
    </row>
    <row r="76" spans="2:16">
      <c r="B76" t="s">
        <v>327</v>
      </c>
      <c r="C76" t="s">
        <v>272</v>
      </c>
      <c r="E76" t="str">
        <f>B79</f>
        <v>Other</v>
      </c>
      <c r="F76" t="s">
        <v>272</v>
      </c>
      <c r="L76" s="191" t="s">
        <v>272</v>
      </c>
      <c r="M76" s="38" t="s">
        <v>272</v>
      </c>
      <c r="N76" s="192" t="s">
        <v>83</v>
      </c>
      <c r="O76" s="192" t="s">
        <v>83</v>
      </c>
      <c r="P76" s="193"/>
    </row>
    <row r="77" spans="2:16">
      <c r="B77" t="s">
        <v>328</v>
      </c>
    </row>
    <row r="78" spans="2:16">
      <c r="B78" t="s">
        <v>264</v>
      </c>
    </row>
    <row r="79" spans="2:16">
      <c r="B79" t="s">
        <v>272</v>
      </c>
    </row>
    <row r="81" spans="3:9">
      <c r="C81" s="15"/>
      <c r="D81" s="41"/>
      <c r="E81" s="562" t="s">
        <v>77</v>
      </c>
      <c r="F81" s="587"/>
      <c r="G81" s="587"/>
      <c r="H81" s="563"/>
    </row>
    <row r="82" spans="3:9">
      <c r="C82" s="5" t="s">
        <v>308</v>
      </c>
      <c r="D82" s="5"/>
      <c r="E82" s="5" t="s">
        <v>78</v>
      </c>
      <c r="F82" s="5" t="s">
        <v>79</v>
      </c>
      <c r="G82" s="5" t="s">
        <v>80</v>
      </c>
      <c r="H82" s="5" t="s">
        <v>272</v>
      </c>
      <c r="I82" s="18" t="s">
        <v>81</v>
      </c>
    </row>
    <row r="83" spans="3:9">
      <c r="C83" t="s">
        <v>274</v>
      </c>
      <c r="E83" t="s">
        <v>256</v>
      </c>
      <c r="F83" s="2" t="s">
        <v>82</v>
      </c>
      <c r="G83" s="2" t="s">
        <v>83</v>
      </c>
    </row>
    <row r="84" spans="3:9">
      <c r="C84" t="s">
        <v>275</v>
      </c>
      <c r="E84" t="s">
        <v>256</v>
      </c>
      <c r="F84" s="2" t="s">
        <v>84</v>
      </c>
      <c r="G84" s="2" t="s">
        <v>83</v>
      </c>
    </row>
    <row r="85" spans="3:9">
      <c r="C85" t="s">
        <v>276</v>
      </c>
      <c r="E85" t="s">
        <v>256</v>
      </c>
      <c r="F85" s="2" t="s">
        <v>85</v>
      </c>
      <c r="G85" s="2" t="s">
        <v>83</v>
      </c>
    </row>
    <row r="86" spans="3:9">
      <c r="C86" t="s">
        <v>257</v>
      </c>
      <c r="E86" t="s">
        <v>261</v>
      </c>
      <c r="F86" s="2" t="s">
        <v>86</v>
      </c>
      <c r="G86" s="2">
        <v>1</v>
      </c>
      <c r="I86" t="s">
        <v>87</v>
      </c>
    </row>
    <row r="87" spans="3:9">
      <c r="C87" t="s">
        <v>258</v>
      </c>
      <c r="E87" t="s">
        <v>261</v>
      </c>
      <c r="F87" s="2" t="s">
        <v>88</v>
      </c>
      <c r="G87" s="2">
        <v>1</v>
      </c>
    </row>
    <row r="88" spans="3:9">
      <c r="C88" t="s">
        <v>259</v>
      </c>
      <c r="E88" t="s">
        <v>261</v>
      </c>
      <c r="F88" s="2" t="s">
        <v>85</v>
      </c>
      <c r="G88" s="2">
        <v>1</v>
      </c>
      <c r="H88" t="s">
        <v>89</v>
      </c>
    </row>
    <row r="89" spans="3:9">
      <c r="C89" t="s">
        <v>260</v>
      </c>
      <c r="E89" t="s">
        <v>261</v>
      </c>
      <c r="F89" s="2" t="s">
        <v>86</v>
      </c>
      <c r="G89" s="2" t="s">
        <v>90</v>
      </c>
    </row>
    <row r="90" spans="3:9">
      <c r="C90" t="s">
        <v>263</v>
      </c>
      <c r="E90" t="s">
        <v>262</v>
      </c>
      <c r="F90" s="2" t="s">
        <v>83</v>
      </c>
      <c r="G90" s="2" t="s">
        <v>83</v>
      </c>
    </row>
    <row r="91" spans="3:9">
      <c r="C91" t="s">
        <v>273</v>
      </c>
      <c r="E91" t="s">
        <v>262</v>
      </c>
      <c r="F91" s="2" t="s">
        <v>83</v>
      </c>
      <c r="G91" s="2" t="s">
        <v>83</v>
      </c>
    </row>
    <row r="92" spans="3:9">
      <c r="C92" t="s">
        <v>264</v>
      </c>
      <c r="E92" t="s">
        <v>264</v>
      </c>
      <c r="F92" s="2" t="s">
        <v>83</v>
      </c>
      <c r="G92" s="2" t="s">
        <v>83</v>
      </c>
    </row>
    <row r="93" spans="3:9">
      <c r="C93" t="s">
        <v>278</v>
      </c>
      <c r="E93" t="s">
        <v>91</v>
      </c>
      <c r="F93" s="2" t="s">
        <v>92</v>
      </c>
      <c r="G93" s="2" t="s">
        <v>83</v>
      </c>
    </row>
    <row r="94" spans="3:9">
      <c r="C94" t="s">
        <v>271</v>
      </c>
      <c r="E94" t="s">
        <v>91</v>
      </c>
      <c r="F94" s="2" t="s">
        <v>93</v>
      </c>
      <c r="G94" s="2" t="s">
        <v>83</v>
      </c>
    </row>
    <row r="95" spans="3:9">
      <c r="C95" t="s">
        <v>266</v>
      </c>
      <c r="E95" t="s">
        <v>91</v>
      </c>
      <c r="F95" s="2" t="s">
        <v>83</v>
      </c>
      <c r="G95" s="2" t="s">
        <v>83</v>
      </c>
    </row>
    <row r="96" spans="3:9">
      <c r="C96" t="s">
        <v>267</v>
      </c>
      <c r="E96" t="s">
        <v>267</v>
      </c>
      <c r="F96" s="2" t="s">
        <v>83</v>
      </c>
      <c r="G96" s="2" t="s">
        <v>83</v>
      </c>
    </row>
    <row r="97" spans="3:7">
      <c r="C97" t="s">
        <v>268</v>
      </c>
      <c r="E97" t="s">
        <v>94</v>
      </c>
      <c r="F97" s="2" t="s">
        <v>83</v>
      </c>
      <c r="G97" s="2" t="s">
        <v>83</v>
      </c>
    </row>
    <row r="98" spans="3:7">
      <c r="C98" t="s">
        <v>269</v>
      </c>
      <c r="E98" t="s">
        <v>94</v>
      </c>
      <c r="F98" s="2" t="s">
        <v>83</v>
      </c>
      <c r="G98" s="2" t="s">
        <v>83</v>
      </c>
    </row>
    <row r="99" spans="3:7">
      <c r="C99" t="s">
        <v>272</v>
      </c>
      <c r="E99" t="s">
        <v>272</v>
      </c>
      <c r="F99" s="2" t="s">
        <v>83</v>
      </c>
      <c r="G99" s="2" t="s">
        <v>83</v>
      </c>
    </row>
  </sheetData>
  <mergeCells count="8">
    <mergeCell ref="E81:H81"/>
    <mergeCell ref="N58:P58"/>
    <mergeCell ref="H30:H31"/>
    <mergeCell ref="J30:J31"/>
    <mergeCell ref="H32:H33"/>
    <mergeCell ref="J32:J33"/>
    <mergeCell ref="H44:H45"/>
    <mergeCell ref="J44:J45"/>
  </mergeCells>
  <phoneticPr fontId="0" type="noConversion"/>
  <pageMargins left="0.75" right="0.75" top="1" bottom="1" header="0.5" footer="0.5"/>
  <pageSetup scale="50" orientation="landscape" r:id="rId1"/>
  <headerFooter alignWithMargins="0"/>
</worksheet>
</file>

<file path=xl/worksheets/sheet16.xml><?xml version="1.0" encoding="utf-8"?>
<worksheet xmlns="http://schemas.openxmlformats.org/spreadsheetml/2006/main" xmlns:r="http://schemas.openxmlformats.org/officeDocument/2006/relationships">
  <sheetPr codeName="Sheet10"/>
  <dimension ref="A1:E12"/>
  <sheetViews>
    <sheetView zoomScale="120" zoomScaleNormal="120" workbookViewId="0">
      <selection activeCell="D23" sqref="D23"/>
    </sheetView>
  </sheetViews>
  <sheetFormatPr defaultRowHeight="12.75"/>
  <cols>
    <col min="3" max="3" width="21" customWidth="1"/>
    <col min="4" max="4" width="35.42578125" customWidth="1"/>
    <col min="5" max="5" width="44.140625" customWidth="1"/>
  </cols>
  <sheetData>
    <row r="1" spans="1:5">
      <c r="A1" t="s">
        <v>381</v>
      </c>
      <c r="B1" t="s">
        <v>382</v>
      </c>
    </row>
    <row r="2" spans="1:5">
      <c r="C2" s="205" t="s">
        <v>695</v>
      </c>
    </row>
    <row r="3" spans="1:5">
      <c r="C3" s="196" t="s">
        <v>334</v>
      </c>
      <c r="D3" s="196" t="s">
        <v>335</v>
      </c>
      <c r="E3" s="196" t="s">
        <v>374</v>
      </c>
    </row>
    <row r="4" spans="1:5">
      <c r="C4" s="415" t="s">
        <v>279</v>
      </c>
      <c r="D4" s="415" t="s">
        <v>711</v>
      </c>
      <c r="E4" t="s">
        <v>119</v>
      </c>
    </row>
    <row r="5" spans="1:5">
      <c r="C5" s="415" t="s">
        <v>281</v>
      </c>
      <c r="D5" s="415" t="s">
        <v>689</v>
      </c>
    </row>
    <row r="6" spans="1:5">
      <c r="C6" s="415" t="s">
        <v>280</v>
      </c>
      <c r="D6" s="415" t="s">
        <v>690</v>
      </c>
    </row>
    <row r="7" spans="1:5">
      <c r="C7" s="415" t="s">
        <v>333</v>
      </c>
      <c r="D7" s="415" t="s">
        <v>691</v>
      </c>
    </row>
    <row r="8" spans="1:5">
      <c r="C8" s="415" t="s">
        <v>408</v>
      </c>
      <c r="D8" s="415" t="s">
        <v>692</v>
      </c>
    </row>
    <row r="9" spans="1:5">
      <c r="C9" s="415" t="s">
        <v>409</v>
      </c>
      <c r="D9" s="415" t="s">
        <v>693</v>
      </c>
    </row>
    <row r="10" spans="1:5">
      <c r="C10" s="415" t="s">
        <v>120</v>
      </c>
      <c r="D10" s="415" t="s">
        <v>694</v>
      </c>
    </row>
    <row r="11" spans="1:5">
      <c r="C11" s="512" t="s">
        <v>767</v>
      </c>
      <c r="D11" s="512" t="s">
        <v>768</v>
      </c>
    </row>
    <row r="12" spans="1:5">
      <c r="C12" s="512" t="s">
        <v>769</v>
      </c>
      <c r="D12" s="512" t="s">
        <v>766</v>
      </c>
    </row>
  </sheetData>
  <phoneticPr fontId="0" type="noConversion"/>
  <pageMargins left="0.75" right="0.75" top="1" bottom="1" header="0.5" footer="0.5"/>
  <pageSetup orientation="portrait" r:id="rId1"/>
  <headerFooter alignWithMargins="0"/>
</worksheet>
</file>

<file path=xl/worksheets/sheet17.xml><?xml version="1.0" encoding="utf-8"?>
<worksheet xmlns="http://schemas.openxmlformats.org/spreadsheetml/2006/main" xmlns:r="http://schemas.openxmlformats.org/officeDocument/2006/relationships">
  <sheetPr codeName="Sheet11"/>
  <dimension ref="A1:W135"/>
  <sheetViews>
    <sheetView zoomScale="94" zoomScaleNormal="56" workbookViewId="0">
      <pane ySplit="7" topLeftCell="A8" activePane="bottomLeft" state="frozen"/>
      <selection pane="bottomLeft" activeCell="B16" sqref="B16"/>
    </sheetView>
  </sheetViews>
  <sheetFormatPr defaultRowHeight="12.75"/>
  <cols>
    <col min="2" max="2" width="43" customWidth="1"/>
    <col min="14" max="14" width="8.42578125" customWidth="1"/>
  </cols>
  <sheetData>
    <row r="1" spans="1:21">
      <c r="A1" s="219" t="s">
        <v>932</v>
      </c>
      <c r="B1" s="510"/>
      <c r="C1" s="510"/>
      <c r="D1" s="510"/>
      <c r="E1" s="510"/>
    </row>
    <row r="2" spans="1:21">
      <c r="A2" t="s">
        <v>383</v>
      </c>
      <c r="B2" s="28" t="s">
        <v>396</v>
      </c>
      <c r="C2" s="24"/>
      <c r="D2" s="24"/>
      <c r="E2" s="24"/>
      <c r="F2" s="24"/>
      <c r="G2" s="24"/>
      <c r="H2" s="24"/>
      <c r="I2" s="24"/>
    </row>
    <row r="3" spans="1:21">
      <c r="B3" s="28" t="s">
        <v>43</v>
      </c>
      <c r="C3" s="24"/>
      <c r="D3" s="24"/>
      <c r="E3" s="24"/>
      <c r="F3" s="24"/>
      <c r="G3" s="24"/>
      <c r="H3" s="24"/>
      <c r="I3" s="24"/>
      <c r="J3" t="s">
        <v>195</v>
      </c>
    </row>
    <row r="4" spans="1:21">
      <c r="A4" s="20" t="e">
        <f>CHAR!#REF!</f>
        <v>#REF!</v>
      </c>
    </row>
    <row r="5" spans="1:21">
      <c r="A5" s="9" t="e">
        <f>CHAR!#REF!</f>
        <v>#REF!</v>
      </c>
      <c r="B5" s="44" t="e">
        <f>CHAR!#REF!</f>
        <v>#REF!</v>
      </c>
      <c r="C5" s="561" t="e">
        <f>CHAR!#REF!</f>
        <v>#REF!</v>
      </c>
      <c r="D5" s="561"/>
      <c r="E5" s="561"/>
      <c r="F5" s="563" t="e">
        <f>CHAR!#REF!</f>
        <v>#REF!</v>
      </c>
      <c r="G5" s="561"/>
      <c r="H5" s="561"/>
      <c r="I5" s="561"/>
      <c r="J5" s="562" t="e">
        <f>CHAR!#REF!</f>
        <v>#REF!</v>
      </c>
      <c r="K5" s="563"/>
      <c r="L5" s="5" t="e">
        <f>CHAR!#REF!</f>
        <v>#REF!</v>
      </c>
      <c r="M5" s="562" t="e">
        <f>CHAR!#REF!</f>
        <v>#REF!</v>
      </c>
      <c r="N5" s="563"/>
      <c r="O5" s="5" t="e">
        <f>CHAR!#REF!</f>
        <v>#REF!</v>
      </c>
      <c r="P5" s="5" t="e">
        <f>CHAR!#REF!</f>
        <v>#REF!</v>
      </c>
      <c r="Q5" s="561" t="e">
        <f>CHAR!#REF!</f>
        <v>#REF!</v>
      </c>
      <c r="R5" s="561"/>
      <c r="S5" s="97" t="s">
        <v>311</v>
      </c>
      <c r="T5" s="5" t="e">
        <f>CHAR!#REF!</f>
        <v>#REF!</v>
      </c>
      <c r="U5" t="e">
        <f>CHAR!#REF!</f>
        <v>#REF!</v>
      </c>
    </row>
    <row r="6" spans="1:21">
      <c r="A6" t="e">
        <f>CHAR!#REF!</f>
        <v>#REF!</v>
      </c>
      <c r="B6" s="45" t="e">
        <f>CHAR!#REF!</f>
        <v>#REF!</v>
      </c>
      <c r="C6" s="613" t="e">
        <f>CHAR!#REF!</f>
        <v>#REF!</v>
      </c>
      <c r="D6" s="621"/>
      <c r="E6" s="614"/>
      <c r="F6" s="621" t="e">
        <f>CHAR!#REF!</f>
        <v>#REF!</v>
      </c>
      <c r="G6" s="621"/>
      <c r="H6" s="621"/>
      <c r="I6" s="614"/>
      <c r="J6" s="613" t="e">
        <f>CHAR!#REF!</f>
        <v>#REF!</v>
      </c>
      <c r="K6" s="614"/>
      <c r="L6" s="33" t="e">
        <f>CHAR!#REF!</f>
        <v>#REF!</v>
      </c>
      <c r="M6" s="613" t="e">
        <f>CHAR!#REF!</f>
        <v>#REF!</v>
      </c>
      <c r="N6" s="614"/>
      <c r="O6" s="33" t="e">
        <f>CHAR!#REF!</f>
        <v>#REF!</v>
      </c>
      <c r="P6" s="33" t="e">
        <f>CHAR!#REF!</f>
        <v>#REF!</v>
      </c>
      <c r="Q6" s="613" t="e">
        <f>CHAR!#REF!</f>
        <v>#REF!</v>
      </c>
      <c r="R6" s="614"/>
      <c r="S6" s="100" t="e">
        <f>CHAR!#REF!</f>
        <v>#REF!</v>
      </c>
      <c r="T6" s="33" t="e">
        <f>CHAR!#REF!</f>
        <v>#REF!</v>
      </c>
      <c r="U6" t="e">
        <f>CHAR!#REF!</f>
        <v>#REF!</v>
      </c>
    </row>
    <row r="7" spans="1:21">
      <c r="A7" s="4" t="e">
        <f>CHAR!#REF!</f>
        <v>#REF!</v>
      </c>
      <c r="B7" s="21" t="e">
        <f>CHAR!#REF!</f>
        <v>#REF!</v>
      </c>
      <c r="C7" s="13" t="e">
        <f>CHAR!#REF!</f>
        <v>#REF!</v>
      </c>
      <c r="D7" s="13" t="e">
        <f>CHAR!#REF!</f>
        <v>#REF!</v>
      </c>
      <c r="E7" s="13" t="e">
        <f>CHAR!#REF!</f>
        <v>#REF!</v>
      </c>
      <c r="F7" s="13" t="e">
        <f>CHAR!#REF!</f>
        <v>#REF!</v>
      </c>
      <c r="G7" s="13" t="e">
        <f>CHAR!#REF!</f>
        <v>#REF!</v>
      </c>
      <c r="H7" s="13" t="e">
        <f>CHAR!#REF!</f>
        <v>#REF!</v>
      </c>
      <c r="I7" s="13" t="e">
        <f>CHAR!#REF!</f>
        <v>#REF!</v>
      </c>
      <c r="J7" s="13" t="e">
        <f>CHAR!#REF!</f>
        <v>#REF!</v>
      </c>
      <c r="K7" s="13" t="e">
        <f>CHAR!#REF!</f>
        <v>#REF!</v>
      </c>
      <c r="L7" s="13" t="e">
        <f>CHAR!#REF!</f>
        <v>#REF!</v>
      </c>
      <c r="M7" s="13" t="e">
        <f>CHAR!#REF!</f>
        <v>#REF!</v>
      </c>
      <c r="N7" s="13" t="e">
        <f>CHAR!#REF!</f>
        <v>#REF!</v>
      </c>
      <c r="O7" s="13" t="e">
        <f>CHAR!#REF!</f>
        <v>#REF!</v>
      </c>
      <c r="P7" s="13" t="e">
        <f>CHAR!#REF!</f>
        <v>#REF!</v>
      </c>
      <c r="Q7" s="13" t="e">
        <f>CHAR!#REF!</f>
        <v>#REF!</v>
      </c>
      <c r="R7" s="13" t="e">
        <f>CHAR!#REF!</f>
        <v>#REF!</v>
      </c>
      <c r="S7" s="13" t="s">
        <v>311</v>
      </c>
      <c r="T7" s="13" t="e">
        <f>CHAR!#REF!</f>
        <v>#REF!</v>
      </c>
      <c r="U7" s="76" t="e">
        <f>CHAR!#REF!</f>
        <v>#REF!</v>
      </c>
    </row>
    <row r="8" spans="1:21">
      <c r="A8" t="e">
        <f>CHAR!#REF!</f>
        <v>#REF!</v>
      </c>
      <c r="B8" s="41" t="e">
        <f>CHAR!#REF!</f>
        <v>#REF!</v>
      </c>
      <c r="C8" s="14" t="e">
        <f>CHAR!#REF!</f>
        <v>#REF!</v>
      </c>
      <c r="D8" s="14" t="e">
        <f>CHAR!#REF!</f>
        <v>#REF!</v>
      </c>
      <c r="E8" s="14" t="e">
        <f>CHAR!#REF!</f>
        <v>#REF!</v>
      </c>
      <c r="F8" s="14" t="e">
        <f>CHAR!#REF!</f>
        <v>#REF!</v>
      </c>
      <c r="G8" s="14" t="e">
        <f>CHAR!#REF!</f>
        <v>#REF!</v>
      </c>
      <c r="H8" s="14" t="e">
        <f>CHAR!#REF!</f>
        <v>#REF!</v>
      </c>
      <c r="I8" s="14" t="e">
        <f>CHAR!#REF!</f>
        <v>#REF!</v>
      </c>
      <c r="J8" s="14" t="e">
        <f>CHAR!#REF!</f>
        <v>#REF!</v>
      </c>
      <c r="K8" s="14" t="e">
        <f>CHAR!#REF!</f>
        <v>#REF!</v>
      </c>
      <c r="L8" s="14" t="e">
        <f>CHAR!#REF!</f>
        <v>#REF!</v>
      </c>
      <c r="M8" s="14" t="e">
        <f>CHAR!#REF!</f>
        <v>#REF!</v>
      </c>
      <c r="N8" s="14" t="e">
        <f>CHAR!#REF!</f>
        <v>#REF!</v>
      </c>
      <c r="O8" s="14" t="e">
        <f>CHAR!#REF!</f>
        <v>#REF!</v>
      </c>
      <c r="P8" s="14" t="e">
        <f>CHAR!#REF!</f>
        <v>#REF!</v>
      </c>
      <c r="Q8" s="14" t="e">
        <f>CHAR!#REF!</f>
        <v>#REF!</v>
      </c>
      <c r="R8" s="14" t="e">
        <f>CHAR!#REF!</f>
        <v>#REF!</v>
      </c>
      <c r="S8" s="14" t="e">
        <f>CHAR!#REF!</f>
        <v>#REF!</v>
      </c>
      <c r="T8" s="14" t="e">
        <f>CHAR!#REF!</f>
        <v>#REF!</v>
      </c>
      <c r="U8" t="e">
        <f>CHAR!#REF!</f>
        <v>#REF!</v>
      </c>
    </row>
    <row r="9" spans="1:21">
      <c r="A9" t="e">
        <f>CHAR!#REF!</f>
        <v>#REF!</v>
      </c>
      <c r="B9" s="41" t="e">
        <f>CHAR!#REF!</f>
        <v>#REF!</v>
      </c>
      <c r="C9" s="47" t="e">
        <f>CHAR!#REF!</f>
        <v>#REF!</v>
      </c>
      <c r="D9" s="19" t="e">
        <f>CHAR!#REF!</f>
        <v>#REF!</v>
      </c>
      <c r="E9" s="19" t="e">
        <f>CHAR!#REF!</f>
        <v>#REF!</v>
      </c>
      <c r="F9" s="47" t="e">
        <f>CHAR!#REF!</f>
        <v>#REF!</v>
      </c>
      <c r="G9" s="19" t="e">
        <f>CHAR!#REF!</f>
        <v>#REF!</v>
      </c>
      <c r="H9" s="19" t="e">
        <f>CHAR!#REF!</f>
        <v>#REF!</v>
      </c>
      <c r="I9" s="19" t="e">
        <f>CHAR!#REF!</f>
        <v>#REF!</v>
      </c>
      <c r="J9" s="47" t="e">
        <f>CHAR!#REF!</f>
        <v>#REF!</v>
      </c>
      <c r="K9" s="19" t="e">
        <f>CHAR!#REF!</f>
        <v>#REF!</v>
      </c>
      <c r="L9" s="47" t="e">
        <f>CHAR!#REF!</f>
        <v>#REF!</v>
      </c>
      <c r="M9" s="47" t="e">
        <f>CHAR!#REF!</f>
        <v>#REF!</v>
      </c>
      <c r="N9" s="19" t="e">
        <f>CHAR!#REF!</f>
        <v>#REF!</v>
      </c>
      <c r="O9" s="47" t="e">
        <f>CHAR!#REF!</f>
        <v>#REF!</v>
      </c>
      <c r="P9" s="47" t="e">
        <f>CHAR!#REF!</f>
        <v>#REF!</v>
      </c>
      <c r="Q9" s="47" t="e">
        <f>CHAR!#REF!</f>
        <v>#REF!</v>
      </c>
      <c r="R9" s="19" t="e">
        <f>CHAR!#REF!</f>
        <v>#REF!</v>
      </c>
      <c r="S9" s="19" t="e">
        <f>CHAR!#REF!</f>
        <v>#REF!</v>
      </c>
      <c r="T9" s="47" t="e">
        <f>CHAR!#REF!</f>
        <v>#REF!</v>
      </c>
      <c r="U9" t="e">
        <f>CHAR!#REF!</f>
        <v>#REF!</v>
      </c>
    </row>
    <row r="10" spans="1:21">
      <c r="A10" t="e">
        <f>CHAR!#REF!</f>
        <v>#REF!</v>
      </c>
      <c r="B10" s="41" t="e">
        <f>CHAR!#REF!</f>
        <v>#REF!</v>
      </c>
      <c r="C10" s="14" t="e">
        <f>CHAR!#REF!</f>
        <v>#REF!</v>
      </c>
      <c r="D10" s="14" t="e">
        <f>CHAR!#REF!</f>
        <v>#REF!</v>
      </c>
      <c r="E10" s="14" t="e">
        <f>CHAR!#REF!</f>
        <v>#REF!</v>
      </c>
      <c r="F10" s="14" t="e">
        <f>CHAR!#REF!</f>
        <v>#REF!</v>
      </c>
      <c r="G10" s="14" t="e">
        <f>CHAR!#REF!</f>
        <v>#REF!</v>
      </c>
      <c r="H10" s="14" t="e">
        <f>CHAR!#REF!</f>
        <v>#REF!</v>
      </c>
      <c r="I10" s="14" t="e">
        <f>CHAR!#REF!</f>
        <v>#REF!</v>
      </c>
      <c r="J10" s="14" t="e">
        <f>CHAR!#REF!</f>
        <v>#REF!</v>
      </c>
      <c r="K10" s="14" t="e">
        <f>CHAR!#REF!</f>
        <v>#REF!</v>
      </c>
      <c r="L10" s="14" t="e">
        <f>CHAR!#REF!</f>
        <v>#REF!</v>
      </c>
      <c r="M10" s="14" t="e">
        <f>CHAR!#REF!</f>
        <v>#REF!</v>
      </c>
      <c r="N10" s="14" t="e">
        <f>CHAR!#REF!</f>
        <v>#REF!</v>
      </c>
      <c r="O10" s="14" t="e">
        <f>CHAR!#REF!</f>
        <v>#REF!</v>
      </c>
      <c r="P10" s="14" t="e">
        <f>CHAR!#REF!</f>
        <v>#REF!</v>
      </c>
      <c r="Q10" s="14" t="e">
        <f>CHAR!#REF!</f>
        <v>#REF!</v>
      </c>
      <c r="R10" s="14" t="e">
        <f>CHAR!#REF!</f>
        <v>#REF!</v>
      </c>
      <c r="S10" s="14" t="e">
        <f>CHAR!#REF!</f>
        <v>#REF!</v>
      </c>
      <c r="T10" s="14" t="e">
        <f>CHAR!#REF!</f>
        <v>#REF!</v>
      </c>
      <c r="U10" t="e">
        <f>CHAR!#REF!</f>
        <v>#REF!</v>
      </c>
    </row>
    <row r="11" spans="1:21">
      <c r="A11" t="e">
        <f>CHAR!#REF!</f>
        <v>#REF!</v>
      </c>
      <c r="B11" s="41" t="e">
        <f>CHAR!#REF!</f>
        <v>#REF!</v>
      </c>
      <c r="C11" s="14" t="e">
        <f>CHAR!#REF!</f>
        <v>#REF!</v>
      </c>
      <c r="D11" s="14" t="e">
        <f>CHAR!#REF!</f>
        <v>#REF!</v>
      </c>
      <c r="E11" s="14" t="e">
        <f>CHAR!#REF!</f>
        <v>#REF!</v>
      </c>
      <c r="F11" s="14" t="e">
        <f>CHAR!#REF!</f>
        <v>#REF!</v>
      </c>
      <c r="G11" s="14" t="e">
        <f>CHAR!#REF!</f>
        <v>#REF!</v>
      </c>
      <c r="H11" s="14" t="e">
        <f>CHAR!#REF!</f>
        <v>#REF!</v>
      </c>
      <c r="I11" s="14" t="e">
        <f>CHAR!#REF!</f>
        <v>#REF!</v>
      </c>
      <c r="J11" s="14" t="e">
        <f>CHAR!#REF!</f>
        <v>#REF!</v>
      </c>
      <c r="K11" s="14" t="e">
        <f>CHAR!#REF!</f>
        <v>#REF!</v>
      </c>
      <c r="L11" s="14" t="e">
        <f>CHAR!#REF!</f>
        <v>#REF!</v>
      </c>
      <c r="M11" s="14" t="e">
        <f>CHAR!#REF!</f>
        <v>#REF!</v>
      </c>
      <c r="N11" s="14" t="e">
        <f>CHAR!#REF!</f>
        <v>#REF!</v>
      </c>
      <c r="O11" s="14" t="e">
        <f>CHAR!#REF!</f>
        <v>#REF!</v>
      </c>
      <c r="P11" s="14" t="e">
        <f>CHAR!#REF!</f>
        <v>#REF!</v>
      </c>
      <c r="Q11" s="14" t="e">
        <f>CHAR!#REF!</f>
        <v>#REF!</v>
      </c>
      <c r="R11" s="14" t="e">
        <f>CHAR!#REF!</f>
        <v>#REF!</v>
      </c>
      <c r="S11" s="14" t="e">
        <f>CHAR!#REF!</f>
        <v>#REF!</v>
      </c>
      <c r="T11" s="14" t="e">
        <f>CHAR!#REF!</f>
        <v>#REF!</v>
      </c>
      <c r="U11" t="e">
        <f>CHAR!#REF!</f>
        <v>#REF!</v>
      </c>
    </row>
    <row r="12" spans="1:21">
      <c r="A12" t="e">
        <f>CHAR!#REF!</f>
        <v>#REF!</v>
      </c>
      <c r="B12" s="41" t="e">
        <f>CHAR!#REF!</f>
        <v>#REF!</v>
      </c>
      <c r="C12" s="14" t="e">
        <f>CHAR!#REF!</f>
        <v>#REF!</v>
      </c>
      <c r="D12" s="14" t="e">
        <f>CHAR!#REF!</f>
        <v>#REF!</v>
      </c>
      <c r="E12" s="14" t="e">
        <f>CHAR!#REF!</f>
        <v>#REF!</v>
      </c>
      <c r="F12" s="14" t="e">
        <f>CHAR!#REF!</f>
        <v>#REF!</v>
      </c>
      <c r="G12" s="14" t="e">
        <f>CHAR!#REF!</f>
        <v>#REF!</v>
      </c>
      <c r="H12" s="14" t="e">
        <f>CHAR!#REF!</f>
        <v>#REF!</v>
      </c>
      <c r="I12" s="14" t="e">
        <f>CHAR!#REF!</f>
        <v>#REF!</v>
      </c>
      <c r="J12" s="14" t="e">
        <f>CHAR!#REF!</f>
        <v>#REF!</v>
      </c>
      <c r="K12" s="14" t="e">
        <f>CHAR!#REF!</f>
        <v>#REF!</v>
      </c>
      <c r="L12" s="14" t="e">
        <f>CHAR!#REF!</f>
        <v>#REF!</v>
      </c>
      <c r="M12" s="14" t="e">
        <f>CHAR!#REF!</f>
        <v>#REF!</v>
      </c>
      <c r="N12" s="14" t="e">
        <f>CHAR!#REF!</f>
        <v>#REF!</v>
      </c>
      <c r="O12" s="14" t="e">
        <f>CHAR!#REF!</f>
        <v>#REF!</v>
      </c>
      <c r="P12" s="14" t="e">
        <f>CHAR!#REF!</f>
        <v>#REF!</v>
      </c>
      <c r="Q12" s="14" t="e">
        <f>CHAR!#REF!</f>
        <v>#REF!</v>
      </c>
      <c r="R12" s="14" t="e">
        <f>CHAR!#REF!</f>
        <v>#REF!</v>
      </c>
      <c r="S12" s="14" t="e">
        <f>CHAR!#REF!</f>
        <v>#REF!</v>
      </c>
      <c r="T12" s="14" t="e">
        <f>CHAR!#REF!</f>
        <v>#REF!</v>
      </c>
      <c r="U12" t="e">
        <f>CHAR!#REF!</f>
        <v>#REF!</v>
      </c>
    </row>
    <row r="13" spans="1:21">
      <c r="A13" t="e">
        <f>CHAR!#REF!</f>
        <v>#REF!</v>
      </c>
      <c r="B13" s="41" t="e">
        <f>CHAR!#REF!</f>
        <v>#REF!</v>
      </c>
      <c r="C13" s="14" t="e">
        <f>CHAR!#REF!</f>
        <v>#REF!</v>
      </c>
      <c r="D13" s="14" t="e">
        <f>CHAR!#REF!</f>
        <v>#REF!</v>
      </c>
      <c r="E13" s="14" t="e">
        <f>CHAR!#REF!</f>
        <v>#REF!</v>
      </c>
      <c r="F13" s="14" t="e">
        <f>CHAR!#REF!</f>
        <v>#REF!</v>
      </c>
      <c r="G13" s="14" t="e">
        <f>CHAR!#REF!</f>
        <v>#REF!</v>
      </c>
      <c r="H13" s="14" t="e">
        <f>CHAR!#REF!</f>
        <v>#REF!</v>
      </c>
      <c r="I13" s="14" t="e">
        <f>CHAR!#REF!</f>
        <v>#REF!</v>
      </c>
      <c r="J13" s="14" t="e">
        <f>CHAR!#REF!</f>
        <v>#REF!</v>
      </c>
      <c r="K13" s="14" t="e">
        <f>CHAR!#REF!</f>
        <v>#REF!</v>
      </c>
      <c r="L13" s="14" t="e">
        <f>CHAR!#REF!</f>
        <v>#REF!</v>
      </c>
      <c r="M13" s="14" t="e">
        <f>CHAR!#REF!</f>
        <v>#REF!</v>
      </c>
      <c r="N13" s="14" t="e">
        <f>CHAR!#REF!</f>
        <v>#REF!</v>
      </c>
      <c r="O13" s="14" t="e">
        <f>CHAR!#REF!</f>
        <v>#REF!</v>
      </c>
      <c r="P13" s="14" t="e">
        <f>CHAR!#REF!</f>
        <v>#REF!</v>
      </c>
      <c r="Q13" s="14" t="e">
        <f>CHAR!#REF!</f>
        <v>#REF!</v>
      </c>
      <c r="R13" s="14" t="e">
        <f>CHAR!#REF!</f>
        <v>#REF!</v>
      </c>
      <c r="S13" s="14" t="e">
        <f>CHAR!#REF!</f>
        <v>#REF!</v>
      </c>
      <c r="T13" s="14" t="e">
        <f>CHAR!#REF!</f>
        <v>#REF!</v>
      </c>
      <c r="U13" t="e">
        <f>CHAR!#REF!</f>
        <v>#REF!</v>
      </c>
    </row>
    <row r="14" spans="1:21">
      <c r="A14" t="e">
        <f>CHAR!#REF!</f>
        <v>#REF!</v>
      </c>
      <c r="B14" s="41" t="e">
        <f>CHAR!#REF!</f>
        <v>#REF!</v>
      </c>
      <c r="C14" s="625" t="e">
        <f>CHAR!#REF!</f>
        <v>#REF!</v>
      </c>
      <c r="D14" s="625"/>
      <c r="E14" s="625"/>
      <c r="F14" s="625" t="e">
        <f>CHAR!#REF!</f>
        <v>#REF!</v>
      </c>
      <c r="G14" s="625"/>
      <c r="H14" s="625"/>
      <c r="I14" s="625"/>
      <c r="J14" s="619" t="e">
        <f>CHAR!#REF!</f>
        <v>#REF!</v>
      </c>
      <c r="K14" s="620"/>
      <c r="L14" s="10" t="e">
        <f>CHAR!#REF!</f>
        <v>#REF!</v>
      </c>
      <c r="M14" s="619" t="e">
        <f>CHAR!#REF!</f>
        <v>#REF!</v>
      </c>
      <c r="N14" s="620"/>
      <c r="O14" s="10" t="e">
        <f>CHAR!#REF!</f>
        <v>#REF!</v>
      </c>
      <c r="P14" s="10" t="e">
        <f>CHAR!#REF!</f>
        <v>#REF!</v>
      </c>
      <c r="Q14" s="619" t="e">
        <f>CHAR!#REF!</f>
        <v>#REF!</v>
      </c>
      <c r="R14" s="620"/>
      <c r="S14" s="101" t="e">
        <f>CHAR!#REF!</f>
        <v>#REF!</v>
      </c>
      <c r="T14" s="10" t="e">
        <f>CHAR!#REF!</f>
        <v>#REF!</v>
      </c>
      <c r="U14" t="e">
        <f>CHAR!#REF!</f>
        <v>#REF!</v>
      </c>
    </row>
    <row r="15" spans="1:21">
      <c r="A15" t="e">
        <f>CHAR!#REF!</f>
        <v>#REF!</v>
      </c>
      <c r="B15" s="41" t="e">
        <f>CHAR!#REF!</f>
        <v>#REF!</v>
      </c>
      <c r="C15" s="14" t="e">
        <f>CHAR!#REF!</f>
        <v>#REF!</v>
      </c>
      <c r="D15" s="14" t="e">
        <f>CHAR!#REF!</f>
        <v>#REF!</v>
      </c>
      <c r="E15" s="14" t="e">
        <f>CHAR!#REF!</f>
        <v>#REF!</v>
      </c>
      <c r="F15" s="14" t="e">
        <f>CHAR!#REF!</f>
        <v>#REF!</v>
      </c>
      <c r="G15" s="14" t="e">
        <f>CHAR!#REF!</f>
        <v>#REF!</v>
      </c>
      <c r="H15" s="14" t="e">
        <f>CHAR!#REF!</f>
        <v>#REF!</v>
      </c>
      <c r="I15" s="14" t="e">
        <f>CHAR!#REF!</f>
        <v>#REF!</v>
      </c>
      <c r="J15" s="14" t="e">
        <f>CHAR!#REF!</f>
        <v>#REF!</v>
      </c>
      <c r="K15" s="14" t="e">
        <f>CHAR!#REF!</f>
        <v>#REF!</v>
      </c>
      <c r="L15" s="14" t="e">
        <f>CHAR!#REF!</f>
        <v>#REF!</v>
      </c>
      <c r="M15" s="14" t="e">
        <f>CHAR!#REF!</f>
        <v>#REF!</v>
      </c>
      <c r="N15" s="14" t="e">
        <f>CHAR!#REF!</f>
        <v>#REF!</v>
      </c>
      <c r="O15" s="14" t="e">
        <f>CHAR!#REF!</f>
        <v>#REF!</v>
      </c>
      <c r="P15" s="14" t="e">
        <f>CHAR!#REF!</f>
        <v>#REF!</v>
      </c>
      <c r="Q15" s="14" t="e">
        <f>CHAR!#REF!</f>
        <v>#REF!</v>
      </c>
      <c r="R15" s="14" t="e">
        <f>CHAR!#REF!</f>
        <v>#REF!</v>
      </c>
      <c r="S15" s="14" t="e">
        <f>CHAR!#REF!</f>
        <v>#REF!</v>
      </c>
      <c r="T15" s="14" t="e">
        <f>CHAR!#REF!</f>
        <v>#REF!</v>
      </c>
      <c r="U15" t="e">
        <f>CHAR!#REF!</f>
        <v>#REF!</v>
      </c>
    </row>
    <row r="16" spans="1:21">
      <c r="A16" t="e">
        <f>CHAR!#REF!</f>
        <v>#REF!</v>
      </c>
      <c r="B16" s="41" t="e">
        <f>CHAR!#REF!</f>
        <v>#REF!</v>
      </c>
      <c r="C16" s="625" t="e">
        <f>CHAR!#REF!</f>
        <v>#REF!</v>
      </c>
      <c r="D16" s="625"/>
      <c r="E16" s="625"/>
      <c r="F16" s="625" t="e">
        <f>CHAR!#REF!</f>
        <v>#REF!</v>
      </c>
      <c r="G16" s="625"/>
      <c r="H16" s="625"/>
      <c r="I16" s="625"/>
      <c r="J16" s="619" t="e">
        <f>CHAR!#REF!</f>
        <v>#REF!</v>
      </c>
      <c r="K16" s="620"/>
      <c r="L16" s="10" t="e">
        <f>CHAR!#REF!</f>
        <v>#REF!</v>
      </c>
      <c r="M16" s="619" t="e">
        <f>CHAR!#REF!</f>
        <v>#REF!</v>
      </c>
      <c r="N16" s="620"/>
      <c r="O16" s="10" t="e">
        <f>CHAR!#REF!</f>
        <v>#REF!</v>
      </c>
      <c r="P16" s="10" t="e">
        <f>CHAR!#REF!</f>
        <v>#REF!</v>
      </c>
      <c r="Q16" s="619" t="e">
        <f>CHAR!#REF!</f>
        <v>#REF!</v>
      </c>
      <c r="R16" s="620"/>
      <c r="S16" s="101" t="e">
        <f>CHAR!#REF!</f>
        <v>#REF!</v>
      </c>
      <c r="T16" s="10" t="e">
        <f>CHAR!#REF!</f>
        <v>#REF!</v>
      </c>
      <c r="U16" t="e">
        <f>CHAR!#REF!</f>
        <v>#REF!</v>
      </c>
    </row>
    <row r="17" spans="1:21">
      <c r="B17" s="12"/>
      <c r="C17" s="48"/>
      <c r="D17" s="11"/>
      <c r="E17" s="49"/>
      <c r="F17" s="48"/>
      <c r="G17" s="11"/>
      <c r="H17" s="11"/>
      <c r="I17" s="49"/>
      <c r="J17" s="48"/>
      <c r="K17" s="49"/>
      <c r="L17" s="68"/>
      <c r="M17" s="48"/>
      <c r="N17" s="49"/>
      <c r="O17" s="68"/>
      <c r="P17" s="68"/>
      <c r="Q17" s="48"/>
      <c r="R17" s="49"/>
      <c r="S17" s="49"/>
      <c r="T17" s="68"/>
    </row>
    <row r="18" spans="1:21">
      <c r="A18" s="23" t="e">
        <f>SUM(C18:T18)</f>
        <v>#REF!</v>
      </c>
      <c r="B18" s="16"/>
      <c r="C18" s="50" t="e">
        <f>C19*C9</f>
        <v>#REF!</v>
      </c>
      <c r="D18" s="39" t="e">
        <f t="shared" ref="D18:T18" si="0">D19*D9</f>
        <v>#REF!</v>
      </c>
      <c r="E18" s="40" t="e">
        <f t="shared" si="0"/>
        <v>#REF!</v>
      </c>
      <c r="F18" s="50" t="e">
        <f t="shared" si="0"/>
        <v>#REF!</v>
      </c>
      <c r="G18" s="39" t="e">
        <f t="shared" si="0"/>
        <v>#REF!</v>
      </c>
      <c r="H18" s="39" t="e">
        <f t="shared" si="0"/>
        <v>#REF!</v>
      </c>
      <c r="I18" s="40" t="e">
        <f t="shared" si="0"/>
        <v>#REF!</v>
      </c>
      <c r="J18" s="50" t="e">
        <f t="shared" si="0"/>
        <v>#REF!</v>
      </c>
      <c r="K18" s="40" t="e">
        <f t="shared" si="0"/>
        <v>#REF!</v>
      </c>
      <c r="L18" s="69" t="e">
        <f t="shared" si="0"/>
        <v>#REF!</v>
      </c>
      <c r="M18" s="50" t="e">
        <f t="shared" si="0"/>
        <v>#REF!</v>
      </c>
      <c r="N18" s="40" t="e">
        <f t="shared" si="0"/>
        <v>#REF!</v>
      </c>
      <c r="O18" s="69" t="e">
        <f t="shared" si="0"/>
        <v>#REF!</v>
      </c>
      <c r="P18" s="69" t="e">
        <f t="shared" si="0"/>
        <v>#REF!</v>
      </c>
      <c r="Q18" s="50" t="e">
        <f t="shared" si="0"/>
        <v>#REF!</v>
      </c>
      <c r="R18" s="40" t="e">
        <f t="shared" si="0"/>
        <v>#REF!</v>
      </c>
      <c r="S18" s="40" t="e">
        <f>S19*S9</f>
        <v>#REF!</v>
      </c>
      <c r="T18" s="69" t="e">
        <f t="shared" si="0"/>
        <v>#REF!</v>
      </c>
      <c r="U18" s="16"/>
    </row>
    <row r="19" spans="1:21">
      <c r="B19" t="s">
        <v>336</v>
      </c>
      <c r="C19" s="51" t="e">
        <f>C39</f>
        <v>#REF!</v>
      </c>
      <c r="D19" s="52" t="e">
        <f t="shared" ref="D19:T19" si="1">D39</f>
        <v>#REF!</v>
      </c>
      <c r="E19" s="53" t="e">
        <f t="shared" si="1"/>
        <v>#REF!</v>
      </c>
      <c r="F19" s="51" t="e">
        <f t="shared" si="1"/>
        <v>#REF!</v>
      </c>
      <c r="G19" s="52" t="e">
        <f t="shared" si="1"/>
        <v>#REF!</v>
      </c>
      <c r="H19" s="52" t="e">
        <f t="shared" si="1"/>
        <v>#REF!</v>
      </c>
      <c r="I19" s="53" t="e">
        <f t="shared" si="1"/>
        <v>#REF!</v>
      </c>
      <c r="J19" s="51" t="e">
        <f t="shared" si="1"/>
        <v>#REF!</v>
      </c>
      <c r="K19" s="53" t="e">
        <f t="shared" si="1"/>
        <v>#REF!</v>
      </c>
      <c r="L19" s="70" t="e">
        <f t="shared" si="1"/>
        <v>#REF!</v>
      </c>
      <c r="M19" s="51" t="e">
        <f t="shared" si="1"/>
        <v>#REF!</v>
      </c>
      <c r="N19" s="53" t="e">
        <f t="shared" si="1"/>
        <v>#REF!</v>
      </c>
      <c r="O19" s="70" t="e">
        <f t="shared" si="1"/>
        <v>#REF!</v>
      </c>
      <c r="P19" s="70" t="e">
        <f t="shared" si="1"/>
        <v>#REF!</v>
      </c>
      <c r="Q19" s="51" t="e">
        <f t="shared" si="1"/>
        <v>#REF!</v>
      </c>
      <c r="R19" s="53" t="e">
        <f t="shared" si="1"/>
        <v>#REF!</v>
      </c>
      <c r="S19" s="103" t="e">
        <f>S39</f>
        <v>#REF!</v>
      </c>
      <c r="T19" s="70" t="e">
        <f t="shared" si="1"/>
        <v>#REF!</v>
      </c>
    </row>
    <row r="20" spans="1:21">
      <c r="B20" s="46" t="s">
        <v>337</v>
      </c>
      <c r="C20" s="615" t="e">
        <f>(C19*C$8)+(D19*D$8)+(E19*E$8)</f>
        <v>#REF!</v>
      </c>
      <c r="D20" s="616"/>
      <c r="E20" s="617"/>
      <c r="F20" s="618" t="e">
        <f>(F19*F$8)+(G19*G$8)+(H19*H$8)+(I19*I$8)</f>
        <v>#REF!</v>
      </c>
      <c r="G20" s="618"/>
      <c r="H20" s="618"/>
      <c r="I20" s="618"/>
      <c r="J20" s="615" t="e">
        <f>(J19*J$8)+(K19*K$8)</f>
        <v>#REF!</v>
      </c>
      <c r="K20" s="617"/>
      <c r="L20" s="27" t="e">
        <f>L19*$L$8</f>
        <v>#REF!</v>
      </c>
      <c r="M20" s="615" t="e">
        <f>(M19*M$8)+(N19*N$8)</f>
        <v>#REF!</v>
      </c>
      <c r="N20" s="617"/>
      <c r="O20" s="27" t="e">
        <f>O19*$O$8</f>
        <v>#REF!</v>
      </c>
      <c r="P20" s="27" t="e">
        <f>P19*$P$8</f>
        <v>#REF!</v>
      </c>
      <c r="Q20" s="615" t="e">
        <f>(Q19*Q$8)+(R19*R$8)</f>
        <v>#REF!</v>
      </c>
      <c r="R20" s="617"/>
      <c r="S20" s="104" t="e">
        <f>S19*$T$8</f>
        <v>#REF!</v>
      </c>
      <c r="T20" s="27" t="e">
        <f>T19*$T$8</f>
        <v>#REF!</v>
      </c>
    </row>
    <row r="21" spans="1:21">
      <c r="C21" s="36"/>
      <c r="D21" s="12"/>
      <c r="E21" s="37"/>
      <c r="F21" s="63"/>
      <c r="G21" s="12"/>
      <c r="H21" s="12"/>
      <c r="I21" s="37"/>
      <c r="J21" s="36"/>
      <c r="K21" s="37"/>
      <c r="L21" s="71"/>
      <c r="M21" s="36"/>
      <c r="N21" s="37"/>
      <c r="O21" s="71"/>
      <c r="P21" s="71"/>
      <c r="Q21" s="36"/>
      <c r="R21" s="37"/>
      <c r="S21" s="67"/>
      <c r="T21" s="71"/>
    </row>
    <row r="22" spans="1:21">
      <c r="B22" t="s">
        <v>338</v>
      </c>
      <c r="C22" s="51">
        <v>2</v>
      </c>
      <c r="D22" s="52">
        <v>2</v>
      </c>
      <c r="E22" s="53">
        <v>2</v>
      </c>
      <c r="F22" s="51">
        <v>2</v>
      </c>
      <c r="G22" s="52">
        <v>2.2000000000000002</v>
      </c>
      <c r="H22" s="52">
        <v>3</v>
      </c>
      <c r="I22" s="53">
        <v>3</v>
      </c>
      <c r="J22" s="51">
        <v>3</v>
      </c>
      <c r="K22" s="53">
        <v>4</v>
      </c>
      <c r="L22" s="70">
        <v>2</v>
      </c>
      <c r="M22" s="51">
        <v>5</v>
      </c>
      <c r="N22" s="53">
        <v>4</v>
      </c>
      <c r="O22" s="70">
        <v>4</v>
      </c>
      <c r="P22" s="70">
        <v>4</v>
      </c>
      <c r="Q22" s="51">
        <v>6</v>
      </c>
      <c r="R22" s="53">
        <v>5</v>
      </c>
      <c r="S22" s="103">
        <v>4</v>
      </c>
      <c r="T22" s="70">
        <v>4</v>
      </c>
    </row>
    <row r="23" spans="1:21">
      <c r="B23" t="s">
        <v>339</v>
      </c>
      <c r="C23" s="51">
        <v>0.1</v>
      </c>
      <c r="D23" s="52">
        <v>0.1</v>
      </c>
      <c r="E23" s="53">
        <v>0.1</v>
      </c>
      <c r="F23" s="51">
        <v>0.1</v>
      </c>
      <c r="G23" s="52">
        <v>0.1</v>
      </c>
      <c r="H23" s="52">
        <v>0.1</v>
      </c>
      <c r="I23" s="53">
        <v>0.1</v>
      </c>
      <c r="J23" s="51">
        <v>0.1</v>
      </c>
      <c r="K23" s="53">
        <v>0.1</v>
      </c>
      <c r="L23" s="70">
        <v>0.1</v>
      </c>
      <c r="M23" s="51">
        <v>0.1</v>
      </c>
      <c r="N23" s="53">
        <v>0.1</v>
      </c>
      <c r="O23" s="70">
        <v>0.1</v>
      </c>
      <c r="P23" s="70">
        <v>0.1</v>
      </c>
      <c r="Q23" s="51">
        <v>0.2</v>
      </c>
      <c r="R23" s="53">
        <v>0.1</v>
      </c>
      <c r="S23" s="103">
        <v>0.1</v>
      </c>
      <c r="T23" s="70">
        <v>0.1</v>
      </c>
    </row>
    <row r="24" spans="1:21">
      <c r="B24" t="s">
        <v>340</v>
      </c>
      <c r="C24" s="51">
        <f>C22/2</f>
        <v>1</v>
      </c>
      <c r="D24" s="52">
        <f>D22/2</f>
        <v>1</v>
      </c>
      <c r="E24" s="53">
        <f>E22/2</f>
        <v>1</v>
      </c>
      <c r="F24" s="51">
        <f t="shared" ref="F24:T24" si="2">F22/2</f>
        <v>1</v>
      </c>
      <c r="G24" s="52">
        <f t="shared" si="2"/>
        <v>1.1000000000000001</v>
      </c>
      <c r="H24" s="52">
        <f t="shared" si="2"/>
        <v>1.5</v>
      </c>
      <c r="I24" s="53">
        <f t="shared" si="2"/>
        <v>1.5</v>
      </c>
      <c r="J24" s="51">
        <f t="shared" si="2"/>
        <v>1.5</v>
      </c>
      <c r="K24" s="53">
        <f t="shared" si="2"/>
        <v>2</v>
      </c>
      <c r="L24" s="70">
        <f t="shared" si="2"/>
        <v>1</v>
      </c>
      <c r="M24" s="51">
        <f t="shared" si="2"/>
        <v>2.5</v>
      </c>
      <c r="N24" s="53">
        <f t="shared" si="2"/>
        <v>2</v>
      </c>
      <c r="O24" s="70">
        <f t="shared" si="2"/>
        <v>2</v>
      </c>
      <c r="P24" s="70">
        <f t="shared" si="2"/>
        <v>2</v>
      </c>
      <c r="Q24" s="51">
        <f t="shared" si="2"/>
        <v>3</v>
      </c>
      <c r="R24" s="53">
        <f t="shared" si="2"/>
        <v>2.5</v>
      </c>
      <c r="S24" s="103">
        <f>S22/2</f>
        <v>2</v>
      </c>
      <c r="T24" s="70">
        <f t="shared" si="2"/>
        <v>2</v>
      </c>
    </row>
    <row r="25" spans="1:21">
      <c r="B25" t="s">
        <v>44</v>
      </c>
      <c r="C25" s="77">
        <v>0.27</v>
      </c>
      <c r="D25" s="78">
        <v>0.27</v>
      </c>
      <c r="E25" s="79">
        <v>0.27</v>
      </c>
      <c r="F25" s="77">
        <v>0.28999999999999998</v>
      </c>
      <c r="G25" s="78">
        <v>0.28999999999999998</v>
      </c>
      <c r="H25" s="78">
        <v>0.28999999999999998</v>
      </c>
      <c r="I25" s="79">
        <v>0.28999999999999998</v>
      </c>
      <c r="J25" s="78">
        <v>0.28999999999999998</v>
      </c>
      <c r="K25" s="78">
        <v>0.28999999999999998</v>
      </c>
      <c r="L25" s="80">
        <v>0.17</v>
      </c>
      <c r="M25" s="51">
        <v>0.5</v>
      </c>
      <c r="N25" s="53">
        <v>0.5</v>
      </c>
      <c r="O25" s="70">
        <v>0.5</v>
      </c>
      <c r="P25" s="70">
        <v>0.3</v>
      </c>
      <c r="Q25" s="51">
        <v>0.5</v>
      </c>
      <c r="R25" s="53">
        <v>0.5</v>
      </c>
      <c r="S25" s="103">
        <v>0.4</v>
      </c>
      <c r="T25" s="70">
        <v>0.6</v>
      </c>
    </row>
    <row r="26" spans="1:21">
      <c r="C26" s="50"/>
      <c r="D26" s="39"/>
      <c r="E26" s="40"/>
      <c r="F26" s="64"/>
      <c r="G26" s="39"/>
      <c r="H26" s="39"/>
      <c r="I26" s="40"/>
      <c r="J26" s="50"/>
      <c r="K26" s="40"/>
      <c r="L26" s="69"/>
      <c r="M26" s="50"/>
      <c r="N26" s="40"/>
      <c r="O26" s="69"/>
      <c r="P26" s="69"/>
      <c r="Q26" s="50"/>
      <c r="R26" s="40"/>
      <c r="S26" s="108"/>
      <c r="T26" s="69"/>
    </row>
    <row r="27" spans="1:21">
      <c r="A27" s="85" t="e">
        <f t="shared" ref="A27:A33" si="3">SUMPRODUCT(C27:T27,$C$9:$T$9)</f>
        <v>#REF!</v>
      </c>
      <c r="B27" t="s">
        <v>341</v>
      </c>
      <c r="C27" s="121">
        <v>2.5</v>
      </c>
      <c r="D27" s="122">
        <v>1.8</v>
      </c>
      <c r="E27" s="103">
        <v>1</v>
      </c>
      <c r="F27" s="121">
        <v>1.2</v>
      </c>
      <c r="G27" s="122">
        <v>2.5</v>
      </c>
      <c r="H27" s="122">
        <v>3.5</v>
      </c>
      <c r="I27" s="103">
        <v>4</v>
      </c>
      <c r="J27" s="121">
        <v>0.7</v>
      </c>
      <c r="K27" s="103">
        <v>3</v>
      </c>
      <c r="L27" s="123">
        <v>0.5</v>
      </c>
      <c r="M27" s="121">
        <v>4</v>
      </c>
      <c r="N27" s="103">
        <v>6</v>
      </c>
      <c r="O27" s="123">
        <v>5</v>
      </c>
      <c r="P27" s="123">
        <v>2.5</v>
      </c>
      <c r="Q27" s="121">
        <v>2</v>
      </c>
      <c r="R27" s="103">
        <v>3</v>
      </c>
      <c r="S27" s="103">
        <v>2.5</v>
      </c>
      <c r="T27" s="123">
        <v>2.5</v>
      </c>
    </row>
    <row r="28" spans="1:21">
      <c r="A28" s="85" t="e">
        <f t="shared" si="3"/>
        <v>#REF!</v>
      </c>
      <c r="B28" s="7" t="s">
        <v>342</v>
      </c>
      <c r="C28" s="51" t="e">
        <f>C47</f>
        <v>#REF!</v>
      </c>
      <c r="D28" s="52" t="e">
        <f>D47</f>
        <v>#REF!</v>
      </c>
      <c r="E28" s="53" t="e">
        <f>E47</f>
        <v>#REF!</v>
      </c>
      <c r="F28" s="51" t="e">
        <f>F47</f>
        <v>#REF!</v>
      </c>
      <c r="G28" s="52">
        <v>2</v>
      </c>
      <c r="H28" s="52">
        <v>2.8</v>
      </c>
      <c r="I28" s="53">
        <v>2.6</v>
      </c>
      <c r="J28" s="51">
        <v>2.2999999999999998</v>
      </c>
      <c r="K28" s="53">
        <v>2</v>
      </c>
      <c r="L28" s="70">
        <v>0.5</v>
      </c>
      <c r="M28" s="51">
        <v>3.5</v>
      </c>
      <c r="N28" s="53">
        <v>4</v>
      </c>
      <c r="O28" s="70">
        <v>5</v>
      </c>
      <c r="P28" s="70">
        <v>2.5</v>
      </c>
      <c r="Q28" s="51">
        <v>7</v>
      </c>
      <c r="R28" s="53">
        <v>4.7</v>
      </c>
      <c r="S28" s="103">
        <v>2</v>
      </c>
      <c r="T28" s="70">
        <v>2</v>
      </c>
    </row>
    <row r="29" spans="1:21">
      <c r="A29" s="85" t="e">
        <f t="shared" si="3"/>
        <v>#REF!</v>
      </c>
      <c r="B29" t="s">
        <v>343</v>
      </c>
      <c r="C29" s="51">
        <v>0.5</v>
      </c>
      <c r="D29" s="52">
        <v>0.5</v>
      </c>
      <c r="E29" s="53">
        <v>0.5</v>
      </c>
      <c r="F29" s="51">
        <v>0.1</v>
      </c>
      <c r="G29" s="52">
        <v>0.1</v>
      </c>
      <c r="H29" s="52">
        <v>0.1</v>
      </c>
      <c r="I29" s="53">
        <v>0.1</v>
      </c>
      <c r="J29" s="51">
        <v>0.1</v>
      </c>
      <c r="K29" s="53">
        <v>1</v>
      </c>
      <c r="L29" s="70">
        <v>0.1</v>
      </c>
      <c r="M29" s="51">
        <v>1</v>
      </c>
      <c r="N29" s="53">
        <v>1</v>
      </c>
      <c r="O29" s="70">
        <v>1</v>
      </c>
      <c r="P29" s="70">
        <v>1</v>
      </c>
      <c r="Q29" s="51">
        <v>0.7</v>
      </c>
      <c r="R29" s="53">
        <v>0.5</v>
      </c>
      <c r="S29" s="103">
        <v>0.1</v>
      </c>
      <c r="T29" s="70">
        <v>0.1</v>
      </c>
    </row>
    <row r="30" spans="1:21">
      <c r="A30" s="85" t="e">
        <f t="shared" si="3"/>
        <v>#REF!</v>
      </c>
      <c r="B30" t="s">
        <v>344</v>
      </c>
      <c r="C30" s="51">
        <v>0.2</v>
      </c>
      <c r="D30" s="52">
        <v>0.1</v>
      </c>
      <c r="E30" s="53">
        <v>0</v>
      </c>
      <c r="F30" s="51">
        <v>1</v>
      </c>
      <c r="G30" s="52">
        <v>0.2</v>
      </c>
      <c r="H30" s="52">
        <v>0</v>
      </c>
      <c r="I30" s="53">
        <v>0</v>
      </c>
      <c r="J30" s="51">
        <v>0.5</v>
      </c>
      <c r="K30" s="53">
        <v>1</v>
      </c>
      <c r="L30" s="70">
        <v>0</v>
      </c>
      <c r="M30" s="51">
        <v>4</v>
      </c>
      <c r="N30" s="53">
        <v>8</v>
      </c>
      <c r="O30" s="70">
        <v>10</v>
      </c>
      <c r="P30" s="70">
        <v>1.5</v>
      </c>
      <c r="Q30" s="51">
        <v>0.7</v>
      </c>
      <c r="R30" s="53">
        <v>0</v>
      </c>
      <c r="S30" s="103">
        <v>0.1</v>
      </c>
      <c r="T30" s="70">
        <v>0.1</v>
      </c>
    </row>
    <row r="31" spans="1:21">
      <c r="A31" s="85" t="e">
        <f t="shared" si="3"/>
        <v>#REF!</v>
      </c>
      <c r="B31" t="s">
        <v>345</v>
      </c>
      <c r="C31" s="51">
        <v>0.03</v>
      </c>
      <c r="D31" s="52">
        <v>0.03</v>
      </c>
      <c r="E31" s="53">
        <v>0.03</v>
      </c>
      <c r="F31" s="51">
        <v>15</v>
      </c>
      <c r="G31" s="52">
        <v>0.2</v>
      </c>
      <c r="H31" s="52">
        <v>0.03</v>
      </c>
      <c r="I31" s="53">
        <v>0.03</v>
      </c>
      <c r="J31" s="51">
        <v>0.5</v>
      </c>
      <c r="K31" s="53">
        <v>1</v>
      </c>
      <c r="L31" s="70">
        <v>0.03</v>
      </c>
      <c r="M31" s="51">
        <v>26</v>
      </c>
      <c r="N31" s="53">
        <v>36</v>
      </c>
      <c r="O31" s="70">
        <v>11</v>
      </c>
      <c r="P31" s="70">
        <v>1.5</v>
      </c>
      <c r="Q31" s="51">
        <v>1</v>
      </c>
      <c r="R31" s="53">
        <v>0.5</v>
      </c>
      <c r="S31" s="103">
        <v>2</v>
      </c>
      <c r="T31" s="70">
        <v>2</v>
      </c>
    </row>
    <row r="32" spans="1:21">
      <c r="A32" s="85" t="e">
        <f t="shared" si="3"/>
        <v>#REF!</v>
      </c>
      <c r="B32" t="s">
        <v>346</v>
      </c>
      <c r="C32" s="121" t="e">
        <f>C44</f>
        <v>#REF!</v>
      </c>
      <c r="D32" s="122" t="e">
        <f t="shared" ref="D32:T32" si="4">D44</f>
        <v>#REF!</v>
      </c>
      <c r="E32" s="103" t="e">
        <f t="shared" si="4"/>
        <v>#REF!</v>
      </c>
      <c r="F32" s="121" t="e">
        <f t="shared" si="4"/>
        <v>#REF!</v>
      </c>
      <c r="G32" s="122" t="e">
        <f t="shared" si="4"/>
        <v>#REF!</v>
      </c>
      <c r="H32" s="122" t="e">
        <f t="shared" si="4"/>
        <v>#REF!</v>
      </c>
      <c r="I32" s="103" t="e">
        <f t="shared" si="4"/>
        <v>#REF!</v>
      </c>
      <c r="J32" s="121" t="e">
        <f t="shared" si="4"/>
        <v>#REF!</v>
      </c>
      <c r="K32" s="103" t="e">
        <f t="shared" si="4"/>
        <v>#REF!</v>
      </c>
      <c r="L32" s="123" t="e">
        <f t="shared" si="4"/>
        <v>#REF!</v>
      </c>
      <c r="M32" s="121" t="e">
        <f t="shared" si="4"/>
        <v>#REF!</v>
      </c>
      <c r="N32" s="103" t="e">
        <f t="shared" si="4"/>
        <v>#REF!</v>
      </c>
      <c r="O32" s="123" t="e">
        <f t="shared" si="4"/>
        <v>#REF!</v>
      </c>
      <c r="P32" s="123" t="e">
        <f t="shared" si="4"/>
        <v>#REF!</v>
      </c>
      <c r="Q32" s="121" t="e">
        <f t="shared" si="4"/>
        <v>#REF!</v>
      </c>
      <c r="R32" s="103" t="e">
        <f t="shared" si="4"/>
        <v>#REF!</v>
      </c>
      <c r="S32" s="103" t="e">
        <f>S44</f>
        <v>#REF!</v>
      </c>
      <c r="T32" s="123" t="e">
        <f t="shared" si="4"/>
        <v>#REF!</v>
      </c>
    </row>
    <row r="33" spans="1:20">
      <c r="A33" s="85" t="e">
        <f t="shared" si="3"/>
        <v>#REF!</v>
      </c>
      <c r="B33" t="s">
        <v>347</v>
      </c>
      <c r="C33" s="51">
        <v>5</v>
      </c>
      <c r="D33" s="52">
        <v>5</v>
      </c>
      <c r="E33" s="53">
        <v>4</v>
      </c>
      <c r="F33" s="51">
        <v>4</v>
      </c>
      <c r="G33" s="52">
        <v>2</v>
      </c>
      <c r="H33" s="52">
        <v>2</v>
      </c>
      <c r="I33" s="53">
        <v>2</v>
      </c>
      <c r="J33" s="51">
        <v>1</v>
      </c>
      <c r="K33" s="53">
        <v>6</v>
      </c>
      <c r="L33" s="70">
        <v>1.2</v>
      </c>
      <c r="M33" s="51">
        <v>2</v>
      </c>
      <c r="N33" s="53">
        <v>3</v>
      </c>
      <c r="O33" s="70">
        <v>3</v>
      </c>
      <c r="P33" s="70">
        <v>3.5</v>
      </c>
      <c r="Q33" s="51">
        <v>6</v>
      </c>
      <c r="R33" s="53">
        <v>3</v>
      </c>
      <c r="S33" s="103">
        <v>5</v>
      </c>
      <c r="T33" s="70">
        <v>5</v>
      </c>
    </row>
    <row r="34" spans="1:20">
      <c r="C34" s="50"/>
      <c r="D34" s="39"/>
      <c r="E34" s="40"/>
      <c r="F34" s="64"/>
      <c r="G34" s="39"/>
      <c r="H34" s="39"/>
      <c r="I34" s="40"/>
      <c r="J34" s="50"/>
      <c r="K34" s="40"/>
      <c r="L34" s="69"/>
      <c r="M34" s="50"/>
      <c r="N34" s="40"/>
      <c r="O34" s="69"/>
      <c r="P34" s="69"/>
      <c r="Q34" s="50"/>
      <c r="R34" s="40"/>
      <c r="S34" s="108"/>
      <c r="T34" s="69"/>
    </row>
    <row r="35" spans="1:20">
      <c r="A35" s="85" t="e">
        <f>SUMPRODUCT(C35:T35,$C$9:$T$9)</f>
        <v>#REF!</v>
      </c>
      <c r="B35" t="s">
        <v>348</v>
      </c>
      <c r="C35" s="51" t="e">
        <f t="shared" ref="C35:T35" si="5">SUM(C27:C33)+C22</f>
        <v>#REF!</v>
      </c>
      <c r="D35" s="52" t="e">
        <f t="shared" si="5"/>
        <v>#REF!</v>
      </c>
      <c r="E35" s="53" t="e">
        <f t="shared" si="5"/>
        <v>#REF!</v>
      </c>
      <c r="F35" s="51" t="e">
        <f t="shared" si="5"/>
        <v>#REF!</v>
      </c>
      <c r="G35" s="52" t="e">
        <f t="shared" si="5"/>
        <v>#REF!</v>
      </c>
      <c r="H35" s="52" t="e">
        <f t="shared" si="5"/>
        <v>#REF!</v>
      </c>
      <c r="I35" s="53" t="e">
        <f t="shared" si="5"/>
        <v>#REF!</v>
      </c>
      <c r="J35" s="51" t="e">
        <f t="shared" si="5"/>
        <v>#REF!</v>
      </c>
      <c r="K35" s="53" t="e">
        <f t="shared" si="5"/>
        <v>#REF!</v>
      </c>
      <c r="L35" s="70" t="e">
        <f t="shared" si="5"/>
        <v>#REF!</v>
      </c>
      <c r="M35" s="51" t="e">
        <f t="shared" si="5"/>
        <v>#REF!</v>
      </c>
      <c r="N35" s="53" t="e">
        <f t="shared" si="5"/>
        <v>#REF!</v>
      </c>
      <c r="O35" s="70" t="e">
        <f t="shared" si="5"/>
        <v>#REF!</v>
      </c>
      <c r="P35" s="70" t="e">
        <f t="shared" si="5"/>
        <v>#REF!</v>
      </c>
      <c r="Q35" s="51" t="e">
        <f t="shared" si="5"/>
        <v>#REF!</v>
      </c>
      <c r="R35" s="53" t="e">
        <f t="shared" si="5"/>
        <v>#REF!</v>
      </c>
      <c r="S35" s="103" t="e">
        <f>SUM(S27:S33)+S22</f>
        <v>#REF!</v>
      </c>
      <c r="T35" s="70" t="e">
        <f t="shared" si="5"/>
        <v>#REF!</v>
      </c>
    </row>
    <row r="36" spans="1:20">
      <c r="A36" s="85" t="e">
        <f>SUMPRODUCT(C36:T36,$C$9:$T$9)</f>
        <v>#REF!</v>
      </c>
      <c r="B36" t="s">
        <v>349</v>
      </c>
      <c r="C36" s="51" t="e">
        <f t="shared" ref="C36:T36" si="6">SUM(C27:C33)+C23</f>
        <v>#REF!</v>
      </c>
      <c r="D36" s="52" t="e">
        <f t="shared" si="6"/>
        <v>#REF!</v>
      </c>
      <c r="E36" s="53" t="e">
        <f t="shared" si="6"/>
        <v>#REF!</v>
      </c>
      <c r="F36" s="51" t="e">
        <f t="shared" si="6"/>
        <v>#REF!</v>
      </c>
      <c r="G36" s="52" t="e">
        <f t="shared" si="6"/>
        <v>#REF!</v>
      </c>
      <c r="H36" s="52" t="e">
        <f t="shared" si="6"/>
        <v>#REF!</v>
      </c>
      <c r="I36" s="53" t="e">
        <f t="shared" si="6"/>
        <v>#REF!</v>
      </c>
      <c r="J36" s="51" t="e">
        <f t="shared" si="6"/>
        <v>#REF!</v>
      </c>
      <c r="K36" s="53" t="e">
        <f t="shared" si="6"/>
        <v>#REF!</v>
      </c>
      <c r="L36" s="70" t="e">
        <f t="shared" si="6"/>
        <v>#REF!</v>
      </c>
      <c r="M36" s="51" t="e">
        <f t="shared" si="6"/>
        <v>#REF!</v>
      </c>
      <c r="N36" s="53" t="e">
        <f t="shared" si="6"/>
        <v>#REF!</v>
      </c>
      <c r="O36" s="70" t="e">
        <f t="shared" si="6"/>
        <v>#REF!</v>
      </c>
      <c r="P36" s="70" t="e">
        <f t="shared" si="6"/>
        <v>#REF!</v>
      </c>
      <c r="Q36" s="51" t="e">
        <f t="shared" si="6"/>
        <v>#REF!</v>
      </c>
      <c r="R36" s="53" t="e">
        <f t="shared" si="6"/>
        <v>#REF!</v>
      </c>
      <c r="S36" s="103" t="e">
        <f>SUM(S27:S33)+S23</f>
        <v>#REF!</v>
      </c>
      <c r="T36" s="70" t="e">
        <f t="shared" si="6"/>
        <v>#REF!</v>
      </c>
    </row>
    <row r="37" spans="1:20">
      <c r="A37" s="85" t="e">
        <f>SUMPRODUCT(C37:T37,$C$9:$T$9)</f>
        <v>#REF!</v>
      </c>
      <c r="B37" t="s">
        <v>350</v>
      </c>
      <c r="C37" s="51" t="e">
        <f t="shared" ref="C37:T37" si="7">SUM(C27:C33)+C24</f>
        <v>#REF!</v>
      </c>
      <c r="D37" s="52" t="e">
        <f t="shared" si="7"/>
        <v>#REF!</v>
      </c>
      <c r="E37" s="53" t="e">
        <f t="shared" si="7"/>
        <v>#REF!</v>
      </c>
      <c r="F37" s="51" t="e">
        <f t="shared" si="7"/>
        <v>#REF!</v>
      </c>
      <c r="G37" s="52" t="e">
        <f t="shared" si="7"/>
        <v>#REF!</v>
      </c>
      <c r="H37" s="52" t="e">
        <f t="shared" si="7"/>
        <v>#REF!</v>
      </c>
      <c r="I37" s="53" t="e">
        <f t="shared" si="7"/>
        <v>#REF!</v>
      </c>
      <c r="J37" s="51" t="e">
        <f t="shared" si="7"/>
        <v>#REF!</v>
      </c>
      <c r="K37" s="53" t="e">
        <f t="shared" si="7"/>
        <v>#REF!</v>
      </c>
      <c r="L37" s="70" t="e">
        <f t="shared" si="7"/>
        <v>#REF!</v>
      </c>
      <c r="M37" s="51" t="e">
        <f t="shared" si="7"/>
        <v>#REF!</v>
      </c>
      <c r="N37" s="53" t="e">
        <f t="shared" si="7"/>
        <v>#REF!</v>
      </c>
      <c r="O37" s="70" t="e">
        <f t="shared" si="7"/>
        <v>#REF!</v>
      </c>
      <c r="P37" s="70" t="e">
        <f t="shared" si="7"/>
        <v>#REF!</v>
      </c>
      <c r="Q37" s="51" t="e">
        <f t="shared" si="7"/>
        <v>#REF!</v>
      </c>
      <c r="R37" s="53" t="e">
        <f t="shared" si="7"/>
        <v>#REF!</v>
      </c>
      <c r="S37" s="103" t="e">
        <f>SUM(S27:S33)+S24</f>
        <v>#REF!</v>
      </c>
      <c r="T37" s="70" t="e">
        <f t="shared" si="7"/>
        <v>#REF!</v>
      </c>
    </row>
    <row r="38" spans="1:20">
      <c r="A38" s="23" t="e">
        <f>SUM(C38:T38)</f>
        <v>#REF!</v>
      </c>
      <c r="C38" s="50" t="e">
        <f>C39*C9</f>
        <v>#REF!</v>
      </c>
      <c r="D38" s="39" t="e">
        <f t="shared" ref="D38:T38" si="8">D39*D9</f>
        <v>#REF!</v>
      </c>
      <c r="E38" s="40" t="e">
        <f t="shared" si="8"/>
        <v>#REF!</v>
      </c>
      <c r="F38" s="64" t="e">
        <f t="shared" si="8"/>
        <v>#REF!</v>
      </c>
      <c r="G38" s="39" t="e">
        <f t="shared" si="8"/>
        <v>#REF!</v>
      </c>
      <c r="H38" s="39" t="e">
        <f t="shared" si="8"/>
        <v>#REF!</v>
      </c>
      <c r="I38" s="40" t="e">
        <f t="shared" si="8"/>
        <v>#REF!</v>
      </c>
      <c r="J38" s="50" t="e">
        <f t="shared" si="8"/>
        <v>#REF!</v>
      </c>
      <c r="K38" s="40" t="e">
        <f t="shared" si="8"/>
        <v>#REF!</v>
      </c>
      <c r="L38" s="69" t="e">
        <f t="shared" si="8"/>
        <v>#REF!</v>
      </c>
      <c r="M38" s="50" t="e">
        <f t="shared" si="8"/>
        <v>#REF!</v>
      </c>
      <c r="N38" s="40" t="e">
        <f t="shared" si="8"/>
        <v>#REF!</v>
      </c>
      <c r="O38" s="69" t="e">
        <f t="shared" si="8"/>
        <v>#REF!</v>
      </c>
      <c r="P38" s="69" t="e">
        <f t="shared" si="8"/>
        <v>#REF!</v>
      </c>
      <c r="Q38" s="50" t="e">
        <f t="shared" si="8"/>
        <v>#REF!</v>
      </c>
      <c r="R38" s="40" t="e">
        <f t="shared" si="8"/>
        <v>#REF!</v>
      </c>
      <c r="S38" s="108" t="e">
        <f>S39*S9</f>
        <v>#REF!</v>
      </c>
      <c r="T38" s="69" t="e">
        <f t="shared" si="8"/>
        <v>#REF!</v>
      </c>
    </row>
    <row r="39" spans="1:20">
      <c r="B39" t="s">
        <v>186</v>
      </c>
      <c r="C39" s="51" t="e">
        <f>(C35*C10)+(C36*C11)+(C37*C12)</f>
        <v>#REF!</v>
      </c>
      <c r="D39" s="52" t="e">
        <f>(D35*D10)+(D36*D11)+(D37*D12)</f>
        <v>#REF!</v>
      </c>
      <c r="E39" s="53" t="e">
        <f>(E35*E10)+(E36*E11)+(E37*E12)</f>
        <v>#REF!</v>
      </c>
      <c r="F39" s="51" t="e">
        <f t="shared" ref="F39:T39" si="9">(F35*F10)+(F36*F11)+(F37*F12)</f>
        <v>#REF!</v>
      </c>
      <c r="G39" s="52" t="e">
        <f t="shared" si="9"/>
        <v>#REF!</v>
      </c>
      <c r="H39" s="52" t="e">
        <f t="shared" si="9"/>
        <v>#REF!</v>
      </c>
      <c r="I39" s="53" t="e">
        <f t="shared" si="9"/>
        <v>#REF!</v>
      </c>
      <c r="J39" s="51" t="e">
        <f t="shared" si="9"/>
        <v>#REF!</v>
      </c>
      <c r="K39" s="53" t="e">
        <f t="shared" si="9"/>
        <v>#REF!</v>
      </c>
      <c r="L39" s="70" t="e">
        <f t="shared" si="9"/>
        <v>#REF!</v>
      </c>
      <c r="M39" s="51" t="e">
        <f t="shared" si="9"/>
        <v>#REF!</v>
      </c>
      <c r="N39" s="53" t="e">
        <f t="shared" si="9"/>
        <v>#REF!</v>
      </c>
      <c r="O39" s="70" t="e">
        <f t="shared" si="9"/>
        <v>#REF!</v>
      </c>
      <c r="P39" s="70" t="e">
        <f t="shared" si="9"/>
        <v>#REF!</v>
      </c>
      <c r="Q39" s="51" t="e">
        <f t="shared" si="9"/>
        <v>#REF!</v>
      </c>
      <c r="R39" s="53" t="e">
        <f t="shared" si="9"/>
        <v>#REF!</v>
      </c>
      <c r="S39" s="103" t="e">
        <f>(S35*S10)+(S36*S11)+(S37*S12)</f>
        <v>#REF!</v>
      </c>
      <c r="T39" s="70" t="e">
        <f t="shared" si="9"/>
        <v>#REF!</v>
      </c>
    </row>
    <row r="40" spans="1:20">
      <c r="C40" s="54"/>
      <c r="D40" s="12"/>
      <c r="E40" s="37"/>
      <c r="F40" s="63"/>
      <c r="G40" s="12"/>
      <c r="H40" s="12"/>
      <c r="I40" s="37"/>
      <c r="J40" s="36"/>
      <c r="K40" s="37"/>
      <c r="L40" s="71"/>
      <c r="M40" s="36"/>
      <c r="N40" s="37"/>
      <c r="O40" s="71"/>
      <c r="P40" s="71"/>
      <c r="Q40" s="36"/>
      <c r="R40" s="37"/>
      <c r="S40" s="67"/>
      <c r="T40" s="71"/>
    </row>
    <row r="41" spans="1:20">
      <c r="A41" s="85" t="e">
        <f>SUMPRODUCT(C41:T41,$C$9:$T$9)</f>
        <v>#REF!</v>
      </c>
      <c r="B41" t="s">
        <v>351</v>
      </c>
      <c r="C41" s="55">
        <v>1.1000000000000001</v>
      </c>
      <c r="D41" s="43">
        <v>1.3</v>
      </c>
      <c r="E41" s="56">
        <v>1.6</v>
      </c>
      <c r="F41" s="55">
        <v>1.5</v>
      </c>
      <c r="G41" s="43">
        <v>1.5</v>
      </c>
      <c r="H41" s="43">
        <v>2</v>
      </c>
      <c r="I41" s="56">
        <v>1.5</v>
      </c>
      <c r="J41" s="55">
        <v>1.1000000000000001</v>
      </c>
      <c r="K41" s="56">
        <v>1.2</v>
      </c>
      <c r="L41" s="72">
        <v>0.9</v>
      </c>
      <c r="M41" s="55">
        <v>1.6</v>
      </c>
      <c r="N41" s="56">
        <v>1.4</v>
      </c>
      <c r="O41" s="72">
        <v>1.3</v>
      </c>
      <c r="P41" s="72">
        <v>1.4</v>
      </c>
      <c r="Q41" s="55">
        <v>1.2</v>
      </c>
      <c r="R41" s="56">
        <v>1.3</v>
      </c>
      <c r="S41" s="106">
        <v>1</v>
      </c>
      <c r="T41" s="72">
        <v>1</v>
      </c>
    </row>
    <row r="42" spans="1:20">
      <c r="A42" s="85" t="e">
        <f>SUMPRODUCT(C42:T42,$C$9:$T$9)</f>
        <v>#REF!</v>
      </c>
      <c r="B42" t="s">
        <v>352</v>
      </c>
      <c r="C42" s="57" t="e">
        <f>CHAR!#REF!</f>
        <v>#REF!</v>
      </c>
      <c r="D42" s="22" t="e">
        <f>CHAR!#REF!</f>
        <v>#REF!</v>
      </c>
      <c r="E42" s="58" t="e">
        <f>CHAR!#REF!</f>
        <v>#REF!</v>
      </c>
      <c r="F42" s="65" t="e">
        <f>CHAR!#REF!</f>
        <v>#REF!</v>
      </c>
      <c r="G42" s="22" t="e">
        <f>CHAR!#REF!</f>
        <v>#REF!</v>
      </c>
      <c r="H42" s="22" t="e">
        <f>CHAR!#REF!</f>
        <v>#REF!</v>
      </c>
      <c r="I42" s="58" t="e">
        <f>CHAR!#REF!</f>
        <v>#REF!</v>
      </c>
      <c r="J42" s="65" t="e">
        <f>CHAR!#REF!</f>
        <v>#REF!</v>
      </c>
      <c r="K42" s="58" t="e">
        <f>CHAR!#REF!</f>
        <v>#REF!</v>
      </c>
      <c r="L42" s="73" t="e">
        <f>CHAR!#REF!</f>
        <v>#REF!</v>
      </c>
      <c r="M42" s="65" t="e">
        <f>CHAR!#REF!</f>
        <v>#REF!</v>
      </c>
      <c r="N42" s="58" t="e">
        <f>CHAR!#REF!</f>
        <v>#REF!</v>
      </c>
      <c r="O42" s="73" t="e">
        <f>CHAR!#REF!</f>
        <v>#REF!</v>
      </c>
      <c r="P42" s="73" t="e">
        <f>CHAR!#REF!</f>
        <v>#REF!</v>
      </c>
      <c r="Q42" s="65" t="e">
        <f>CHAR!#REF!</f>
        <v>#REF!</v>
      </c>
      <c r="R42" s="58" t="e">
        <f>CHAR!#REF!</f>
        <v>#REF!</v>
      </c>
      <c r="S42" s="105" t="e">
        <f>CHAR!#REF!</f>
        <v>#REF!</v>
      </c>
      <c r="T42" s="73" t="e">
        <f>CHAR!#REF!</f>
        <v>#REF!</v>
      </c>
    </row>
    <row r="43" spans="1:20">
      <c r="A43" s="85" t="e">
        <f>SUMPRODUCT(C43:T43,$C$9:$T$9)</f>
        <v>#REF!</v>
      </c>
      <c r="B43" s="12" t="s">
        <v>411</v>
      </c>
      <c r="C43" s="59" t="e">
        <f>CHAR!#REF!</f>
        <v>#REF!</v>
      </c>
      <c r="D43" s="60" t="e">
        <f>CHAR!#REF!</f>
        <v>#REF!</v>
      </c>
      <c r="E43" s="61" t="e">
        <f>CHAR!#REF!</f>
        <v>#REF!</v>
      </c>
      <c r="F43" s="59" t="e">
        <f>CHAR!#REF!</f>
        <v>#REF!</v>
      </c>
      <c r="G43" s="60" t="e">
        <f>CHAR!#REF!</f>
        <v>#REF!</v>
      </c>
      <c r="H43" s="60" t="e">
        <f>CHAR!#REF!</f>
        <v>#REF!</v>
      </c>
      <c r="I43" s="61" t="e">
        <f>CHAR!#REF!</f>
        <v>#REF!</v>
      </c>
      <c r="J43" s="59" t="e">
        <f>CHAR!#REF!</f>
        <v>#REF!</v>
      </c>
      <c r="K43" s="61" t="e">
        <f>CHAR!#REF!</f>
        <v>#REF!</v>
      </c>
      <c r="L43" s="74" t="e">
        <f>CHAR!#REF!</f>
        <v>#REF!</v>
      </c>
      <c r="M43" s="59" t="e">
        <f>CHAR!#REF!</f>
        <v>#REF!</v>
      </c>
      <c r="N43" s="61" t="e">
        <f>CHAR!#REF!</f>
        <v>#REF!</v>
      </c>
      <c r="O43" s="74" t="e">
        <f>CHAR!#REF!</f>
        <v>#REF!</v>
      </c>
      <c r="P43" s="74" t="e">
        <f>CHAR!#REF!</f>
        <v>#REF!</v>
      </c>
      <c r="Q43" s="59" t="e">
        <f>CHAR!#REF!</f>
        <v>#REF!</v>
      </c>
      <c r="R43" s="61" t="e">
        <f>CHAR!#REF!</f>
        <v>#REF!</v>
      </c>
      <c r="S43" s="107" t="e">
        <f>CHAR!#REF!</f>
        <v>#REF!</v>
      </c>
      <c r="T43" s="74" t="e">
        <f>CHAR!#REF!</f>
        <v>#REF!</v>
      </c>
    </row>
    <row r="44" spans="1:20">
      <c r="A44" s="85" t="e">
        <f>SUMPRODUCT(C44:T44,$C$9:$T$9)</f>
        <v>#REF!</v>
      </c>
      <c r="B44" t="s">
        <v>353</v>
      </c>
      <c r="C44" s="55" t="e">
        <f>C41*C42*C43/1000</f>
        <v>#REF!</v>
      </c>
      <c r="D44" s="43" t="e">
        <f t="shared" ref="D44:T44" si="10">D41*D42*D43/1000</f>
        <v>#REF!</v>
      </c>
      <c r="E44" s="56" t="e">
        <f t="shared" si="10"/>
        <v>#REF!</v>
      </c>
      <c r="F44" s="55" t="e">
        <f t="shared" si="10"/>
        <v>#REF!</v>
      </c>
      <c r="G44" s="43" t="e">
        <f t="shared" si="10"/>
        <v>#REF!</v>
      </c>
      <c r="H44" s="43" t="e">
        <f t="shared" si="10"/>
        <v>#REF!</v>
      </c>
      <c r="I44" s="56" t="e">
        <f t="shared" si="10"/>
        <v>#REF!</v>
      </c>
      <c r="J44" s="55" t="e">
        <f t="shared" si="10"/>
        <v>#REF!</v>
      </c>
      <c r="K44" s="56" t="e">
        <f t="shared" si="10"/>
        <v>#REF!</v>
      </c>
      <c r="L44" s="72" t="e">
        <f t="shared" si="10"/>
        <v>#REF!</v>
      </c>
      <c r="M44" s="55" t="e">
        <f t="shared" si="10"/>
        <v>#REF!</v>
      </c>
      <c r="N44" s="56" t="e">
        <f t="shared" si="10"/>
        <v>#REF!</v>
      </c>
      <c r="O44" s="72" t="e">
        <f t="shared" si="10"/>
        <v>#REF!</v>
      </c>
      <c r="P44" s="72" t="e">
        <f t="shared" si="10"/>
        <v>#REF!</v>
      </c>
      <c r="Q44" s="55" t="e">
        <f t="shared" si="10"/>
        <v>#REF!</v>
      </c>
      <c r="R44" s="56" t="e">
        <f t="shared" si="10"/>
        <v>#REF!</v>
      </c>
      <c r="S44" s="106" t="e">
        <f t="shared" si="10"/>
        <v>#REF!</v>
      </c>
      <c r="T44" s="72" t="e">
        <f t="shared" si="10"/>
        <v>#REF!</v>
      </c>
    </row>
    <row r="45" spans="1:20">
      <c r="C45" s="54"/>
      <c r="D45" s="12"/>
      <c r="E45" s="37"/>
      <c r="F45" s="63"/>
      <c r="G45" s="12"/>
      <c r="H45" s="12"/>
      <c r="I45" s="37"/>
      <c r="J45" s="36"/>
      <c r="K45" s="37"/>
      <c r="L45" s="71"/>
      <c r="M45" s="36"/>
      <c r="N45" s="37"/>
      <c r="O45" s="71"/>
      <c r="P45" s="71"/>
      <c r="Q45" s="36"/>
      <c r="R45" s="37"/>
      <c r="S45" s="67"/>
      <c r="T45" s="71"/>
    </row>
    <row r="46" spans="1:20">
      <c r="A46" s="85" t="e">
        <f>SUMPRODUCT(C46:T46,$C$9:$T$9)</f>
        <v>#REF!</v>
      </c>
      <c r="B46" t="s">
        <v>354</v>
      </c>
      <c r="C46" s="54">
        <v>0.6</v>
      </c>
      <c r="D46" s="35">
        <v>0.6</v>
      </c>
      <c r="E46" s="62">
        <v>0.6</v>
      </c>
      <c r="F46" s="66">
        <v>0.6</v>
      </c>
      <c r="G46" s="35">
        <v>0.6</v>
      </c>
      <c r="H46" s="35">
        <v>0.6</v>
      </c>
      <c r="I46" s="62">
        <v>0.6</v>
      </c>
      <c r="J46" s="54">
        <v>0.8</v>
      </c>
      <c r="K46" s="62">
        <v>0.6</v>
      </c>
      <c r="L46" s="75">
        <v>0.6</v>
      </c>
      <c r="M46" s="54">
        <v>1.8</v>
      </c>
      <c r="N46" s="62">
        <v>1.6</v>
      </c>
      <c r="O46" s="75">
        <v>2.6</v>
      </c>
      <c r="P46" s="75">
        <v>1.3</v>
      </c>
      <c r="Q46" s="54">
        <v>1.3</v>
      </c>
      <c r="R46" s="62">
        <v>1.3</v>
      </c>
      <c r="S46" s="109">
        <v>1.3</v>
      </c>
      <c r="T46" s="75">
        <v>1.3</v>
      </c>
    </row>
    <row r="47" spans="1:20">
      <c r="A47" s="85" t="e">
        <f>SUMPRODUCT(C47:T47,$C$9:$T$9)</f>
        <v>#REF!</v>
      </c>
      <c r="B47" t="s">
        <v>355</v>
      </c>
      <c r="C47" s="54" t="e">
        <f t="shared" ref="C47:T47" si="11">C46*C42/1000</f>
        <v>#REF!</v>
      </c>
      <c r="D47" s="35" t="e">
        <f t="shared" si="11"/>
        <v>#REF!</v>
      </c>
      <c r="E47" s="62" t="e">
        <f t="shared" si="11"/>
        <v>#REF!</v>
      </c>
      <c r="F47" s="66" t="e">
        <f t="shared" si="11"/>
        <v>#REF!</v>
      </c>
      <c r="G47" s="35" t="e">
        <f t="shared" si="11"/>
        <v>#REF!</v>
      </c>
      <c r="H47" s="35" t="e">
        <f t="shared" si="11"/>
        <v>#REF!</v>
      </c>
      <c r="I47" s="62" t="e">
        <f t="shared" si="11"/>
        <v>#REF!</v>
      </c>
      <c r="J47" s="54" t="e">
        <f t="shared" si="11"/>
        <v>#REF!</v>
      </c>
      <c r="K47" s="62" t="e">
        <f t="shared" si="11"/>
        <v>#REF!</v>
      </c>
      <c r="L47" s="75" t="e">
        <f t="shared" si="11"/>
        <v>#REF!</v>
      </c>
      <c r="M47" s="54" t="e">
        <f t="shared" si="11"/>
        <v>#REF!</v>
      </c>
      <c r="N47" s="62" t="e">
        <f t="shared" si="11"/>
        <v>#REF!</v>
      </c>
      <c r="O47" s="75" t="e">
        <f t="shared" si="11"/>
        <v>#REF!</v>
      </c>
      <c r="P47" s="75" t="e">
        <f t="shared" si="11"/>
        <v>#REF!</v>
      </c>
      <c r="Q47" s="54" t="e">
        <f t="shared" si="11"/>
        <v>#REF!</v>
      </c>
      <c r="R47" s="62" t="e">
        <f t="shared" si="11"/>
        <v>#REF!</v>
      </c>
      <c r="S47" s="109" t="e">
        <f t="shared" si="11"/>
        <v>#REF!</v>
      </c>
      <c r="T47" s="75" t="e">
        <f t="shared" si="11"/>
        <v>#REF!</v>
      </c>
    </row>
    <row r="48" spans="1:20">
      <c r="C48" s="36"/>
      <c r="D48" s="12"/>
      <c r="E48" s="37"/>
      <c r="F48" s="63"/>
      <c r="G48" s="12"/>
      <c r="H48" s="12"/>
      <c r="I48" s="37"/>
      <c r="J48" s="36"/>
      <c r="K48" s="37"/>
      <c r="L48" s="71"/>
      <c r="M48" s="36"/>
      <c r="N48" s="37"/>
      <c r="O48" s="71"/>
      <c r="P48" s="71"/>
      <c r="Q48" s="36"/>
      <c r="R48" s="37"/>
      <c r="S48" s="67"/>
      <c r="T48" s="71"/>
    </row>
    <row r="49" spans="1:21">
      <c r="A49" s="85" t="e">
        <f>SUMPRODUCT(C49:T49,$C$9:$T$9)</f>
        <v>#REF!</v>
      </c>
      <c r="B49" t="s">
        <v>356</v>
      </c>
      <c r="C49" s="55" t="e">
        <f>SUM(C22,C27:C28)</f>
        <v>#REF!</v>
      </c>
      <c r="D49" s="43" t="e">
        <f t="shared" ref="D49:I49" si="12">SUM(D22,D27:D28)</f>
        <v>#REF!</v>
      </c>
      <c r="E49" s="56" t="e">
        <f t="shared" si="12"/>
        <v>#REF!</v>
      </c>
      <c r="F49" s="55" t="e">
        <f t="shared" si="12"/>
        <v>#REF!</v>
      </c>
      <c r="G49" s="43">
        <f t="shared" si="12"/>
        <v>6.7</v>
      </c>
      <c r="H49" s="43">
        <f t="shared" si="12"/>
        <v>9.3000000000000007</v>
      </c>
      <c r="I49" s="56">
        <f t="shared" si="12"/>
        <v>9.6</v>
      </c>
      <c r="J49" s="128">
        <f t="shared" ref="J49:T49" si="13">SUM(J22,J27:J28)</f>
        <v>6</v>
      </c>
      <c r="K49" s="56">
        <f t="shared" si="13"/>
        <v>9</v>
      </c>
      <c r="L49" s="72">
        <f t="shared" si="13"/>
        <v>3</v>
      </c>
      <c r="M49" s="55">
        <f t="shared" si="13"/>
        <v>12.5</v>
      </c>
      <c r="N49" s="56">
        <f t="shared" si="13"/>
        <v>14</v>
      </c>
      <c r="O49" s="72">
        <f t="shared" si="13"/>
        <v>14</v>
      </c>
      <c r="P49" s="72">
        <f t="shared" si="13"/>
        <v>9</v>
      </c>
      <c r="Q49" s="55">
        <f t="shared" si="13"/>
        <v>15</v>
      </c>
      <c r="R49" s="56">
        <f t="shared" si="13"/>
        <v>12.7</v>
      </c>
      <c r="S49" s="106">
        <f>SUM(S22,S27:S28)</f>
        <v>8.5</v>
      </c>
      <c r="T49" s="72">
        <f t="shared" si="13"/>
        <v>8.5</v>
      </c>
    </row>
    <row r="50" spans="1:21">
      <c r="A50" s="85" t="e">
        <f>SUMPRODUCT(C50:T50,$C$9:$T$9)</f>
        <v>#REF!</v>
      </c>
      <c r="B50" t="s">
        <v>357</v>
      </c>
      <c r="C50" s="55" t="e">
        <f>SUM(C23,C27:C28)</f>
        <v>#REF!</v>
      </c>
      <c r="D50" s="43" t="e">
        <f t="shared" ref="D50:I50" si="14">SUM(D23,D27:D28)</f>
        <v>#REF!</v>
      </c>
      <c r="E50" s="56" t="e">
        <f t="shared" si="14"/>
        <v>#REF!</v>
      </c>
      <c r="F50" s="55" t="e">
        <f t="shared" si="14"/>
        <v>#REF!</v>
      </c>
      <c r="G50" s="43">
        <f t="shared" si="14"/>
        <v>4.5999999999999996</v>
      </c>
      <c r="H50" s="43">
        <f t="shared" si="14"/>
        <v>6.4</v>
      </c>
      <c r="I50" s="56">
        <f t="shared" si="14"/>
        <v>6.6999999999999993</v>
      </c>
      <c r="J50" s="128">
        <f t="shared" ref="J50:T50" si="15">SUM(J23,J27:J28)</f>
        <v>3.0999999999999996</v>
      </c>
      <c r="K50" s="56">
        <f t="shared" si="15"/>
        <v>5.0999999999999996</v>
      </c>
      <c r="L50" s="72">
        <f t="shared" si="15"/>
        <v>1.1000000000000001</v>
      </c>
      <c r="M50" s="55">
        <f t="shared" si="15"/>
        <v>7.6</v>
      </c>
      <c r="N50" s="56">
        <f t="shared" si="15"/>
        <v>10.1</v>
      </c>
      <c r="O50" s="72">
        <f t="shared" si="15"/>
        <v>10.1</v>
      </c>
      <c r="P50" s="72">
        <f t="shared" si="15"/>
        <v>5.0999999999999996</v>
      </c>
      <c r="Q50" s="55">
        <f t="shared" si="15"/>
        <v>9.1999999999999993</v>
      </c>
      <c r="R50" s="56">
        <f t="shared" si="15"/>
        <v>7.8000000000000007</v>
      </c>
      <c r="S50" s="106">
        <f>SUM(S23,S27:S28)</f>
        <v>4.5999999999999996</v>
      </c>
      <c r="T50" s="72">
        <f t="shared" si="15"/>
        <v>4.5999999999999996</v>
      </c>
    </row>
    <row r="51" spans="1:21">
      <c r="A51" s="85" t="e">
        <f>SUMPRODUCT(C51:T51,$C$9:$T$9)</f>
        <v>#REF!</v>
      </c>
      <c r="B51" t="s">
        <v>358</v>
      </c>
      <c r="C51" s="55" t="e">
        <f>SUM(C24,C27:C28)</f>
        <v>#REF!</v>
      </c>
      <c r="D51" s="43" t="e">
        <f t="shared" ref="D51:I51" si="16">SUM(D24,D27:D28)</f>
        <v>#REF!</v>
      </c>
      <c r="E51" s="56" t="e">
        <f t="shared" si="16"/>
        <v>#REF!</v>
      </c>
      <c r="F51" s="55" t="e">
        <f t="shared" si="16"/>
        <v>#REF!</v>
      </c>
      <c r="G51" s="43">
        <f t="shared" si="16"/>
        <v>5.6</v>
      </c>
      <c r="H51" s="43">
        <f t="shared" si="16"/>
        <v>7.8</v>
      </c>
      <c r="I51" s="56">
        <f t="shared" si="16"/>
        <v>8.1</v>
      </c>
      <c r="J51" s="128">
        <f t="shared" ref="J51:T51" si="17">SUM(J24,J27:J28)</f>
        <v>4.5</v>
      </c>
      <c r="K51" s="56">
        <f t="shared" si="17"/>
        <v>7</v>
      </c>
      <c r="L51" s="72">
        <f t="shared" si="17"/>
        <v>2</v>
      </c>
      <c r="M51" s="55">
        <f t="shared" si="17"/>
        <v>10</v>
      </c>
      <c r="N51" s="56">
        <f t="shared" si="17"/>
        <v>12</v>
      </c>
      <c r="O51" s="72">
        <f t="shared" si="17"/>
        <v>12</v>
      </c>
      <c r="P51" s="72">
        <f t="shared" si="17"/>
        <v>7</v>
      </c>
      <c r="Q51" s="55">
        <f t="shared" si="17"/>
        <v>12</v>
      </c>
      <c r="R51" s="56">
        <f t="shared" si="17"/>
        <v>10.199999999999999</v>
      </c>
      <c r="S51" s="106">
        <f>SUM(S24,S27:S28)</f>
        <v>6.5</v>
      </c>
      <c r="T51" s="72">
        <f t="shared" si="17"/>
        <v>6.5</v>
      </c>
    </row>
    <row r="52" spans="1:21">
      <c r="A52" s="85"/>
      <c r="B52" t="s">
        <v>192</v>
      </c>
      <c r="C52" s="129" t="e">
        <f t="shared" ref="C52:T52" si="18">SUMPRODUCT(C49:C51,C10:C12)</f>
        <v>#REF!</v>
      </c>
      <c r="D52" s="129" t="e">
        <f t="shared" si="18"/>
        <v>#REF!</v>
      </c>
      <c r="E52" s="129" t="e">
        <f t="shared" si="18"/>
        <v>#REF!</v>
      </c>
      <c r="F52" s="129" t="e">
        <f t="shared" si="18"/>
        <v>#REF!</v>
      </c>
      <c r="G52" s="129" t="e">
        <f t="shared" si="18"/>
        <v>#REF!</v>
      </c>
      <c r="H52" s="129" t="e">
        <f t="shared" si="18"/>
        <v>#REF!</v>
      </c>
      <c r="I52" s="129" t="e">
        <f t="shared" si="18"/>
        <v>#REF!</v>
      </c>
      <c r="J52" s="129" t="e">
        <f t="shared" si="18"/>
        <v>#REF!</v>
      </c>
      <c r="K52" s="129" t="e">
        <f t="shared" si="18"/>
        <v>#REF!</v>
      </c>
      <c r="L52" s="129" t="e">
        <f t="shared" si="18"/>
        <v>#REF!</v>
      </c>
      <c r="M52" s="129" t="e">
        <f t="shared" si="18"/>
        <v>#REF!</v>
      </c>
      <c r="N52" s="129" t="e">
        <f t="shared" si="18"/>
        <v>#REF!</v>
      </c>
      <c r="O52" s="129" t="e">
        <f t="shared" si="18"/>
        <v>#REF!</v>
      </c>
      <c r="P52" s="129" t="e">
        <f t="shared" si="18"/>
        <v>#REF!</v>
      </c>
      <c r="Q52" s="129" t="e">
        <f t="shared" si="18"/>
        <v>#REF!</v>
      </c>
      <c r="R52" s="129" t="e">
        <f t="shared" si="18"/>
        <v>#REF!</v>
      </c>
      <c r="S52" s="129" t="e">
        <f t="shared" si="18"/>
        <v>#REF!</v>
      </c>
      <c r="T52" s="148" t="e">
        <f t="shared" si="18"/>
        <v>#REF!</v>
      </c>
      <c r="U52" s="147"/>
    </row>
    <row r="53" spans="1:21">
      <c r="A53" s="85"/>
      <c r="B53" t="s">
        <v>193</v>
      </c>
      <c r="C53" s="640" t="e">
        <f>SUMPRODUCT(C52:E52,C8:E8)</f>
        <v>#REF!</v>
      </c>
      <c r="D53" s="640"/>
      <c r="E53" s="640"/>
      <c r="F53" s="628" t="e">
        <f>SUMPRODUCT(F52:I52,F8:I8)</f>
        <v>#REF!</v>
      </c>
      <c r="G53" s="628"/>
      <c r="H53" s="628"/>
      <c r="I53" s="628"/>
      <c r="J53" s="628" t="e">
        <f>SUMPRODUCT(J52:K52,J8:K8)</f>
        <v>#REF!</v>
      </c>
      <c r="K53" s="628"/>
      <c r="L53" s="29"/>
      <c r="M53" s="628" t="e">
        <f>SUMPRODUCT(M52:N52,M8:N8)</f>
        <v>#REF!</v>
      </c>
      <c r="N53" s="628"/>
      <c r="O53" s="29"/>
      <c r="P53" s="29"/>
      <c r="Q53" s="29"/>
      <c r="R53" s="29"/>
      <c r="S53" s="29"/>
      <c r="T53" s="29"/>
      <c r="U53" s="16"/>
    </row>
    <row r="54" spans="1:21">
      <c r="A54" s="85"/>
      <c r="C54" s="42"/>
      <c r="D54" s="42"/>
      <c r="E54" s="42"/>
      <c r="F54" s="42"/>
      <c r="G54" s="42"/>
      <c r="H54" s="42"/>
      <c r="I54" s="42"/>
      <c r="J54" s="42"/>
      <c r="K54" s="42"/>
      <c r="L54" s="84"/>
      <c r="M54" s="42"/>
      <c r="N54" s="42"/>
      <c r="O54" s="84"/>
      <c r="P54" s="84"/>
      <c r="Q54" s="84"/>
      <c r="R54" s="84"/>
      <c r="S54" s="84"/>
      <c r="T54" s="84"/>
      <c r="U54" s="16"/>
    </row>
    <row r="55" spans="1:21">
      <c r="A55" s="85"/>
      <c r="C55" s="42"/>
      <c r="D55" s="42"/>
      <c r="E55" s="42"/>
      <c r="F55" s="42"/>
      <c r="G55" s="42"/>
      <c r="H55" s="42"/>
      <c r="I55" s="42"/>
      <c r="J55" s="42"/>
      <c r="K55" s="42"/>
      <c r="L55" s="84"/>
      <c r="M55" s="42"/>
      <c r="N55" s="42"/>
      <c r="O55" s="84"/>
      <c r="P55" s="84"/>
      <c r="Q55" s="84"/>
      <c r="R55" s="84"/>
      <c r="S55" s="84"/>
      <c r="T55" s="84"/>
      <c r="U55" s="16"/>
    </row>
    <row r="56" spans="1:21">
      <c r="A56" s="85"/>
      <c r="C56" s="42"/>
      <c r="D56" s="42"/>
      <c r="E56" s="42"/>
      <c r="F56" s="42"/>
      <c r="G56" s="42"/>
      <c r="H56" s="42"/>
      <c r="I56" s="42"/>
      <c r="J56" s="42"/>
      <c r="K56" s="42"/>
      <c r="L56" s="84"/>
      <c r="M56" s="42"/>
      <c r="N56" s="42"/>
      <c r="O56" s="84"/>
      <c r="P56" s="84"/>
      <c r="Q56" s="84"/>
      <c r="R56" s="84"/>
      <c r="S56" s="84"/>
      <c r="T56" s="84"/>
      <c r="U56" s="16"/>
    </row>
    <row r="57" spans="1:21">
      <c r="A57" s="85"/>
      <c r="C57" s="42"/>
      <c r="D57" s="42"/>
      <c r="E57" s="42"/>
      <c r="F57" s="42"/>
      <c r="G57" s="42"/>
      <c r="H57" s="42"/>
      <c r="I57" s="42"/>
      <c r="J57" s="42"/>
      <c r="K57" s="42"/>
      <c r="L57" s="84"/>
      <c r="M57" s="42"/>
      <c r="N57" s="42"/>
      <c r="O57" s="84"/>
      <c r="P57" s="84"/>
      <c r="Q57" s="84"/>
      <c r="R57" s="84"/>
      <c r="S57" s="84"/>
      <c r="T57" s="84"/>
      <c r="U57" s="16"/>
    </row>
    <row r="58" spans="1:21">
      <c r="A58" s="85"/>
      <c r="C58" s="42"/>
      <c r="D58" s="42"/>
      <c r="E58" s="42"/>
      <c r="F58" s="42"/>
      <c r="G58" s="42"/>
      <c r="H58" s="42"/>
      <c r="I58" s="42"/>
      <c r="J58" s="42"/>
      <c r="K58" s="42"/>
      <c r="L58" s="84"/>
      <c r="M58" s="42"/>
      <c r="N58" s="42"/>
      <c r="O58" s="84"/>
      <c r="P58" s="84"/>
      <c r="Q58" s="84"/>
      <c r="R58" s="84"/>
      <c r="S58" s="84"/>
      <c r="T58" s="84"/>
      <c r="U58" s="16"/>
    </row>
    <row r="59" spans="1:21">
      <c r="A59" s="85"/>
      <c r="C59" s="42"/>
      <c r="D59" s="42"/>
      <c r="E59" s="42"/>
      <c r="F59" s="42"/>
      <c r="G59" s="42"/>
      <c r="H59" s="42"/>
      <c r="I59" s="42"/>
      <c r="J59" s="42"/>
      <c r="K59" s="42"/>
      <c r="L59" s="84"/>
      <c r="M59" s="42"/>
      <c r="N59" s="42"/>
      <c r="O59" s="84"/>
      <c r="P59" s="84"/>
      <c r="Q59" s="84"/>
      <c r="R59" s="84"/>
      <c r="S59" s="84"/>
      <c r="T59" s="84"/>
      <c r="U59" s="16"/>
    </row>
    <row r="60" spans="1:21">
      <c r="A60" s="85"/>
      <c r="C60" s="42"/>
      <c r="D60" s="42"/>
      <c r="E60" s="42"/>
      <c r="F60" s="42"/>
      <c r="G60" s="42"/>
      <c r="H60" s="42"/>
      <c r="I60" s="42"/>
      <c r="J60" s="42"/>
      <c r="K60" s="42"/>
      <c r="L60" s="84"/>
      <c r="M60" s="42"/>
      <c r="N60" s="42"/>
      <c r="O60" s="84"/>
      <c r="P60" s="84"/>
      <c r="Q60" s="84"/>
      <c r="R60" s="84"/>
      <c r="S60" s="84"/>
      <c r="T60" s="84"/>
      <c r="U60" s="16"/>
    </row>
    <row r="61" spans="1:21">
      <c r="A61" s="85"/>
      <c r="C61" s="42"/>
      <c r="D61" s="42"/>
      <c r="E61" s="42"/>
      <c r="F61" s="42"/>
      <c r="G61" s="42"/>
      <c r="H61" s="42"/>
      <c r="I61" s="42"/>
      <c r="J61" s="42"/>
      <c r="K61" s="42"/>
      <c r="L61" s="84"/>
      <c r="M61" s="42"/>
      <c r="N61" s="42"/>
      <c r="O61" s="84"/>
      <c r="P61" s="84"/>
      <c r="Q61" s="84"/>
      <c r="R61" s="84"/>
      <c r="S61" s="84"/>
      <c r="T61" s="84"/>
      <c r="U61" s="16"/>
    </row>
    <row r="62" spans="1:21">
      <c r="A62" s="85"/>
      <c r="C62" s="66"/>
      <c r="D62" s="23"/>
      <c r="E62" s="109"/>
      <c r="F62" s="66"/>
      <c r="G62" s="23"/>
      <c r="H62" s="23"/>
      <c r="I62" s="109"/>
      <c r="J62" s="66"/>
      <c r="K62" s="109"/>
      <c r="L62" s="130"/>
      <c r="M62" s="66"/>
      <c r="N62" s="109"/>
      <c r="O62" s="130"/>
      <c r="P62" s="130"/>
      <c r="Q62" s="66"/>
      <c r="R62" s="109"/>
      <c r="S62" s="109"/>
      <c r="T62" s="130"/>
      <c r="U62" s="7"/>
    </row>
    <row r="63" spans="1:21">
      <c r="C63" s="36"/>
      <c r="D63" s="12"/>
      <c r="E63" s="37"/>
      <c r="F63" s="36"/>
      <c r="G63" s="12"/>
      <c r="H63" s="12"/>
      <c r="I63" s="37"/>
      <c r="J63" s="36"/>
      <c r="K63" s="37"/>
      <c r="L63" s="71"/>
      <c r="M63" s="36"/>
      <c r="N63" s="37"/>
      <c r="O63" s="71"/>
      <c r="P63" s="71"/>
      <c r="Q63" s="36"/>
      <c r="R63" s="37"/>
      <c r="S63" s="37"/>
      <c r="T63" s="71"/>
    </row>
    <row r="64" spans="1:21">
      <c r="B64" s="98" t="s">
        <v>196</v>
      </c>
      <c r="C64" s="110">
        <v>16</v>
      </c>
      <c r="D64" s="110">
        <v>15</v>
      </c>
      <c r="E64" s="110">
        <v>13</v>
      </c>
      <c r="F64" s="110">
        <v>29</v>
      </c>
      <c r="G64" s="110">
        <v>11</v>
      </c>
      <c r="H64" s="110">
        <v>16</v>
      </c>
      <c r="I64" s="110">
        <v>15</v>
      </c>
      <c r="J64" s="110">
        <v>6.2</v>
      </c>
      <c r="K64" s="150">
        <v>34</v>
      </c>
      <c r="L64" s="110">
        <v>12.6</v>
      </c>
      <c r="M64" s="110">
        <v>52</v>
      </c>
      <c r="N64" s="110"/>
      <c r="O64" s="110">
        <v>40</v>
      </c>
      <c r="P64" s="110">
        <v>17</v>
      </c>
      <c r="Q64" s="110" t="s">
        <v>384</v>
      </c>
      <c r="R64" s="110"/>
      <c r="S64" s="110"/>
      <c r="T64" s="110">
        <v>16</v>
      </c>
      <c r="U64" s="151"/>
    </row>
    <row r="65" spans="2:21">
      <c r="B65" s="98" t="s">
        <v>197</v>
      </c>
      <c r="C65" s="110"/>
      <c r="D65" s="110"/>
      <c r="E65" s="110"/>
      <c r="F65" s="110">
        <v>35</v>
      </c>
      <c r="G65" s="110"/>
      <c r="H65" s="110"/>
      <c r="I65" s="110"/>
      <c r="J65" s="110"/>
      <c r="K65" s="110"/>
      <c r="L65" s="110">
        <v>6.8</v>
      </c>
      <c r="M65" s="110"/>
      <c r="N65" s="110"/>
      <c r="O65" s="110"/>
      <c r="P65" s="110"/>
      <c r="Q65" s="110" t="s">
        <v>384</v>
      </c>
      <c r="R65" s="110"/>
      <c r="S65" s="110"/>
      <c r="T65" s="110"/>
      <c r="U65" s="151"/>
    </row>
    <row r="66" spans="2:21">
      <c r="B66" s="98" t="s">
        <v>198</v>
      </c>
      <c r="C66" s="636">
        <v>15</v>
      </c>
      <c r="D66" s="636"/>
      <c r="E66" s="636"/>
      <c r="F66" s="626">
        <v>18.5</v>
      </c>
      <c r="G66" s="641"/>
      <c r="H66" s="641"/>
      <c r="I66" s="627"/>
      <c r="J66" s="145"/>
      <c r="K66" s="145"/>
      <c r="L66" s="110"/>
      <c r="M66" s="626"/>
      <c r="N66" s="627"/>
      <c r="O66" s="110"/>
      <c r="P66" s="110"/>
      <c r="Q66" s="626" t="s">
        <v>384</v>
      </c>
      <c r="R66" s="627"/>
      <c r="S66" s="150"/>
      <c r="T66" s="110"/>
      <c r="U66" s="151"/>
    </row>
    <row r="67" spans="2:21">
      <c r="B67" s="98" t="s">
        <v>199</v>
      </c>
      <c r="C67" s="145"/>
      <c r="D67" s="145"/>
      <c r="E67" s="145"/>
      <c r="F67" s="145"/>
      <c r="G67" s="145"/>
      <c r="H67" s="145"/>
      <c r="I67" s="145"/>
      <c r="J67" s="145">
        <v>29</v>
      </c>
      <c r="K67" s="145"/>
      <c r="L67" s="110">
        <v>17</v>
      </c>
      <c r="M67" s="145">
        <v>73</v>
      </c>
      <c r="N67" s="145"/>
      <c r="O67" s="110">
        <v>281</v>
      </c>
      <c r="P67" s="110">
        <v>120</v>
      </c>
      <c r="Q67" s="145" t="s">
        <v>384</v>
      </c>
      <c r="R67" s="145"/>
      <c r="S67" s="145"/>
      <c r="T67" s="110">
        <v>50</v>
      </c>
      <c r="U67" s="151"/>
    </row>
    <row r="68" spans="2:21">
      <c r="B68" s="98"/>
      <c r="C68" s="634">
        <v>27</v>
      </c>
      <c r="D68" s="634"/>
      <c r="E68" s="634"/>
      <c r="F68" s="634">
        <v>29</v>
      </c>
      <c r="G68" s="634"/>
      <c r="H68" s="634"/>
      <c r="I68" s="634"/>
      <c r="J68" s="634"/>
      <c r="K68" s="634"/>
      <c r="L68" s="159"/>
      <c r="M68" s="634"/>
      <c r="N68" s="634"/>
      <c r="O68" s="159"/>
      <c r="P68" s="159"/>
      <c r="Q68" s="156"/>
      <c r="R68" s="156"/>
      <c r="S68" s="156"/>
      <c r="T68" s="159"/>
      <c r="U68" s="152"/>
    </row>
    <row r="69" spans="2:21">
      <c r="B69" s="163"/>
      <c r="C69" s="163"/>
      <c r="D69" s="163"/>
      <c r="E69" s="163"/>
      <c r="F69" s="163"/>
      <c r="G69" s="163"/>
      <c r="H69" s="163"/>
      <c r="I69" s="163"/>
      <c r="J69" s="163"/>
      <c r="K69" s="163"/>
      <c r="L69" s="163"/>
      <c r="M69" s="163"/>
      <c r="N69" s="163"/>
      <c r="O69" s="163"/>
      <c r="P69" s="163"/>
      <c r="Q69" s="163"/>
      <c r="R69" s="163"/>
      <c r="S69" s="163"/>
      <c r="T69" s="163"/>
      <c r="U69" s="163"/>
    </row>
    <row r="70" spans="2:21">
      <c r="B70" s="98" t="s">
        <v>200</v>
      </c>
      <c r="C70" s="164">
        <v>20</v>
      </c>
      <c r="D70" s="164">
        <v>23</v>
      </c>
      <c r="E70" s="164">
        <v>15</v>
      </c>
      <c r="F70" s="165" t="s">
        <v>384</v>
      </c>
      <c r="G70" s="164">
        <v>10</v>
      </c>
      <c r="H70" s="164">
        <v>28</v>
      </c>
      <c r="I70" s="164">
        <v>22</v>
      </c>
      <c r="J70" s="164">
        <v>17</v>
      </c>
      <c r="K70" s="165" t="s">
        <v>384</v>
      </c>
      <c r="L70" s="164">
        <v>6.6</v>
      </c>
      <c r="M70" s="164">
        <v>38</v>
      </c>
      <c r="N70" s="164">
        <v>71</v>
      </c>
      <c r="O70" s="164">
        <v>45</v>
      </c>
      <c r="P70" s="164">
        <v>20</v>
      </c>
      <c r="Q70" s="164" t="s">
        <v>384</v>
      </c>
      <c r="R70" s="164"/>
      <c r="S70" s="164"/>
      <c r="T70" s="164">
        <v>13</v>
      </c>
      <c r="U70" s="162"/>
    </row>
    <row r="71" spans="2:21">
      <c r="B71" s="98" t="s">
        <v>201</v>
      </c>
      <c r="C71" s="110"/>
      <c r="D71" s="110"/>
      <c r="E71" s="110"/>
      <c r="F71" s="110"/>
      <c r="G71" s="110">
        <v>12</v>
      </c>
      <c r="H71" s="110">
        <v>30</v>
      </c>
      <c r="I71" s="110">
        <v>22</v>
      </c>
      <c r="J71" s="110"/>
      <c r="K71" s="110"/>
      <c r="L71" s="110"/>
      <c r="M71" s="110"/>
      <c r="N71" s="110"/>
      <c r="O71" s="110"/>
      <c r="P71" s="110"/>
      <c r="Q71" s="110" t="s">
        <v>384</v>
      </c>
      <c r="R71" s="110"/>
      <c r="S71" s="110"/>
      <c r="T71" s="110"/>
      <c r="U71" s="151"/>
    </row>
    <row r="72" spans="2:21">
      <c r="B72" s="98" t="s">
        <v>202</v>
      </c>
      <c r="C72" s="634">
        <v>19</v>
      </c>
      <c r="D72" s="634"/>
      <c r="E72" s="634"/>
      <c r="F72" s="629">
        <v>17</v>
      </c>
      <c r="G72" s="635"/>
      <c r="H72" s="635"/>
      <c r="I72" s="630"/>
      <c r="J72" s="157"/>
      <c r="K72" s="158"/>
      <c r="L72" s="159"/>
      <c r="M72" s="629"/>
      <c r="N72" s="630"/>
      <c r="O72" s="159"/>
      <c r="P72" s="159"/>
      <c r="Q72" s="629" t="s">
        <v>384</v>
      </c>
      <c r="R72" s="630"/>
      <c r="S72" s="158"/>
      <c r="T72" s="159"/>
      <c r="U72" s="160"/>
    </row>
    <row r="73" spans="2:21">
      <c r="B73" s="163"/>
      <c r="C73" s="163"/>
      <c r="D73" s="163"/>
      <c r="E73" s="163"/>
      <c r="F73" s="163"/>
      <c r="G73" s="163"/>
      <c r="H73" s="163"/>
      <c r="I73" s="163"/>
      <c r="J73" s="163"/>
      <c r="K73" s="163"/>
      <c r="L73" s="163"/>
      <c r="M73" s="163"/>
      <c r="N73" s="163"/>
      <c r="O73" s="163"/>
      <c r="P73" s="163"/>
      <c r="Q73" s="163"/>
      <c r="R73" s="163"/>
      <c r="S73" s="163"/>
      <c r="T73" s="163"/>
      <c r="U73" s="163"/>
    </row>
    <row r="74" spans="2:21">
      <c r="B74" s="98" t="s">
        <v>187</v>
      </c>
      <c r="C74" s="633">
        <v>17.600000000000001</v>
      </c>
      <c r="D74" s="633"/>
      <c r="E74" s="633"/>
      <c r="F74" s="655">
        <v>17.899999999999999</v>
      </c>
      <c r="G74" s="656"/>
      <c r="H74" s="656"/>
      <c r="I74" s="657"/>
      <c r="J74" s="631">
        <v>8.1999999999999993</v>
      </c>
      <c r="K74" s="632"/>
      <c r="L74" s="161">
        <v>5.4</v>
      </c>
      <c r="M74" s="633" t="s">
        <v>384</v>
      </c>
      <c r="N74" s="633"/>
      <c r="O74" s="161" t="s">
        <v>384</v>
      </c>
      <c r="P74" s="161">
        <v>10.9</v>
      </c>
      <c r="Q74" s="161">
        <v>25.6</v>
      </c>
      <c r="R74" s="161">
        <v>15.9</v>
      </c>
      <c r="S74" s="161"/>
      <c r="T74" s="161" t="s">
        <v>384</v>
      </c>
      <c r="U74" s="162"/>
    </row>
    <row r="75" spans="2:21">
      <c r="B75" s="98" t="s">
        <v>188</v>
      </c>
      <c r="C75" s="636"/>
      <c r="D75" s="636"/>
      <c r="E75" s="636"/>
      <c r="F75" s="637"/>
      <c r="G75" s="637"/>
      <c r="H75" s="637"/>
      <c r="I75" s="637"/>
      <c r="J75" s="640"/>
      <c r="K75" s="640"/>
      <c r="L75" s="145"/>
      <c r="M75" s="636"/>
      <c r="N75" s="636"/>
      <c r="O75" s="145"/>
      <c r="P75" s="145"/>
      <c r="Q75" s="145"/>
      <c r="R75" s="145"/>
      <c r="S75" s="145"/>
      <c r="T75" s="145"/>
      <c r="U75" s="151"/>
    </row>
    <row r="76" spans="2:21">
      <c r="B76" s="98" t="s">
        <v>189</v>
      </c>
      <c r="C76" s="636">
        <v>18.7</v>
      </c>
      <c r="D76" s="636"/>
      <c r="E76" s="636"/>
      <c r="F76" s="654">
        <v>14.7</v>
      </c>
      <c r="G76" s="654"/>
      <c r="H76" s="654"/>
      <c r="I76" s="654"/>
      <c r="J76" s="640">
        <v>8.6999999999999993</v>
      </c>
      <c r="K76" s="640"/>
      <c r="L76" s="145">
        <v>6.5</v>
      </c>
      <c r="M76" s="636">
        <v>49</v>
      </c>
      <c r="N76" s="636"/>
      <c r="O76" s="145">
        <v>34</v>
      </c>
      <c r="P76" s="145">
        <v>12.7</v>
      </c>
      <c r="Q76" s="145">
        <v>27</v>
      </c>
      <c r="R76" s="145">
        <v>16.7</v>
      </c>
      <c r="S76" s="145"/>
      <c r="T76" s="145">
        <v>24.4</v>
      </c>
      <c r="U76" s="150">
        <v>2.7</v>
      </c>
    </row>
    <row r="77" spans="2:21">
      <c r="B77" s="98" t="s">
        <v>190</v>
      </c>
      <c r="C77" s="636" t="s">
        <v>385</v>
      </c>
      <c r="D77" s="636"/>
      <c r="E77" s="636"/>
      <c r="F77" s="637" t="s">
        <v>386</v>
      </c>
      <c r="G77" s="637"/>
      <c r="H77" s="637"/>
      <c r="I77" s="637"/>
      <c r="J77" s="638" t="s">
        <v>387</v>
      </c>
      <c r="K77" s="638"/>
      <c r="L77" s="154" t="s">
        <v>388</v>
      </c>
      <c r="M77" s="639" t="s">
        <v>389</v>
      </c>
      <c r="N77" s="636"/>
      <c r="O77" s="154" t="s">
        <v>390</v>
      </c>
      <c r="P77" s="153" t="s">
        <v>391</v>
      </c>
      <c r="Q77" s="154" t="s">
        <v>392</v>
      </c>
      <c r="R77" s="154" t="s">
        <v>393</v>
      </c>
      <c r="S77" s="154"/>
      <c r="T77" s="154" t="s">
        <v>394</v>
      </c>
      <c r="U77" s="155" t="s">
        <v>395</v>
      </c>
    </row>
    <row r="79" spans="2:21">
      <c r="B79" s="96" t="s">
        <v>185</v>
      </c>
      <c r="C79" s="648">
        <f>C103</f>
        <v>17.3</v>
      </c>
      <c r="D79" s="649"/>
      <c r="E79" s="649"/>
      <c r="F79" s="650">
        <f>C100</f>
        <v>19.2</v>
      </c>
      <c r="G79" s="651"/>
      <c r="H79" s="651"/>
      <c r="I79" s="652"/>
      <c r="J79" s="653">
        <f>C93</f>
        <v>11</v>
      </c>
      <c r="K79" s="653"/>
      <c r="L79" s="171">
        <f>C108</f>
        <v>7.6</v>
      </c>
      <c r="M79" s="648">
        <f>C94</f>
        <v>49.4</v>
      </c>
      <c r="N79" s="649"/>
      <c r="O79" s="171">
        <f>C95</f>
        <v>38.4</v>
      </c>
      <c r="P79" s="171">
        <f>C99</f>
        <v>13.5</v>
      </c>
      <c r="Q79" s="171">
        <f>C97</f>
        <v>27.5</v>
      </c>
      <c r="R79" s="171">
        <f>C98</f>
        <v>16.100000000000001</v>
      </c>
      <c r="S79" s="171">
        <f>C104</f>
        <v>12.5</v>
      </c>
      <c r="T79" s="171">
        <f>C109</f>
        <v>22.5</v>
      </c>
      <c r="U79" s="151"/>
    </row>
    <row r="80" spans="2:21">
      <c r="B80" s="96" t="s">
        <v>206</v>
      </c>
      <c r="C80" s="605">
        <v>0.28100000000000003</v>
      </c>
      <c r="D80" s="605"/>
      <c r="E80" s="605"/>
      <c r="F80" s="606">
        <v>0.33500000000000002</v>
      </c>
      <c r="G80" s="607"/>
      <c r="H80" s="607"/>
      <c r="I80" s="608"/>
      <c r="J80" s="605">
        <v>0.38100000000000001</v>
      </c>
      <c r="K80" s="605"/>
      <c r="L80" s="175">
        <v>0.24099999999999999</v>
      </c>
      <c r="M80" s="605">
        <v>0.51700000000000002</v>
      </c>
      <c r="N80" s="605"/>
      <c r="O80" s="175">
        <v>1.45</v>
      </c>
      <c r="P80" s="175">
        <v>0.504</v>
      </c>
      <c r="Q80" s="175">
        <v>1.1299999999999999</v>
      </c>
      <c r="R80" s="175">
        <v>0.51800000000000002</v>
      </c>
      <c r="S80" s="175">
        <v>0.375</v>
      </c>
      <c r="T80" s="175">
        <v>0.69699999999999995</v>
      </c>
      <c r="U80" s="152"/>
    </row>
    <row r="81" spans="2:21">
      <c r="B81" s="96"/>
      <c r="C81" s="172"/>
      <c r="D81" s="173"/>
      <c r="E81" s="173"/>
      <c r="F81" s="172"/>
      <c r="G81" s="172"/>
      <c r="H81" s="172"/>
      <c r="I81" s="172"/>
      <c r="J81" s="174"/>
      <c r="K81" s="174"/>
      <c r="L81" s="172"/>
      <c r="M81" s="172"/>
      <c r="N81" s="173"/>
      <c r="O81" s="172"/>
      <c r="P81" s="172"/>
      <c r="Q81" s="172"/>
      <c r="R81" s="172"/>
      <c r="S81" s="172"/>
      <c r="T81" s="172"/>
      <c r="U81" s="152"/>
    </row>
    <row r="82" spans="2:21">
      <c r="B82" s="7"/>
      <c r="C82" s="167"/>
      <c r="D82" s="146"/>
      <c r="E82" s="146"/>
      <c r="F82" s="167"/>
      <c r="G82" s="167"/>
      <c r="H82" s="167"/>
      <c r="I82" s="167"/>
      <c r="J82" s="168"/>
      <c r="K82" s="168"/>
      <c r="L82" s="167"/>
      <c r="M82" s="167"/>
      <c r="N82" s="146"/>
      <c r="O82" s="167"/>
      <c r="P82" s="167"/>
      <c r="Q82" s="167"/>
      <c r="R82" s="167"/>
      <c r="S82" s="167"/>
      <c r="T82" s="167"/>
      <c r="U82" s="16"/>
    </row>
    <row r="83" spans="2:21">
      <c r="B83" s="99" t="s">
        <v>207</v>
      </c>
      <c r="C83" s="599">
        <v>17.8</v>
      </c>
      <c r="D83" s="600"/>
      <c r="E83" s="600"/>
      <c r="F83" s="622">
        <v>21.6</v>
      </c>
      <c r="G83" s="623"/>
      <c r="H83" s="623"/>
      <c r="I83" s="624"/>
      <c r="J83" s="166">
        <v>9.6</v>
      </c>
      <c r="K83" s="166">
        <v>12.7</v>
      </c>
      <c r="L83" s="149">
        <v>15.1</v>
      </c>
      <c r="M83" s="599">
        <v>46.6</v>
      </c>
      <c r="N83" s="600"/>
      <c r="O83" s="149">
        <v>86.2</v>
      </c>
      <c r="P83" s="149">
        <v>10.6</v>
      </c>
      <c r="Q83" s="149">
        <v>25.3</v>
      </c>
      <c r="R83" s="149">
        <v>14.3</v>
      </c>
      <c r="S83" s="149">
        <v>13.3</v>
      </c>
      <c r="T83" s="149">
        <v>18.3</v>
      </c>
      <c r="U83" s="99"/>
    </row>
    <row r="84" spans="2:21">
      <c r="B84" s="99" t="s">
        <v>208</v>
      </c>
      <c r="C84" s="609">
        <v>0.11</v>
      </c>
      <c r="D84" s="609"/>
      <c r="E84" s="609"/>
      <c r="F84" s="610">
        <v>0.21</v>
      </c>
      <c r="G84" s="611"/>
      <c r="H84" s="611"/>
      <c r="I84" s="612"/>
      <c r="J84" s="170">
        <v>0.3</v>
      </c>
      <c r="K84" s="170">
        <v>0.18</v>
      </c>
      <c r="L84" s="169">
        <v>0.18</v>
      </c>
      <c r="M84" s="609">
        <v>0.61</v>
      </c>
      <c r="N84" s="609"/>
      <c r="O84" s="169">
        <v>1.57</v>
      </c>
      <c r="P84" s="169">
        <v>0.23</v>
      </c>
      <c r="Q84" s="169">
        <v>1.07</v>
      </c>
      <c r="R84" s="169">
        <v>0.69</v>
      </c>
      <c r="S84" s="169">
        <v>0.37</v>
      </c>
      <c r="T84" s="169">
        <v>0.22</v>
      </c>
    </row>
    <row r="85" spans="2:21">
      <c r="B85" s="99" t="s">
        <v>205</v>
      </c>
      <c r="C85" s="601">
        <v>71.7</v>
      </c>
      <c r="D85" s="601"/>
      <c r="E85" s="601"/>
      <c r="F85" s="602">
        <v>95.5</v>
      </c>
      <c r="G85" s="603"/>
      <c r="H85" s="603"/>
      <c r="I85" s="604"/>
      <c r="J85" s="177">
        <v>61.4</v>
      </c>
      <c r="K85" s="177">
        <v>62.2</v>
      </c>
      <c r="L85" s="176">
        <v>70.5</v>
      </c>
      <c r="M85" s="601">
        <v>219.8</v>
      </c>
      <c r="N85" s="601"/>
      <c r="O85" s="176">
        <v>451</v>
      </c>
      <c r="P85" s="176">
        <v>64</v>
      </c>
      <c r="Q85" s="176">
        <v>193.5</v>
      </c>
      <c r="R85" s="176">
        <v>111.8</v>
      </c>
      <c r="S85" s="176">
        <v>83.1</v>
      </c>
      <c r="T85" s="176">
        <v>102.5</v>
      </c>
    </row>
    <row r="86" spans="2:21">
      <c r="B86" s="99" t="s">
        <v>209</v>
      </c>
      <c r="C86" s="601">
        <f>C83*3412/1000</f>
        <v>60.733600000000003</v>
      </c>
      <c r="D86" s="601"/>
      <c r="E86" s="601"/>
      <c r="F86" s="602">
        <f>F83*3412/1000</f>
        <v>73.699200000000005</v>
      </c>
      <c r="G86" s="603"/>
      <c r="H86" s="603"/>
      <c r="I86" s="604"/>
      <c r="J86" s="177"/>
      <c r="K86" s="177"/>
      <c r="L86" s="176"/>
      <c r="M86" s="601"/>
      <c r="N86" s="601"/>
      <c r="O86" s="176"/>
      <c r="P86" s="176"/>
      <c r="Q86" s="176"/>
      <c r="R86" s="176"/>
      <c r="S86" s="176"/>
      <c r="T86" s="176"/>
    </row>
    <row r="87" spans="2:21">
      <c r="B87" s="99" t="s">
        <v>210</v>
      </c>
      <c r="C87" s="601">
        <f>C84*100000/1000</f>
        <v>11</v>
      </c>
      <c r="D87" s="601"/>
      <c r="E87" s="601"/>
      <c r="F87" s="602">
        <f>F84*100000/1000</f>
        <v>21</v>
      </c>
      <c r="G87" s="603"/>
      <c r="H87" s="603"/>
      <c r="I87" s="604"/>
      <c r="J87" s="177"/>
      <c r="K87" s="177"/>
      <c r="L87" s="176"/>
      <c r="M87" s="601"/>
      <c r="N87" s="601"/>
      <c r="O87" s="176"/>
      <c r="P87" s="176"/>
      <c r="Q87" s="176"/>
      <c r="R87" s="176"/>
      <c r="S87" s="176"/>
      <c r="T87" s="176"/>
    </row>
    <row r="90" spans="2:21">
      <c r="C90" s="642" t="s">
        <v>168</v>
      </c>
      <c r="D90" s="642"/>
      <c r="E90" s="642"/>
      <c r="F90" s="642"/>
      <c r="G90" s="642"/>
      <c r="H90" s="642"/>
      <c r="I90" s="642"/>
      <c r="J90" s="642"/>
      <c r="K90" s="642"/>
      <c r="L90" s="642"/>
      <c r="M90" s="643"/>
    </row>
    <row r="91" spans="2:21" ht="33.75">
      <c r="B91" t="s">
        <v>179</v>
      </c>
      <c r="C91" s="117" t="s">
        <v>169</v>
      </c>
      <c r="D91" s="117" t="s">
        <v>170</v>
      </c>
      <c r="E91" s="117" t="s">
        <v>171</v>
      </c>
      <c r="F91" s="117" t="s">
        <v>172</v>
      </c>
      <c r="G91" s="117" t="s">
        <v>173</v>
      </c>
      <c r="H91" s="117" t="s">
        <v>174</v>
      </c>
      <c r="I91" s="117" t="s">
        <v>175</v>
      </c>
      <c r="J91" s="117" t="s">
        <v>176</v>
      </c>
      <c r="K91" s="117" t="s">
        <v>177</v>
      </c>
      <c r="L91" s="117" t="s">
        <v>178</v>
      </c>
      <c r="M91" s="118" t="s">
        <v>272</v>
      </c>
      <c r="O91" s="124" t="s">
        <v>184</v>
      </c>
      <c r="P91" s="124" t="s">
        <v>191</v>
      </c>
    </row>
    <row r="92" spans="2:21">
      <c r="B92" s="114" t="s">
        <v>148</v>
      </c>
      <c r="C92" s="115"/>
      <c r="D92" s="115"/>
      <c r="E92" s="115"/>
      <c r="F92" s="115"/>
      <c r="G92" s="115"/>
      <c r="H92" s="115"/>
      <c r="I92" s="115"/>
      <c r="J92" s="115"/>
      <c r="K92" s="115"/>
      <c r="L92" s="115"/>
      <c r="M92" s="115"/>
    </row>
    <row r="93" spans="2:21">
      <c r="B93" s="116" t="s">
        <v>149</v>
      </c>
      <c r="C93" s="115">
        <v>11</v>
      </c>
      <c r="D93" s="115">
        <v>0.5</v>
      </c>
      <c r="E93" s="120">
        <v>2.2000000000000002</v>
      </c>
      <c r="F93" s="115">
        <v>2.5</v>
      </c>
      <c r="G93" s="115">
        <v>0.3</v>
      </c>
      <c r="H93" s="120">
        <v>3.4</v>
      </c>
      <c r="I93" s="115" t="s">
        <v>150</v>
      </c>
      <c r="J93" s="115">
        <v>0.5</v>
      </c>
      <c r="K93" s="115">
        <v>0.1</v>
      </c>
      <c r="L93" s="115">
        <v>1</v>
      </c>
      <c r="M93" s="115">
        <v>0.6</v>
      </c>
      <c r="O93" s="125">
        <f>SUM(K93:M93)</f>
        <v>1.7000000000000002</v>
      </c>
      <c r="P93" s="127">
        <f>SUM(D93,E93,F93)</f>
        <v>5.2</v>
      </c>
    </row>
    <row r="94" spans="2:21">
      <c r="B94" s="116" t="s">
        <v>151</v>
      </c>
      <c r="C94" s="115">
        <v>49.4</v>
      </c>
      <c r="D94" s="115">
        <v>1.5</v>
      </c>
      <c r="E94" s="120">
        <v>2.9</v>
      </c>
      <c r="F94" s="115">
        <v>1.8</v>
      </c>
      <c r="G94" s="115" t="s">
        <v>384</v>
      </c>
      <c r="H94" s="120">
        <v>10.9</v>
      </c>
      <c r="I94" s="115">
        <v>0.6</v>
      </c>
      <c r="J94" s="115">
        <v>28.2</v>
      </c>
      <c r="K94" s="115">
        <v>0.5</v>
      </c>
      <c r="L94" s="115">
        <v>0.4</v>
      </c>
      <c r="M94" s="115">
        <v>2.4</v>
      </c>
      <c r="O94" s="125">
        <f t="shared" ref="O94:O110" si="19">SUM(K94:M94)</f>
        <v>3.3</v>
      </c>
      <c r="P94" s="125">
        <f t="shared" ref="P94:P110" si="20">SUM(D94,E94,F94)</f>
        <v>6.2</v>
      </c>
    </row>
    <row r="95" spans="2:21">
      <c r="B95" s="116" t="s">
        <v>152</v>
      </c>
      <c r="C95" s="115">
        <v>38.4</v>
      </c>
      <c r="D95" s="115">
        <v>1.8</v>
      </c>
      <c r="E95" s="120">
        <v>5</v>
      </c>
      <c r="F95" s="115">
        <v>4.3</v>
      </c>
      <c r="G95" s="115">
        <v>1.8</v>
      </c>
      <c r="H95" s="120">
        <v>7.5</v>
      </c>
      <c r="I95" s="115">
        <v>2.4</v>
      </c>
      <c r="J95" s="115">
        <v>12.3</v>
      </c>
      <c r="K95" s="115">
        <v>0.3</v>
      </c>
      <c r="L95" s="115">
        <v>0.3</v>
      </c>
      <c r="M95" s="115">
        <v>2.6</v>
      </c>
      <c r="O95" s="125">
        <f t="shared" si="19"/>
        <v>3.2</v>
      </c>
      <c r="P95" s="125">
        <f t="shared" si="20"/>
        <v>11.1</v>
      </c>
    </row>
    <row r="96" spans="2:21">
      <c r="B96" s="116" t="s">
        <v>153</v>
      </c>
      <c r="C96" s="115">
        <v>22.9</v>
      </c>
      <c r="D96" s="115">
        <v>0.5</v>
      </c>
      <c r="E96" s="120">
        <v>3.1</v>
      </c>
      <c r="F96" s="115">
        <v>3.9</v>
      </c>
      <c r="G96" s="115">
        <v>0.2</v>
      </c>
      <c r="H96" s="120">
        <v>9.6999999999999993</v>
      </c>
      <c r="I96" s="115">
        <v>0.1</v>
      </c>
      <c r="J96" s="115">
        <v>0.8</v>
      </c>
      <c r="K96" s="115">
        <v>0.3</v>
      </c>
      <c r="L96" s="115">
        <v>0.9</v>
      </c>
      <c r="M96" s="115">
        <v>3.3</v>
      </c>
      <c r="O96" s="125">
        <f t="shared" si="19"/>
        <v>4.5</v>
      </c>
      <c r="P96" s="125">
        <f t="shared" si="20"/>
        <v>7.5</v>
      </c>
    </row>
    <row r="97" spans="2:16">
      <c r="B97" s="116" t="s">
        <v>154</v>
      </c>
      <c r="C97" s="115">
        <v>27.5</v>
      </c>
      <c r="D97" s="115">
        <v>0.5</v>
      </c>
      <c r="E97" s="120">
        <v>3.8</v>
      </c>
      <c r="F97" s="115">
        <v>5.9</v>
      </c>
      <c r="G97" s="115">
        <v>0.3</v>
      </c>
      <c r="H97" s="120">
        <v>11.7</v>
      </c>
      <c r="I97" s="115">
        <v>0.1</v>
      </c>
      <c r="J97" s="115">
        <v>0.6</v>
      </c>
      <c r="K97" s="115">
        <v>0.3</v>
      </c>
      <c r="L97" s="115">
        <v>1</v>
      </c>
      <c r="M97" s="115">
        <v>3.2</v>
      </c>
      <c r="O97" s="125">
        <f t="shared" si="19"/>
        <v>4.5</v>
      </c>
      <c r="P97" s="125">
        <f t="shared" si="20"/>
        <v>10.199999999999999</v>
      </c>
    </row>
    <row r="98" spans="2:16">
      <c r="B98" s="116" t="s">
        <v>155</v>
      </c>
      <c r="C98" s="115">
        <v>16.100000000000001</v>
      </c>
      <c r="D98" s="115">
        <v>0.7</v>
      </c>
      <c r="E98" s="120">
        <v>2.1</v>
      </c>
      <c r="F98" s="115">
        <v>1</v>
      </c>
      <c r="G98" s="115">
        <v>0.1</v>
      </c>
      <c r="H98" s="120">
        <v>6.6</v>
      </c>
      <c r="I98" s="115" t="s">
        <v>150</v>
      </c>
      <c r="J98" s="115">
        <v>1</v>
      </c>
      <c r="K98" s="115">
        <v>0.4</v>
      </c>
      <c r="L98" s="115">
        <v>0.8</v>
      </c>
      <c r="M98" s="115">
        <v>3.5</v>
      </c>
      <c r="O98" s="125">
        <f t="shared" si="19"/>
        <v>4.7</v>
      </c>
      <c r="P98" s="125">
        <f t="shared" si="20"/>
        <v>3.8</v>
      </c>
    </row>
    <row r="99" spans="2:16">
      <c r="B99" s="116" t="s">
        <v>156</v>
      </c>
      <c r="C99" s="115">
        <v>13.5</v>
      </c>
      <c r="D99" s="120">
        <v>0.8</v>
      </c>
      <c r="E99" s="120">
        <v>1.4</v>
      </c>
      <c r="F99" s="115">
        <v>0.8</v>
      </c>
      <c r="G99" s="115">
        <v>0.7</v>
      </c>
      <c r="H99" s="120">
        <v>7.1</v>
      </c>
      <c r="I99" s="115">
        <v>0.1</v>
      </c>
      <c r="J99" s="115">
        <v>0.7</v>
      </c>
      <c r="K99" s="115" t="s">
        <v>384</v>
      </c>
      <c r="L99" s="115">
        <v>0.4</v>
      </c>
      <c r="M99" s="115">
        <v>1.4</v>
      </c>
      <c r="O99" s="125">
        <f t="shared" si="19"/>
        <v>1.7999999999999998</v>
      </c>
      <c r="P99" s="125">
        <f t="shared" si="20"/>
        <v>3</v>
      </c>
    </row>
    <row r="100" spans="2:16">
      <c r="B100" s="116" t="s">
        <v>157</v>
      </c>
      <c r="C100" s="115">
        <v>19.2</v>
      </c>
      <c r="D100" s="115">
        <v>1.5</v>
      </c>
      <c r="E100" s="120">
        <v>2.9</v>
      </c>
      <c r="F100" s="115">
        <v>1.8</v>
      </c>
      <c r="G100" s="115">
        <v>1</v>
      </c>
      <c r="H100" s="120">
        <v>8.1</v>
      </c>
      <c r="I100" s="115">
        <v>0.1</v>
      </c>
      <c r="J100" s="115">
        <v>1.3</v>
      </c>
      <c r="K100" s="115">
        <v>0.2</v>
      </c>
      <c r="L100" s="115">
        <v>0.3</v>
      </c>
      <c r="M100" s="115">
        <v>2.2000000000000002</v>
      </c>
      <c r="O100" s="125">
        <f t="shared" si="19"/>
        <v>2.7</v>
      </c>
      <c r="P100" s="125">
        <f t="shared" si="20"/>
        <v>6.2</v>
      </c>
    </row>
    <row r="101" spans="2:16">
      <c r="B101" s="116" t="s">
        <v>158</v>
      </c>
      <c r="C101" s="115">
        <v>14.3</v>
      </c>
      <c r="D101" s="115">
        <v>0.4</v>
      </c>
      <c r="E101" s="120">
        <v>1.7</v>
      </c>
      <c r="F101" s="115">
        <v>1.1000000000000001</v>
      </c>
      <c r="G101" s="115">
        <v>0.1</v>
      </c>
      <c r="H101" s="120">
        <v>7.5</v>
      </c>
      <c r="I101" s="115" t="s">
        <v>150</v>
      </c>
      <c r="J101" s="115">
        <v>1.5</v>
      </c>
      <c r="K101" s="115">
        <v>0.2</v>
      </c>
      <c r="L101" s="115">
        <v>0.3</v>
      </c>
      <c r="M101" s="115">
        <v>1.5</v>
      </c>
      <c r="O101" s="125">
        <f t="shared" si="19"/>
        <v>2</v>
      </c>
      <c r="P101" s="125">
        <f t="shared" si="20"/>
        <v>3.2</v>
      </c>
    </row>
    <row r="102" spans="2:16">
      <c r="B102" s="116" t="s">
        <v>159</v>
      </c>
      <c r="C102" s="115">
        <v>22.3</v>
      </c>
      <c r="D102" s="115">
        <v>2.2000000000000002</v>
      </c>
      <c r="E102" s="120">
        <v>3.6</v>
      </c>
      <c r="F102" s="115">
        <v>2.2000000000000002</v>
      </c>
      <c r="G102" s="115">
        <v>1.5</v>
      </c>
      <c r="H102" s="120">
        <v>8.4</v>
      </c>
      <c r="I102" s="115">
        <v>0.1</v>
      </c>
      <c r="J102" s="115">
        <v>1.2</v>
      </c>
      <c r="K102" s="115">
        <v>0.2</v>
      </c>
      <c r="L102" s="115">
        <v>0.3</v>
      </c>
      <c r="M102" s="115">
        <v>2.6</v>
      </c>
      <c r="O102" s="125">
        <f t="shared" si="19"/>
        <v>3.1</v>
      </c>
      <c r="P102" s="125">
        <f t="shared" si="20"/>
        <v>8</v>
      </c>
    </row>
    <row r="103" spans="2:16">
      <c r="B103" s="116" t="s">
        <v>160</v>
      </c>
      <c r="C103" s="115">
        <v>17.3</v>
      </c>
      <c r="D103" s="115">
        <v>0.8</v>
      </c>
      <c r="E103" s="120">
        <v>2.4</v>
      </c>
      <c r="F103" s="115">
        <v>1.5</v>
      </c>
      <c r="G103" s="115">
        <v>0.2</v>
      </c>
      <c r="H103" s="120">
        <v>6.8</v>
      </c>
      <c r="I103" s="115" t="s">
        <v>150</v>
      </c>
      <c r="J103" s="115">
        <v>0.8</v>
      </c>
      <c r="K103" s="115">
        <v>0.8</v>
      </c>
      <c r="L103" s="115">
        <v>1.8</v>
      </c>
      <c r="M103" s="115">
        <v>2.2000000000000002</v>
      </c>
      <c r="O103" s="125">
        <f t="shared" si="19"/>
        <v>4.8000000000000007</v>
      </c>
      <c r="P103" s="127">
        <f t="shared" si="20"/>
        <v>4.7</v>
      </c>
    </row>
    <row r="104" spans="2:16">
      <c r="B104" s="116" t="s">
        <v>161</v>
      </c>
      <c r="C104" s="115">
        <v>12.5</v>
      </c>
      <c r="D104" s="115">
        <v>0.4</v>
      </c>
      <c r="E104" s="120">
        <v>2.6</v>
      </c>
      <c r="F104" s="115">
        <v>4.7</v>
      </c>
      <c r="G104" s="115" t="s">
        <v>150</v>
      </c>
      <c r="H104" s="120">
        <v>2</v>
      </c>
      <c r="I104" s="115" t="s">
        <v>150</v>
      </c>
      <c r="J104" s="115">
        <v>0.7</v>
      </c>
      <c r="K104" s="115" t="s">
        <v>384</v>
      </c>
      <c r="L104" s="115">
        <v>0.2</v>
      </c>
      <c r="M104" s="115">
        <v>1.7</v>
      </c>
      <c r="O104" s="125">
        <f t="shared" si="19"/>
        <v>1.9</v>
      </c>
      <c r="P104" s="125">
        <f t="shared" si="20"/>
        <v>7.7</v>
      </c>
    </row>
    <row r="105" spans="2:16">
      <c r="B105" s="116" t="s">
        <v>162</v>
      </c>
      <c r="C105" s="115">
        <v>15.3</v>
      </c>
      <c r="D105" s="115">
        <v>0.5</v>
      </c>
      <c r="E105" s="120">
        <v>2.1</v>
      </c>
      <c r="F105" s="115">
        <v>2.8</v>
      </c>
      <c r="G105" s="115">
        <v>0.9</v>
      </c>
      <c r="H105" s="120">
        <v>4.8</v>
      </c>
      <c r="I105" s="115" t="s">
        <v>150</v>
      </c>
      <c r="J105" s="115">
        <v>0.9</v>
      </c>
      <c r="K105" s="115">
        <v>0.2</v>
      </c>
      <c r="L105" s="115">
        <v>0.4</v>
      </c>
      <c r="M105" s="115">
        <v>2.7</v>
      </c>
      <c r="O105" s="125">
        <f t="shared" si="19"/>
        <v>3.3000000000000003</v>
      </c>
      <c r="P105" s="125">
        <f t="shared" si="20"/>
        <v>5.4</v>
      </c>
    </row>
    <row r="106" spans="2:16">
      <c r="B106" s="116" t="s">
        <v>163</v>
      </c>
      <c r="C106" s="115">
        <v>4.9000000000000004</v>
      </c>
      <c r="D106" s="115">
        <v>0.2</v>
      </c>
      <c r="E106" s="120">
        <v>0.8</v>
      </c>
      <c r="F106" s="115">
        <v>0.4</v>
      </c>
      <c r="G106" s="115" t="s">
        <v>150</v>
      </c>
      <c r="H106" s="120">
        <v>1.3</v>
      </c>
      <c r="I106" s="115" t="s">
        <v>150</v>
      </c>
      <c r="J106" s="115">
        <v>0.5</v>
      </c>
      <c r="K106" s="115" t="s">
        <v>150</v>
      </c>
      <c r="L106" s="115">
        <v>0.1</v>
      </c>
      <c r="M106" s="115">
        <v>1.4</v>
      </c>
      <c r="O106" s="125">
        <f t="shared" si="19"/>
        <v>1.5</v>
      </c>
      <c r="P106" s="125">
        <f t="shared" si="20"/>
        <v>1.4</v>
      </c>
    </row>
    <row r="107" spans="2:16">
      <c r="B107" s="116" t="s">
        <v>164</v>
      </c>
      <c r="C107" s="115">
        <v>11</v>
      </c>
      <c r="D107" s="115">
        <v>0.4</v>
      </c>
      <c r="E107" s="120">
        <v>1.1000000000000001</v>
      </c>
      <c r="F107" s="115">
        <v>1.8</v>
      </c>
      <c r="G107" s="115" t="s">
        <v>150</v>
      </c>
      <c r="H107" s="120">
        <v>4.5999999999999996</v>
      </c>
      <c r="I107" s="115" t="s">
        <v>384</v>
      </c>
      <c r="J107" s="115">
        <v>0.6</v>
      </c>
      <c r="K107" s="115">
        <v>0.1</v>
      </c>
      <c r="L107" s="115">
        <v>0.2</v>
      </c>
      <c r="M107" s="115">
        <v>2.1</v>
      </c>
      <c r="O107" s="125">
        <f t="shared" si="19"/>
        <v>2.4000000000000004</v>
      </c>
      <c r="P107" s="125">
        <f t="shared" si="20"/>
        <v>3.3</v>
      </c>
    </row>
    <row r="108" spans="2:16">
      <c r="B108" s="116" t="s">
        <v>165</v>
      </c>
      <c r="C108" s="115">
        <v>7.6</v>
      </c>
      <c r="D108" s="115">
        <v>0.2</v>
      </c>
      <c r="E108" s="120">
        <v>0.4</v>
      </c>
      <c r="F108" s="115">
        <v>0.6</v>
      </c>
      <c r="G108" s="115">
        <v>0.1</v>
      </c>
      <c r="H108" s="120">
        <v>4.0999999999999996</v>
      </c>
      <c r="I108" s="115" t="s">
        <v>384</v>
      </c>
      <c r="J108" s="115">
        <v>1.1000000000000001</v>
      </c>
      <c r="K108" s="115">
        <v>0.1</v>
      </c>
      <c r="L108" s="115">
        <v>0.1</v>
      </c>
      <c r="M108" s="115">
        <v>0.9</v>
      </c>
      <c r="O108" s="125">
        <f t="shared" si="19"/>
        <v>1.1000000000000001</v>
      </c>
      <c r="P108" s="125">
        <f t="shared" si="20"/>
        <v>1.2000000000000002</v>
      </c>
    </row>
    <row r="109" spans="2:16">
      <c r="B109" s="116" t="s">
        <v>166</v>
      </c>
      <c r="C109" s="115">
        <v>22.5</v>
      </c>
      <c r="D109" s="115">
        <v>0.4</v>
      </c>
      <c r="E109" s="120">
        <v>2.7</v>
      </c>
      <c r="F109" s="115">
        <v>1.8</v>
      </c>
      <c r="G109" s="115">
        <v>0.1</v>
      </c>
      <c r="H109" s="120">
        <v>10.1</v>
      </c>
      <c r="I109" s="115" t="s">
        <v>384</v>
      </c>
      <c r="J109" s="115">
        <v>1.8</v>
      </c>
      <c r="K109" s="115" t="s">
        <v>384</v>
      </c>
      <c r="L109" s="115">
        <v>0.9</v>
      </c>
      <c r="M109" s="115">
        <v>3.7</v>
      </c>
      <c r="O109" s="125">
        <f t="shared" si="19"/>
        <v>4.6000000000000005</v>
      </c>
      <c r="P109" s="125">
        <f t="shared" si="20"/>
        <v>4.9000000000000004</v>
      </c>
    </row>
    <row r="110" spans="2:16">
      <c r="B110" s="116" t="s">
        <v>167</v>
      </c>
      <c r="C110" s="115">
        <v>2.4</v>
      </c>
      <c r="D110" s="115">
        <v>0.1</v>
      </c>
      <c r="E110" s="120">
        <v>0.2</v>
      </c>
      <c r="F110" s="115">
        <v>0.2</v>
      </c>
      <c r="G110" s="115" t="s">
        <v>384</v>
      </c>
      <c r="H110" s="120">
        <v>0.7</v>
      </c>
      <c r="I110" s="115" t="s">
        <v>384</v>
      </c>
      <c r="J110" s="115">
        <v>0.1</v>
      </c>
      <c r="K110" s="115" t="s">
        <v>384</v>
      </c>
      <c r="L110" s="115" t="s">
        <v>150</v>
      </c>
      <c r="M110" s="115">
        <v>1.1000000000000001</v>
      </c>
      <c r="O110" s="125">
        <f t="shared" si="19"/>
        <v>1.1000000000000001</v>
      </c>
      <c r="P110" s="125">
        <f t="shared" si="20"/>
        <v>0.5</v>
      </c>
    </row>
    <row r="113" spans="2:23">
      <c r="C113" s="644" t="s">
        <v>180</v>
      </c>
      <c r="D113" s="645"/>
      <c r="E113" s="645"/>
      <c r="F113" s="645"/>
      <c r="G113" s="646"/>
      <c r="H113" s="647" t="s">
        <v>181</v>
      </c>
      <c r="I113" s="645"/>
      <c r="J113" s="645"/>
      <c r="K113" s="645"/>
      <c r="L113" s="645"/>
      <c r="O113" s="140">
        <v>0.7</v>
      </c>
      <c r="P113" s="141">
        <v>2</v>
      </c>
    </row>
    <row r="114" spans="2:23" ht="95.25" customHeight="1">
      <c r="B114" t="s">
        <v>179</v>
      </c>
      <c r="C114" s="117" t="s">
        <v>169</v>
      </c>
      <c r="D114" s="117" t="s">
        <v>182</v>
      </c>
      <c r="E114" s="117" t="s">
        <v>183</v>
      </c>
      <c r="F114" s="117" t="s">
        <v>175</v>
      </c>
      <c r="G114" s="118" t="s">
        <v>272</v>
      </c>
      <c r="H114" s="117" t="s">
        <v>169</v>
      </c>
      <c r="I114" s="117" t="s">
        <v>182</v>
      </c>
      <c r="J114" s="117" t="s">
        <v>183</v>
      </c>
      <c r="K114" s="117" t="s">
        <v>175</v>
      </c>
      <c r="L114" s="118" t="s">
        <v>272</v>
      </c>
      <c r="O114" s="139" t="s">
        <v>224</v>
      </c>
      <c r="P114" s="124" t="s">
        <v>223</v>
      </c>
      <c r="R114" s="8" t="s">
        <v>203</v>
      </c>
      <c r="S114" s="144" t="s">
        <v>204</v>
      </c>
      <c r="T114" s="8" t="s">
        <v>225</v>
      </c>
      <c r="U114" s="8" t="s">
        <v>244</v>
      </c>
      <c r="V114" s="144" t="s">
        <v>245</v>
      </c>
      <c r="W114" s="8" t="s">
        <v>246</v>
      </c>
    </row>
    <row r="115" spans="2:23">
      <c r="B115" s="114" t="s">
        <v>148</v>
      </c>
      <c r="C115" s="119"/>
      <c r="D115" s="119"/>
      <c r="E115" s="119"/>
      <c r="F115" s="119"/>
      <c r="G115" s="119"/>
      <c r="H115" s="115"/>
      <c r="I115" s="115"/>
      <c r="J115" s="115"/>
      <c r="K115" s="115"/>
      <c r="L115" s="115"/>
    </row>
    <row r="116" spans="2:23">
      <c r="B116" s="116" t="s">
        <v>149</v>
      </c>
      <c r="C116" s="119">
        <v>268</v>
      </c>
      <c r="D116" s="119">
        <v>207</v>
      </c>
      <c r="E116" s="119">
        <v>37</v>
      </c>
      <c r="F116" s="119">
        <v>5</v>
      </c>
      <c r="G116" s="119">
        <v>19</v>
      </c>
      <c r="H116" s="115">
        <v>38.1</v>
      </c>
      <c r="I116" s="120">
        <v>29.5</v>
      </c>
      <c r="J116" s="115">
        <v>5.2</v>
      </c>
      <c r="K116" s="115">
        <v>0.7</v>
      </c>
      <c r="L116" s="115">
        <v>2.7</v>
      </c>
      <c r="N116" s="85" t="s">
        <v>226</v>
      </c>
      <c r="O116" s="142">
        <f>I116*$O$113*1000/3412</f>
        <v>6.0521688159437277</v>
      </c>
      <c r="P116" s="85">
        <f>O116/$P$113</f>
        <v>3.0260844079718638</v>
      </c>
      <c r="R116">
        <v>23.2</v>
      </c>
      <c r="S116" s="142">
        <f>R116*$O$113*1000/3412</f>
        <v>4.7596717467760836</v>
      </c>
      <c r="T116" s="85">
        <f>S116/$P$113</f>
        <v>2.3798358733880418</v>
      </c>
      <c r="U116">
        <v>24</v>
      </c>
      <c r="V116" s="142">
        <f>U116*$O$113*1000/3412</f>
        <v>4.9237983587338796</v>
      </c>
    </row>
    <row r="117" spans="2:23">
      <c r="B117" s="116" t="s">
        <v>151</v>
      </c>
      <c r="C117" s="119">
        <v>39</v>
      </c>
      <c r="D117" s="119">
        <v>27</v>
      </c>
      <c r="E117" s="119">
        <v>2</v>
      </c>
      <c r="F117" s="119">
        <v>8</v>
      </c>
      <c r="G117" s="119" t="s">
        <v>384</v>
      </c>
      <c r="H117" s="115">
        <v>51.7</v>
      </c>
      <c r="I117" s="120">
        <v>35.6</v>
      </c>
      <c r="J117" s="115">
        <v>3.2</v>
      </c>
      <c r="K117" s="120">
        <v>11.2</v>
      </c>
      <c r="L117" s="115" t="s">
        <v>384</v>
      </c>
      <c r="N117" t="s">
        <v>227</v>
      </c>
      <c r="O117" s="75">
        <f t="shared" ref="O117:O133" si="21">I117*$O$113*1000/3412</f>
        <v>7.3036342321219214</v>
      </c>
      <c r="P117" s="85">
        <f t="shared" ref="P117:P133" si="22">O117/$P$113</f>
        <v>3.6518171160609607</v>
      </c>
      <c r="R117">
        <v>40.299999999999997</v>
      </c>
      <c r="S117" s="75">
        <f>R117*$O$113*1000/3412</f>
        <v>8.2678780773739735</v>
      </c>
      <c r="T117" s="85">
        <f>S117/$P$113</f>
        <v>4.1339390386869868</v>
      </c>
      <c r="U117">
        <v>21.8</v>
      </c>
      <c r="V117" s="75">
        <f>U117*$O$113*1000/3412</f>
        <v>4.4724501758499411</v>
      </c>
    </row>
    <row r="118" spans="2:23">
      <c r="B118" s="116" t="s">
        <v>152</v>
      </c>
      <c r="C118" s="119">
        <v>203</v>
      </c>
      <c r="D118" s="119">
        <v>54</v>
      </c>
      <c r="E118" s="119">
        <v>56</v>
      </c>
      <c r="F118" s="119">
        <v>91</v>
      </c>
      <c r="G118" s="119" t="s">
        <v>384</v>
      </c>
      <c r="H118" s="115">
        <v>145.6</v>
      </c>
      <c r="I118" s="120">
        <v>39</v>
      </c>
      <c r="J118" s="120">
        <v>40</v>
      </c>
      <c r="K118" s="120">
        <v>65.400000000000006</v>
      </c>
      <c r="L118" s="115" t="s">
        <v>384</v>
      </c>
      <c r="N118" t="s">
        <v>228</v>
      </c>
      <c r="O118" s="75">
        <f t="shared" si="21"/>
        <v>8.0011723329425539</v>
      </c>
      <c r="P118" s="85">
        <f t="shared" si="22"/>
        <v>4.000586166471277</v>
      </c>
      <c r="S118" s="71"/>
      <c r="V118" s="71"/>
    </row>
    <row r="119" spans="2:23">
      <c r="B119" s="116" t="s">
        <v>153</v>
      </c>
      <c r="C119" s="119">
        <v>243</v>
      </c>
      <c r="D119" s="119">
        <v>136</v>
      </c>
      <c r="E119" s="119">
        <v>74</v>
      </c>
      <c r="F119" s="119">
        <v>10</v>
      </c>
      <c r="G119" s="119">
        <v>23</v>
      </c>
      <c r="H119" s="115">
        <v>95.3</v>
      </c>
      <c r="I119" s="120">
        <v>53.6</v>
      </c>
      <c r="J119" s="120">
        <v>28.9</v>
      </c>
      <c r="K119" s="115">
        <v>3.8</v>
      </c>
      <c r="L119" s="120">
        <v>9.1</v>
      </c>
      <c r="N119" t="s">
        <v>270</v>
      </c>
      <c r="O119" s="75">
        <f t="shared" si="21"/>
        <v>10.996483001172331</v>
      </c>
      <c r="P119" s="85">
        <f t="shared" si="22"/>
        <v>5.4982415005861656</v>
      </c>
      <c r="S119" s="71"/>
      <c r="V119" s="71"/>
    </row>
    <row r="120" spans="2:23">
      <c r="B120" s="116" t="s">
        <v>154</v>
      </c>
      <c r="C120" s="119">
        <v>204</v>
      </c>
      <c r="D120" s="119">
        <v>103</v>
      </c>
      <c r="E120" s="119">
        <v>71</v>
      </c>
      <c r="F120" s="119">
        <v>9</v>
      </c>
      <c r="G120" s="119">
        <v>21</v>
      </c>
      <c r="H120" s="115">
        <v>113.2</v>
      </c>
      <c r="I120" s="120">
        <v>56.8</v>
      </c>
      <c r="J120" s="120">
        <v>39.4</v>
      </c>
      <c r="K120" s="115">
        <v>5.2</v>
      </c>
      <c r="L120" s="120">
        <v>11.9</v>
      </c>
      <c r="N120" t="s">
        <v>229</v>
      </c>
      <c r="O120" s="75">
        <f t="shared" si="21"/>
        <v>11.652989449003517</v>
      </c>
      <c r="P120" s="85">
        <f t="shared" si="22"/>
        <v>5.8264947245017584</v>
      </c>
      <c r="R120">
        <v>39.299999999999997</v>
      </c>
      <c r="S120" s="75">
        <f>R120*$O$113*1000/3412</f>
        <v>8.0627198124267281</v>
      </c>
      <c r="T120" s="85">
        <f>S120/$P$113</f>
        <v>4.031359906213364</v>
      </c>
      <c r="U120">
        <v>35</v>
      </c>
      <c r="V120" s="75">
        <f>U120*$O$113*1000/3412</f>
        <v>7.1805392731535758</v>
      </c>
    </row>
    <row r="121" spans="2:23">
      <c r="B121" s="116" t="s">
        <v>155</v>
      </c>
      <c r="C121" s="119">
        <v>38</v>
      </c>
      <c r="D121" s="119">
        <v>34</v>
      </c>
      <c r="E121" s="119">
        <v>3</v>
      </c>
      <c r="F121" s="119" t="s">
        <v>384</v>
      </c>
      <c r="G121" s="119" t="s">
        <v>384</v>
      </c>
      <c r="H121" s="115">
        <v>51.8</v>
      </c>
      <c r="I121" s="120">
        <v>45.6</v>
      </c>
      <c r="J121" s="115">
        <v>3.5</v>
      </c>
      <c r="K121" s="115" t="s">
        <v>384</v>
      </c>
      <c r="L121" s="115" t="s">
        <v>384</v>
      </c>
      <c r="N121" t="s">
        <v>230</v>
      </c>
      <c r="O121" s="75">
        <f t="shared" si="21"/>
        <v>9.3552168815943713</v>
      </c>
      <c r="P121" s="85">
        <f t="shared" si="22"/>
        <v>4.6776084407971856</v>
      </c>
      <c r="R121">
        <v>16.399999999999999</v>
      </c>
      <c r="S121" s="75">
        <f>R121*$O$113*1000/3412</f>
        <v>3.3645955451348177</v>
      </c>
      <c r="T121" s="85">
        <f>S121/$P$113</f>
        <v>1.6822977725674089</v>
      </c>
      <c r="V121" s="71"/>
    </row>
    <row r="122" spans="2:23">
      <c r="B122" s="116" t="s">
        <v>156</v>
      </c>
      <c r="C122" s="119">
        <v>215</v>
      </c>
      <c r="D122" s="119">
        <v>64</v>
      </c>
      <c r="E122" s="119">
        <v>124</v>
      </c>
      <c r="F122" s="119">
        <v>14</v>
      </c>
      <c r="G122" s="119" t="s">
        <v>384</v>
      </c>
      <c r="H122" s="126">
        <v>50.4</v>
      </c>
      <c r="I122" s="120">
        <v>15</v>
      </c>
      <c r="J122" s="120">
        <v>29.2</v>
      </c>
      <c r="K122" s="115">
        <v>3.3</v>
      </c>
      <c r="L122" s="115" t="s">
        <v>384</v>
      </c>
      <c r="N122" t="s">
        <v>231</v>
      </c>
      <c r="O122" s="75">
        <f t="shared" si="21"/>
        <v>3.0773739742086752</v>
      </c>
      <c r="P122" s="85">
        <f t="shared" si="22"/>
        <v>1.5386869871043376</v>
      </c>
      <c r="R122">
        <v>21</v>
      </c>
      <c r="S122" s="75">
        <f>R122*$O$113*1000/3412</f>
        <v>4.3083235638921451</v>
      </c>
      <c r="T122" s="85">
        <f>S122/$P$113</f>
        <v>2.1541617819460726</v>
      </c>
      <c r="U122">
        <v>10.8</v>
      </c>
      <c r="V122" s="75">
        <f>U122*$O$113*1000/3412</f>
        <v>2.2157092614302463</v>
      </c>
    </row>
    <row r="123" spans="2:23">
      <c r="B123" s="116" t="s">
        <v>157</v>
      </c>
      <c r="C123" s="119">
        <v>264</v>
      </c>
      <c r="D123" s="119">
        <v>188</v>
      </c>
      <c r="E123" s="119">
        <v>19</v>
      </c>
      <c r="F123" s="119">
        <v>24</v>
      </c>
      <c r="G123" s="119">
        <v>33</v>
      </c>
      <c r="H123" s="115">
        <v>33.5</v>
      </c>
      <c r="I123" s="120">
        <v>23.9</v>
      </c>
      <c r="J123" s="115">
        <v>2.4</v>
      </c>
      <c r="K123" s="115">
        <v>3.1</v>
      </c>
      <c r="L123" s="115">
        <v>4.0999999999999996</v>
      </c>
      <c r="N123" t="s">
        <v>261</v>
      </c>
      <c r="O123" s="75">
        <f t="shared" si="21"/>
        <v>4.9032825322391549</v>
      </c>
      <c r="P123" s="85">
        <f t="shared" si="22"/>
        <v>2.4516412661195774</v>
      </c>
      <c r="R123">
        <v>17.5</v>
      </c>
      <c r="S123" s="75">
        <f>R123*$O$113*1000/3412</f>
        <v>3.5902696365767879</v>
      </c>
      <c r="T123" s="85">
        <f>S123/$P$113</f>
        <v>1.7951348182883939</v>
      </c>
      <c r="U123">
        <v>1.1000000000000001</v>
      </c>
      <c r="V123" s="75">
        <f>U123*$O$113*1000/3412</f>
        <v>0.22567409144196951</v>
      </c>
    </row>
    <row r="124" spans="2:23">
      <c r="B124" s="116" t="s">
        <v>158</v>
      </c>
      <c r="C124" s="119">
        <v>91</v>
      </c>
      <c r="D124" s="119">
        <v>84</v>
      </c>
      <c r="E124" s="119">
        <v>3</v>
      </c>
      <c r="F124" s="119">
        <v>3</v>
      </c>
      <c r="G124" s="119">
        <v>2</v>
      </c>
      <c r="H124" s="115">
        <v>31.9</v>
      </c>
      <c r="I124" s="120">
        <v>29.3</v>
      </c>
      <c r="J124" s="115">
        <v>1</v>
      </c>
      <c r="K124" s="115">
        <v>0.9</v>
      </c>
      <c r="L124" s="115">
        <v>0.7</v>
      </c>
      <c r="N124" t="s">
        <v>232</v>
      </c>
      <c r="O124" s="75">
        <f t="shared" si="21"/>
        <v>6.0111371629542782</v>
      </c>
      <c r="P124" s="85">
        <f t="shared" si="22"/>
        <v>3.0055685814771391</v>
      </c>
      <c r="S124" s="71"/>
      <c r="V124" s="71"/>
    </row>
    <row r="125" spans="2:23">
      <c r="B125" s="116" t="s">
        <v>159</v>
      </c>
      <c r="C125" s="119">
        <v>172</v>
      </c>
      <c r="D125" s="119">
        <v>104</v>
      </c>
      <c r="E125" s="119">
        <v>16</v>
      </c>
      <c r="F125" s="119">
        <v>22</v>
      </c>
      <c r="G125" s="119">
        <v>31</v>
      </c>
      <c r="H125" s="115">
        <v>34.4</v>
      </c>
      <c r="I125" s="120">
        <v>20.9</v>
      </c>
      <c r="J125" s="115">
        <v>3.1</v>
      </c>
      <c r="K125" s="115">
        <v>4.3</v>
      </c>
      <c r="L125" s="120">
        <v>6.1</v>
      </c>
      <c r="N125" t="s">
        <v>233</v>
      </c>
      <c r="O125" s="75">
        <f t="shared" si="21"/>
        <v>4.2878077373974195</v>
      </c>
      <c r="P125" s="85">
        <f t="shared" si="22"/>
        <v>2.1439038686987097</v>
      </c>
      <c r="S125" s="71"/>
      <c r="V125" s="71"/>
    </row>
    <row r="126" spans="2:23">
      <c r="B126" s="116" t="s">
        <v>160</v>
      </c>
      <c r="C126" s="119">
        <v>269</v>
      </c>
      <c r="D126" s="119">
        <v>230</v>
      </c>
      <c r="E126" s="119">
        <v>13</v>
      </c>
      <c r="F126" s="119">
        <v>3</v>
      </c>
      <c r="G126" s="119">
        <v>23</v>
      </c>
      <c r="H126" s="115">
        <v>32.799999999999997</v>
      </c>
      <c r="I126" s="120">
        <v>28.1</v>
      </c>
      <c r="J126" s="115">
        <v>1.6</v>
      </c>
      <c r="K126" s="115">
        <v>0.3</v>
      </c>
      <c r="L126" s="115">
        <v>2.8</v>
      </c>
      <c r="N126" t="s">
        <v>256</v>
      </c>
      <c r="O126" s="75">
        <f t="shared" si="21"/>
        <v>5.7649472450175843</v>
      </c>
      <c r="P126" s="85">
        <f t="shared" si="22"/>
        <v>2.8824736225087921</v>
      </c>
      <c r="R126">
        <v>10.7</v>
      </c>
      <c r="S126" s="75">
        <f>R126*$O$113*1000/3412</f>
        <v>2.1951934349355215</v>
      </c>
      <c r="T126" s="85">
        <f>S126/$P$113</f>
        <v>1.0975967174677608</v>
      </c>
      <c r="U126">
        <v>8</v>
      </c>
      <c r="V126" s="75">
        <f>U126*$O$113*1000/3412</f>
        <v>1.6412661195779601</v>
      </c>
    </row>
    <row r="127" spans="2:23">
      <c r="B127" s="116" t="s">
        <v>161</v>
      </c>
      <c r="C127" s="119">
        <v>102</v>
      </c>
      <c r="D127" s="119">
        <v>92</v>
      </c>
      <c r="E127" s="119">
        <v>2</v>
      </c>
      <c r="F127" s="119">
        <v>3</v>
      </c>
      <c r="G127" s="119" t="s">
        <v>384</v>
      </c>
      <c r="H127" s="115">
        <v>37.5</v>
      </c>
      <c r="I127" s="120">
        <v>33.799999999999997</v>
      </c>
      <c r="J127" s="115">
        <v>0.9</v>
      </c>
      <c r="K127" s="115">
        <v>1</v>
      </c>
      <c r="L127" s="115" t="s">
        <v>384</v>
      </c>
      <c r="N127" t="s">
        <v>234</v>
      </c>
      <c r="O127" s="75">
        <f t="shared" si="21"/>
        <v>6.9343493552168809</v>
      </c>
      <c r="P127" s="85">
        <f t="shared" si="22"/>
        <v>3.4671746776084404</v>
      </c>
      <c r="R127">
        <v>22.8</v>
      </c>
      <c r="S127" s="75">
        <f>R127*$O$113*1000/3412</f>
        <v>4.6776084407971856</v>
      </c>
      <c r="T127" s="85">
        <f>S127/$P$113</f>
        <v>2.3388042203985928</v>
      </c>
      <c r="V127" s="71"/>
    </row>
    <row r="128" spans="2:23">
      <c r="B128" s="116" t="s">
        <v>162</v>
      </c>
      <c r="C128" s="119">
        <v>29</v>
      </c>
      <c r="D128" s="119">
        <v>15</v>
      </c>
      <c r="E128" s="119">
        <v>10</v>
      </c>
      <c r="F128" s="119" t="s">
        <v>384</v>
      </c>
      <c r="G128" s="119" t="s">
        <v>384</v>
      </c>
      <c r="H128" s="115">
        <v>45</v>
      </c>
      <c r="I128" s="120">
        <v>24.1</v>
      </c>
      <c r="J128" s="120">
        <v>15.1</v>
      </c>
      <c r="K128" s="115" t="s">
        <v>384</v>
      </c>
      <c r="L128" s="115" t="s">
        <v>384</v>
      </c>
      <c r="N128" t="s">
        <v>235</v>
      </c>
      <c r="O128" s="75">
        <f t="shared" si="21"/>
        <v>4.9443141852286052</v>
      </c>
      <c r="P128" s="85">
        <f t="shared" si="22"/>
        <v>2.4721570926143026</v>
      </c>
      <c r="R128">
        <v>11.8</v>
      </c>
      <c r="S128" s="75">
        <f>R128*$O$113*1000/3412</f>
        <v>2.4208675263774913</v>
      </c>
      <c r="T128" s="85">
        <f>S128/$P$113</f>
        <v>1.2104337631887456</v>
      </c>
      <c r="V128" s="71"/>
    </row>
    <row r="129" spans="2:22">
      <c r="B129" s="116" t="s">
        <v>163</v>
      </c>
      <c r="C129" s="119">
        <v>82</v>
      </c>
      <c r="D129" s="119">
        <v>77</v>
      </c>
      <c r="E129" s="119">
        <v>2</v>
      </c>
      <c r="F129" s="119">
        <v>3</v>
      </c>
      <c r="G129" s="119" t="s">
        <v>384</v>
      </c>
      <c r="H129" s="115">
        <v>31.2</v>
      </c>
      <c r="I129" s="120">
        <v>29.1</v>
      </c>
      <c r="J129" s="115">
        <v>0.9</v>
      </c>
      <c r="K129" s="115">
        <v>1</v>
      </c>
      <c r="L129" s="115" t="s">
        <v>384</v>
      </c>
      <c r="N129" t="s">
        <v>241</v>
      </c>
      <c r="O129" s="75">
        <f t="shared" si="21"/>
        <v>5.9701055099648297</v>
      </c>
      <c r="P129" s="85">
        <f t="shared" si="22"/>
        <v>2.9850527549824148</v>
      </c>
      <c r="S129" s="71"/>
      <c r="V129" s="71"/>
    </row>
    <row r="130" spans="2:22">
      <c r="B130" s="116" t="s">
        <v>164</v>
      </c>
      <c r="C130" s="119">
        <v>139</v>
      </c>
      <c r="D130" s="119">
        <v>119</v>
      </c>
      <c r="E130" s="119">
        <v>2</v>
      </c>
      <c r="F130" s="119" t="s">
        <v>384</v>
      </c>
      <c r="G130" s="119">
        <v>17</v>
      </c>
      <c r="H130" s="115">
        <v>55.8</v>
      </c>
      <c r="I130" s="120">
        <v>47.8</v>
      </c>
      <c r="J130" s="115">
        <v>0.9</v>
      </c>
      <c r="K130" s="115" t="s">
        <v>384</v>
      </c>
      <c r="L130" s="115" t="s">
        <v>384</v>
      </c>
      <c r="N130" t="s">
        <v>242</v>
      </c>
      <c r="O130" s="75">
        <f t="shared" si="21"/>
        <v>9.8065650644783098</v>
      </c>
      <c r="P130" s="85">
        <f t="shared" si="22"/>
        <v>4.9032825322391549</v>
      </c>
      <c r="S130" s="71"/>
      <c r="V130" s="71"/>
    </row>
    <row r="131" spans="2:22">
      <c r="B131" s="116" t="s">
        <v>165</v>
      </c>
      <c r="C131" s="119">
        <v>132</v>
      </c>
      <c r="D131" s="119">
        <v>111</v>
      </c>
      <c r="E131" s="119">
        <v>4</v>
      </c>
      <c r="F131" s="119" t="s">
        <v>384</v>
      </c>
      <c r="G131" s="119" t="s">
        <v>384</v>
      </c>
      <c r="H131" s="115">
        <v>24.1</v>
      </c>
      <c r="I131" s="120">
        <v>20.2</v>
      </c>
      <c r="J131" s="115">
        <v>0.7</v>
      </c>
      <c r="K131" s="115" t="s">
        <v>384</v>
      </c>
      <c r="L131" s="115" t="s">
        <v>384</v>
      </c>
      <c r="N131" t="s">
        <v>264</v>
      </c>
      <c r="O131" s="75">
        <f t="shared" si="21"/>
        <v>4.1441969519343491</v>
      </c>
      <c r="P131" s="85">
        <f t="shared" si="22"/>
        <v>2.0720984759671746</v>
      </c>
      <c r="R131">
        <v>9.6</v>
      </c>
      <c r="S131" s="75">
        <f>R131*$O$113*1000/3412</f>
        <v>1.9695193434935521</v>
      </c>
      <c r="T131" s="85">
        <f>S131/$P$113</f>
        <v>0.98475967174677603</v>
      </c>
      <c r="U131">
        <v>2.1</v>
      </c>
      <c r="V131" s="75">
        <f>U131*$O$113*1000/3412</f>
        <v>0.43083235638921452</v>
      </c>
    </row>
    <row r="132" spans="2:22">
      <c r="B132" s="116" t="s">
        <v>166</v>
      </c>
      <c r="C132" s="119">
        <v>87</v>
      </c>
      <c r="D132" s="119">
        <v>72</v>
      </c>
      <c r="E132" s="119">
        <v>2</v>
      </c>
      <c r="F132" s="119" t="s">
        <v>384</v>
      </c>
      <c r="G132" s="119">
        <v>12</v>
      </c>
      <c r="H132" s="115">
        <v>69.7</v>
      </c>
      <c r="I132" s="120">
        <v>57.9</v>
      </c>
      <c r="J132" s="115">
        <v>1.7</v>
      </c>
      <c r="K132" s="115" t="s">
        <v>384</v>
      </c>
      <c r="L132" s="120">
        <v>9.4</v>
      </c>
      <c r="N132" t="s">
        <v>272</v>
      </c>
      <c r="O132" s="143">
        <f t="shared" si="21"/>
        <v>11.878663540445485</v>
      </c>
      <c r="P132" s="85">
        <f t="shared" si="22"/>
        <v>5.9393317702227426</v>
      </c>
      <c r="R132">
        <v>21.9</v>
      </c>
      <c r="S132" s="143">
        <f>R132*$O$113*1000/3412</f>
        <v>4.4929660023446649</v>
      </c>
      <c r="T132" s="85">
        <f>S132/$P$113</f>
        <v>2.2464830011723325</v>
      </c>
      <c r="U132">
        <v>5.0999999999999996</v>
      </c>
      <c r="V132" s="143">
        <f>U132*$O$113*1000/3412</f>
        <v>1.0463071512309494</v>
      </c>
    </row>
    <row r="133" spans="2:22">
      <c r="B133" s="116" t="s">
        <v>167</v>
      </c>
      <c r="C133" s="119">
        <v>28</v>
      </c>
      <c r="D133" s="119">
        <v>26</v>
      </c>
      <c r="E133" s="119" t="s">
        <v>384</v>
      </c>
      <c r="F133" s="119" t="s">
        <v>384</v>
      </c>
      <c r="G133" s="119" t="s">
        <v>384</v>
      </c>
      <c r="H133" s="115">
        <v>23.7</v>
      </c>
      <c r="I133" s="120">
        <v>22</v>
      </c>
      <c r="J133" s="115" t="s">
        <v>384</v>
      </c>
      <c r="K133" s="115" t="s">
        <v>384</v>
      </c>
      <c r="L133" s="115" t="s">
        <v>384</v>
      </c>
      <c r="N133" t="s">
        <v>243</v>
      </c>
      <c r="O133" s="85">
        <f t="shared" si="21"/>
        <v>4.5134818288393896</v>
      </c>
      <c r="P133" s="85">
        <f t="shared" si="22"/>
        <v>2.2567409144196948</v>
      </c>
    </row>
    <row r="135" spans="2:22">
      <c r="R135">
        <v>8</v>
      </c>
      <c r="S135" s="143">
        <f>R135*$O$113*1000/3412</f>
        <v>1.6412661195779601</v>
      </c>
    </row>
  </sheetData>
  <mergeCells count="83">
    <mergeCell ref="C90:M90"/>
    <mergeCell ref="C113:G113"/>
    <mergeCell ref="H113:L113"/>
    <mergeCell ref="C53:E53"/>
    <mergeCell ref="F53:I53"/>
    <mergeCell ref="J53:K53"/>
    <mergeCell ref="C79:E79"/>
    <mergeCell ref="F79:I79"/>
    <mergeCell ref="J79:K79"/>
    <mergeCell ref="M79:N79"/>
    <mergeCell ref="M68:N68"/>
    <mergeCell ref="C77:E77"/>
    <mergeCell ref="F77:I77"/>
    <mergeCell ref="F76:I76"/>
    <mergeCell ref="C74:E74"/>
    <mergeCell ref="F74:I74"/>
    <mergeCell ref="C75:E75"/>
    <mergeCell ref="F75:I75"/>
    <mergeCell ref="C76:E76"/>
    <mergeCell ref="J77:K77"/>
    <mergeCell ref="M66:N66"/>
    <mergeCell ref="M77:N77"/>
    <mergeCell ref="M75:N75"/>
    <mergeCell ref="J76:K76"/>
    <mergeCell ref="M76:N76"/>
    <mergeCell ref="J75:K75"/>
    <mergeCell ref="M72:N72"/>
    <mergeCell ref="C66:E66"/>
    <mergeCell ref="F66:I66"/>
    <mergeCell ref="C68:E68"/>
    <mergeCell ref="F68:I68"/>
    <mergeCell ref="J68:K68"/>
    <mergeCell ref="Q72:R72"/>
    <mergeCell ref="J74:K74"/>
    <mergeCell ref="M74:N74"/>
    <mergeCell ref="C72:E72"/>
    <mergeCell ref="F72:I72"/>
    <mergeCell ref="C14:E14"/>
    <mergeCell ref="F14:I14"/>
    <mergeCell ref="J14:K14"/>
    <mergeCell ref="M14:N14"/>
    <mergeCell ref="Q66:R66"/>
    <mergeCell ref="M53:N53"/>
    <mergeCell ref="J20:K20"/>
    <mergeCell ref="M20:N20"/>
    <mergeCell ref="Q20:R20"/>
    <mergeCell ref="Q16:R16"/>
    <mergeCell ref="C16:E16"/>
    <mergeCell ref="F16:I16"/>
    <mergeCell ref="J16:K16"/>
    <mergeCell ref="M16:N16"/>
    <mergeCell ref="Q6:R6"/>
    <mergeCell ref="C86:E86"/>
    <mergeCell ref="F86:I86"/>
    <mergeCell ref="M86:N86"/>
    <mergeCell ref="Q5:R5"/>
    <mergeCell ref="C20:E20"/>
    <mergeCell ref="F20:I20"/>
    <mergeCell ref="Q14:R14"/>
    <mergeCell ref="C6:E6"/>
    <mergeCell ref="F6:I6"/>
    <mergeCell ref="C5:E5"/>
    <mergeCell ref="C85:E85"/>
    <mergeCell ref="F85:I85"/>
    <mergeCell ref="M85:N85"/>
    <mergeCell ref="C83:E83"/>
    <mergeCell ref="F83:I83"/>
    <mergeCell ref="M83:N83"/>
    <mergeCell ref="F5:I5"/>
    <mergeCell ref="J5:K5"/>
    <mergeCell ref="M5:N5"/>
    <mergeCell ref="C87:E87"/>
    <mergeCell ref="F87:I87"/>
    <mergeCell ref="M87:N87"/>
    <mergeCell ref="C80:E80"/>
    <mergeCell ref="F80:I80"/>
    <mergeCell ref="J80:K80"/>
    <mergeCell ref="M80:N80"/>
    <mergeCell ref="C84:E84"/>
    <mergeCell ref="F84:I84"/>
    <mergeCell ref="M84:N84"/>
    <mergeCell ref="J6:K6"/>
    <mergeCell ref="M6:N6"/>
  </mergeCells>
  <phoneticPr fontId="0" type="noConversion"/>
  <pageMargins left="0.75" right="0.75" top="1" bottom="1" header="0.5" footer="0.5"/>
  <pageSetup scale="45" orientation="portrait" r:id="rId1"/>
  <headerFooter alignWithMargins="0"/>
  <ignoredErrors>
    <ignoredError sqref="O93 O94:O110" formulaRange="1"/>
  </ignoredErrors>
  <drawing r:id="rId2"/>
  <legacyDrawing r:id="rId3"/>
</worksheet>
</file>

<file path=xl/worksheets/sheet18.xml><?xml version="1.0" encoding="utf-8"?>
<worksheet xmlns="http://schemas.openxmlformats.org/spreadsheetml/2006/main" xmlns:r="http://schemas.openxmlformats.org/officeDocument/2006/relationships">
  <sheetPr codeName="Sheet5"/>
  <dimension ref="A1:I85"/>
  <sheetViews>
    <sheetView workbookViewId="0">
      <selection activeCell="C33" sqref="C33"/>
    </sheetView>
  </sheetViews>
  <sheetFormatPr defaultRowHeight="12.75"/>
  <cols>
    <col min="1" max="1" width="18.140625" customWidth="1"/>
    <col min="2" max="2" width="36" customWidth="1"/>
    <col min="3" max="3" width="47.140625" customWidth="1"/>
    <col min="4" max="4" width="33.140625" customWidth="1"/>
    <col min="5" max="5" width="24.7109375" customWidth="1"/>
    <col min="6" max="6" width="11.28515625" customWidth="1"/>
    <col min="8" max="8" width="11" customWidth="1"/>
    <col min="9" max="9" width="14.28515625" customWidth="1"/>
  </cols>
  <sheetData>
    <row r="1" spans="1:9" ht="13.5" thickBot="1"/>
    <row r="2" spans="1:9">
      <c r="A2" s="214" t="s">
        <v>254</v>
      </c>
      <c r="B2" s="215" t="s">
        <v>680</v>
      </c>
      <c r="C2" s="215" t="s">
        <v>681</v>
      </c>
      <c r="D2" s="215" t="s">
        <v>682</v>
      </c>
      <c r="E2" s="215" t="s">
        <v>495</v>
      </c>
      <c r="F2" s="215" t="s">
        <v>663</v>
      </c>
      <c r="G2" s="215" t="s">
        <v>683</v>
      </c>
      <c r="H2" s="215" t="s">
        <v>684</v>
      </c>
      <c r="I2" s="216" t="s">
        <v>685</v>
      </c>
    </row>
    <row r="3" spans="1:9">
      <c r="A3" t="str">
        <f>INDEX(MLIST!$A$12:$B$96,MATCH(C3,MLIST!$B$12:$B$96,0),1)</f>
        <v>Compressed Air</v>
      </c>
      <c r="B3" t="str">
        <f>INDEX(MLIST!$U$12:$U$96,MATCH(C3,MLIST!$B$12:$B$96,0),1)</f>
        <v>Compressed Air System Controls</v>
      </c>
      <c r="C3" t="s">
        <v>453</v>
      </c>
      <c r="D3" t="str">
        <f>INDEX(MLIST!$H$12:$H$96,MATCH(C3,MLIST!$B$12:$B$96,0),1)</f>
        <v>Compressed Air Controls</v>
      </c>
      <c r="E3" t="str">
        <f>INDEX(MLIST!$L$12:$L$96,MATCH($C3,MLIST!$B$12:$B$96,0),1)</f>
        <v>CBSA 2014</v>
      </c>
      <c r="F3" t="str">
        <f>INDEX(MLIST!$I$12:$I$96,MATCH($C3,MLIST!$B$12:$B$96,0),1)</f>
        <v>Some</v>
      </c>
      <c r="H3" t="str">
        <f>INDEX(MLIST!$C$12:$C$96,MATCH($C3,MLIST!$B$12:$B$96,0),1)</f>
        <v>Retro</v>
      </c>
      <c r="I3" s="217" t="str">
        <f>INDEX(MLIST!$Q$12:$Q$96,MATCH($C3,MLIST!$B$12:$B$96,0),1)</f>
        <v>x</v>
      </c>
    </row>
    <row r="4" spans="1:9">
      <c r="A4" t="str">
        <f>INDEX(MLIST!$A$12:$B$96,MATCH(C4,MLIST!$B$12:$B$96,0),1)</f>
        <v>Compressed Air</v>
      </c>
      <c r="B4" t="str">
        <f>INDEX(MLIST!$U$12:$U$96,MATCH(C4,MLIST!$B$12:$B$96,0),1)</f>
        <v>Compressed Air System Controls</v>
      </c>
      <c r="C4" s="218" t="s">
        <v>453</v>
      </c>
      <c r="D4" t="str">
        <f>INDEX(MLIST!$H$12:$H$96,MATCH(C4,MLIST!$B$12:$B$96,0),1)</f>
        <v>Compressed Air Controls</v>
      </c>
      <c r="E4" t="str">
        <f>INDEX(MLIST!$L$12:$L$96,MATCH($C4,MLIST!$B$12:$B$96,0),1)</f>
        <v>CBSA 2014</v>
      </c>
      <c r="F4" t="str">
        <f>INDEX(MLIST!$I$12:$I$96,MATCH($C4,MLIST!$B$12:$B$96,0),1)</f>
        <v>Some</v>
      </c>
      <c r="H4" t="str">
        <f>INDEX(MLIST!$C$12:$C$96,MATCH($C4,MLIST!$B$12:$B$96,0),1)</f>
        <v>Retro</v>
      </c>
      <c r="I4" s="217" t="str">
        <f>INDEX(MLIST!$Q$12:$Q$96,MATCH($C4,MLIST!$B$12:$B$96,0),1)</f>
        <v>x</v>
      </c>
    </row>
    <row r="5" spans="1:9">
      <c r="A5" t="str">
        <f>INDEX(MLIST!$A$12:$B$96,MATCH(C5,MLIST!$B$12:$B$96,0),1)</f>
        <v>Electronics</v>
      </c>
      <c r="B5" t="str">
        <f>INDEX(MLIST!$U$12:$U$96,MATCH(C5,MLIST!$B$12:$B$96,0),1)</f>
        <v>Computer Technologies</v>
      </c>
      <c r="C5" s="413" t="s">
        <v>56</v>
      </c>
      <c r="D5" t="str">
        <f>INDEX(MLIST!$H$12:$H$96,MATCH(C5,MLIST!$B$12:$B$96,0),1)</f>
        <v>Network PC Power Management</v>
      </c>
      <c r="E5" t="str">
        <f>INDEX(MLIST!$L$12:$L$96,MATCH($C5,MLIST!$B$12:$B$96,0),1)</f>
        <v>CBSA 2014</v>
      </c>
      <c r="F5" t="str">
        <f>INDEX(MLIST!$I$12:$I$96,MATCH($C5,MLIST!$B$12:$B$96,0),1)</f>
        <v>All</v>
      </c>
      <c r="H5" t="str">
        <f>INDEX(MLIST!$C$12:$C$96,MATCH($C5,MLIST!$B$12:$B$96,0),1)</f>
        <v>Retro</v>
      </c>
      <c r="I5" s="217">
        <f>INDEX(MLIST!$Q$12:$Q$96,MATCH($C5,MLIST!$B$12:$B$96,0),1)</f>
        <v>0</v>
      </c>
    </row>
    <row r="6" spans="1:9">
      <c r="A6" t="e">
        <f>INDEX(MLIST!$A$12:$B$96,MATCH(C6,MLIST!$B$12:$B$96,0),1)</f>
        <v>#N/A</v>
      </c>
      <c r="B6" t="e">
        <f>INDEX(MLIST!$U$12:$U$96,MATCH(C6,MLIST!$B$12:$B$96,0),1)</f>
        <v>#N/A</v>
      </c>
      <c r="C6" s="415" t="s">
        <v>835</v>
      </c>
      <c r="D6" t="e">
        <f>INDEX(MLIST!$H$12:$H$96,MATCH(C6,MLIST!$B$12:$B$96,0),1)</f>
        <v>#N/A</v>
      </c>
      <c r="E6" t="e">
        <f>INDEX(MLIST!$L$12:$L$96,MATCH($C6,MLIST!$B$12:$B$96,0),1)</f>
        <v>#N/A</v>
      </c>
      <c r="F6" t="e">
        <f>INDEX(MLIST!$I$12:$I$96,MATCH($C6,MLIST!$B$12:$B$96,0),1)</f>
        <v>#N/A</v>
      </c>
      <c r="H6" t="e">
        <f>INDEX(MLIST!$C$12:$C$96,MATCH($C6,MLIST!$B$12:$B$96,0),1)</f>
        <v>#N/A</v>
      </c>
      <c r="I6" s="217" t="e">
        <f>INDEX(MLIST!$Q$12:$Q$96,MATCH($C6,MLIST!$B$12:$B$96,0),1)</f>
        <v>#N/A</v>
      </c>
    </row>
    <row r="7" spans="1:9">
      <c r="A7" t="str">
        <f>INDEX(MLIST!$A$12:$B$96,MATCH(C7,MLIST!$B$12:$B$96,0),1)</f>
        <v>Electronics</v>
      </c>
      <c r="B7" t="str">
        <f>INDEX(MLIST!$U$12:$U$96,MATCH(C7,MLIST!$B$12:$B$96,0),1)</f>
        <v xml:space="preserve">Plug Load </v>
      </c>
      <c r="C7" t="s">
        <v>462</v>
      </c>
      <c r="D7" t="str">
        <f>INDEX(MLIST!$H$12:$H$96,MATCH(C7,MLIST!$B$12:$B$96,0),1)</f>
        <v>Smart Plug Power Strips</v>
      </c>
      <c r="E7" t="str">
        <f>INDEX(MLIST!$L$12:$L$96,MATCH($C7,MLIST!$B$12:$B$96,0),1)</f>
        <v>CBSA 2014</v>
      </c>
      <c r="F7" t="str">
        <f>INDEX(MLIST!$I$12:$I$96,MATCH($C7,MLIST!$B$12:$B$96,0),1)</f>
        <v>All</v>
      </c>
      <c r="H7" t="str">
        <f>INDEX(MLIST!$C$12:$C$96,MATCH($C7,MLIST!$B$12:$B$96,0),1)</f>
        <v>Retro</v>
      </c>
      <c r="I7" s="217" t="str">
        <f>INDEX(MLIST!$Q$12:$Q$96,MATCH($C7,MLIST!$B$12:$B$96,0),1)</f>
        <v>x</v>
      </c>
    </row>
    <row r="8" spans="1:9">
      <c r="A8" t="str">
        <f>INDEX(MLIST!$A$12:$B$96,MATCH(C8,MLIST!$B$12:$B$96,0),1)</f>
        <v>Electronics</v>
      </c>
      <c r="B8" t="str">
        <f>INDEX(MLIST!$U$12:$U$96,MATCH(C8,MLIST!$B$12:$B$96,0),1)</f>
        <v>Computer Technologies</v>
      </c>
      <c r="C8" t="s">
        <v>484</v>
      </c>
      <c r="D8" t="str">
        <f>INDEX(MLIST!$H$12:$H$96,MATCH(C8,MLIST!$B$12:$B$96,0),1)</f>
        <v>Data Centers</v>
      </c>
      <c r="E8" t="str">
        <f>INDEX(MLIST!$L$12:$L$96,MATCH($C8,MLIST!$B$12:$B$96,0),1)</f>
        <v>CBSA 2014</v>
      </c>
      <c r="F8" t="str">
        <f>INDEX(MLIST!$I$12:$I$96,MATCH($C8,MLIST!$B$12:$B$96,0),1)</f>
        <v>All</v>
      </c>
      <c r="H8" t="str">
        <f>INDEX(MLIST!$C$12:$C$96,MATCH($C8,MLIST!$B$12:$B$96,0),1)</f>
        <v>NR</v>
      </c>
      <c r="I8" s="217" t="str">
        <f>INDEX(MLIST!$Q$12:$Q$96,MATCH($C8,MLIST!$B$12:$B$96,0),1)</f>
        <v>x</v>
      </c>
    </row>
    <row r="9" spans="1:9">
      <c r="A9" t="e">
        <f>INDEX(MLIST!$A$12:$B$96,MATCH(C9,MLIST!$B$12:$B$96,0),1)</f>
        <v>#N/A</v>
      </c>
      <c r="B9" t="e">
        <f>INDEX(MLIST!$U$12:$U$96,MATCH(C9,MLIST!$B$12:$B$96,0),1)</f>
        <v>#N/A</v>
      </c>
      <c r="C9" t="s">
        <v>662</v>
      </c>
      <c r="D9" t="e">
        <f>INDEX(MLIST!$H$12:$H$96,MATCH(C9,MLIST!$B$12:$B$96,0),1)</f>
        <v>#N/A</v>
      </c>
      <c r="E9" t="e">
        <f>INDEX(MLIST!$L$12:$L$96,MATCH($C9,MLIST!$B$12:$B$96,0),1)</f>
        <v>#N/A</v>
      </c>
      <c r="F9" t="e">
        <f>INDEX(MLIST!$I$12:$I$96,MATCH($C9,MLIST!$B$12:$B$96,0),1)</f>
        <v>#N/A</v>
      </c>
      <c r="H9" t="e">
        <f>INDEX(MLIST!$C$12:$C$96,MATCH($C9,MLIST!$B$12:$B$96,0),1)</f>
        <v>#N/A</v>
      </c>
      <c r="I9" s="217" t="e">
        <f>INDEX(MLIST!$Q$12:$Q$96,MATCH($C9,MLIST!$B$12:$B$96,0),1)</f>
        <v>#N/A</v>
      </c>
    </row>
    <row r="10" spans="1:9">
      <c r="A10" t="e">
        <f>INDEX(MLIST!$A$12:$B$96,MATCH(C10,MLIST!$B$12:$B$96,0),1)</f>
        <v>#N/A</v>
      </c>
      <c r="B10" t="e">
        <f>INDEX(MLIST!$U$12:$U$96,MATCH(C10,MLIST!$B$12:$B$96,0),1)</f>
        <v>#N/A</v>
      </c>
      <c r="C10" t="s">
        <v>834</v>
      </c>
      <c r="D10" t="e">
        <f>INDEX(MLIST!$H$12:$H$96,MATCH(C10,MLIST!$B$12:$B$96,0),1)</f>
        <v>#N/A</v>
      </c>
      <c r="E10" t="e">
        <f>INDEX(MLIST!$L$12:$L$96,MATCH($C10,MLIST!$B$12:$B$96,0),1)</f>
        <v>#N/A</v>
      </c>
      <c r="F10" t="e">
        <f>INDEX(MLIST!$I$12:$I$96,MATCH($C10,MLIST!$B$12:$B$96,0),1)</f>
        <v>#N/A</v>
      </c>
      <c r="H10" t="e">
        <f>INDEX(MLIST!$C$12:$C$96,MATCH($C10,MLIST!$B$12:$B$96,0),1)</f>
        <v>#N/A</v>
      </c>
      <c r="I10" s="217" t="e">
        <f>INDEX(MLIST!$Q$12:$Q$96,MATCH($C10,MLIST!$B$12:$B$96,0),1)</f>
        <v>#N/A</v>
      </c>
    </row>
    <row r="11" spans="1:9">
      <c r="A11" t="str">
        <f>INDEX(MLIST!$A$12:$B$96,MATCH(C11,MLIST!$B$12:$B$96,0),1)</f>
        <v>Food Preparation</v>
      </c>
      <c r="B11" t="str">
        <f>INDEX(MLIST!$U$12:$U$96,MATCH(C11,MLIST!$B$12:$B$96,0),1)</f>
        <v>Water Using Devices</v>
      </c>
      <c r="C11" t="s">
        <v>703</v>
      </c>
      <c r="D11" t="str">
        <f>INDEX(MLIST!$H$12:$H$96,MATCH(C11,MLIST!$B$12:$B$96,0),1)</f>
        <v>Pre-Rinse Spray Valve</v>
      </c>
      <c r="E11" t="str">
        <f>INDEX(MLIST!$L$12:$L$96,MATCH($C11,MLIST!$B$12:$B$96,0),1)</f>
        <v>CBSA 2014</v>
      </c>
      <c r="F11" t="str">
        <f>INDEX(MLIST!$I$12:$I$96,MATCH($C11,MLIST!$B$12:$B$96,0),1)</f>
        <v>Some</v>
      </c>
      <c r="H11" t="str">
        <f>INDEX(MLIST!$C$12:$C$96,MATCH($C11,MLIST!$B$12:$B$96,0),1)</f>
        <v>Retro</v>
      </c>
      <c r="I11" s="217">
        <f>INDEX(MLIST!$Q$12:$Q$96,MATCH($C11,MLIST!$B$12:$B$96,0),1)</f>
        <v>0</v>
      </c>
    </row>
    <row r="12" spans="1:9">
      <c r="A12" t="str">
        <f>INDEX(MLIST!$A$12:$B$96,MATCH(C12,MLIST!$B$12:$B$96,0),1)</f>
        <v>Food Preparation</v>
      </c>
      <c r="B12" t="str">
        <f>INDEX(MLIST!$U$12:$U$96,MATCH(C12,MLIST!$B$12:$B$96,0),1)</f>
        <v>Cooking</v>
      </c>
      <c r="C12" t="s">
        <v>99</v>
      </c>
      <c r="D12" t="str">
        <f>INDEX(MLIST!$H$12:$H$96,MATCH(C12,MLIST!$B$12:$B$96,0),1)</f>
        <v>Cooking Equipment</v>
      </c>
      <c r="E12" t="str">
        <f>INDEX(MLIST!$L$12:$L$96,MATCH($C12,MLIST!$B$12:$B$96,0),1)</f>
        <v>CBSA 2014</v>
      </c>
      <c r="F12" t="str">
        <f>INDEX(MLIST!$I$12:$I$96,MATCH($C12,MLIST!$B$12:$B$96,0),1)</f>
        <v>All</v>
      </c>
      <c r="H12" t="str">
        <f>INDEX(MLIST!$C$12:$C$96,MATCH($C12,MLIST!$B$12:$B$96,0),1)</f>
        <v>NR</v>
      </c>
      <c r="I12" s="217">
        <f>INDEX(MLIST!$Q$12:$Q$96,MATCH($C12,MLIST!$B$12:$B$96,0),1)</f>
        <v>0</v>
      </c>
    </row>
    <row r="13" spans="1:9">
      <c r="A13" t="e">
        <f>INDEX(MLIST!$A$12:$B$96,MATCH(C13,MLIST!$B$12:$B$96,0),1)</f>
        <v>#N/A</v>
      </c>
      <c r="B13" t="e">
        <f>INDEX(MLIST!$U$12:$U$96,MATCH(C13,MLIST!$B$12:$B$96,0),1)</f>
        <v>#N/A</v>
      </c>
      <c r="C13" s="415" t="s">
        <v>277</v>
      </c>
      <c r="D13" t="e">
        <f>INDEX(MLIST!$H$12:$H$96,MATCH(C13,MLIST!$B$12:$B$96,0),1)</f>
        <v>#N/A</v>
      </c>
      <c r="E13" t="e">
        <f>INDEX(MLIST!$L$12:$L$96,MATCH($C13,MLIST!$B$12:$B$96,0),1)</f>
        <v>#N/A</v>
      </c>
      <c r="F13" t="e">
        <f>INDEX(MLIST!$I$12:$I$96,MATCH($C13,MLIST!$B$12:$B$96,0),1)</f>
        <v>#N/A</v>
      </c>
      <c r="H13" t="e">
        <f>INDEX(MLIST!$C$12:$C$96,MATCH($C13,MLIST!$B$12:$B$96,0),1)</f>
        <v>#N/A</v>
      </c>
      <c r="I13" s="217" t="e">
        <f>INDEX(MLIST!$Q$12:$Q$96,MATCH($C13,MLIST!$B$12:$B$96,0),1)</f>
        <v>#N/A</v>
      </c>
    </row>
    <row r="14" spans="1:9">
      <c r="A14" t="e">
        <f>INDEX(MLIST!$A$12:$B$96,MATCH(C14,MLIST!$B$12:$B$96,0),1)</f>
        <v>#N/A</v>
      </c>
      <c r="B14" t="e">
        <f>INDEX(MLIST!$U$12:$U$96,MATCH(C14,MLIST!$B$12:$B$96,0),1)</f>
        <v>#N/A</v>
      </c>
      <c r="C14" s="415" t="s">
        <v>277</v>
      </c>
      <c r="D14" t="e">
        <f>INDEX(MLIST!$H$12:$H$96,MATCH(C14,MLIST!$B$12:$B$96,0),1)</f>
        <v>#N/A</v>
      </c>
      <c r="E14" t="e">
        <f>INDEX(MLIST!$L$12:$L$96,MATCH($C14,MLIST!$B$12:$B$96,0),1)</f>
        <v>#N/A</v>
      </c>
      <c r="F14" t="e">
        <f>INDEX(MLIST!$I$12:$I$96,MATCH($C14,MLIST!$B$12:$B$96,0),1)</f>
        <v>#N/A</v>
      </c>
      <c r="H14" t="e">
        <f>INDEX(MLIST!$C$12:$C$96,MATCH($C14,MLIST!$B$12:$B$96,0),1)</f>
        <v>#N/A</v>
      </c>
      <c r="I14" s="217" t="e">
        <f>INDEX(MLIST!$Q$12:$Q$96,MATCH($C14,MLIST!$B$12:$B$96,0),1)</f>
        <v>#N/A</v>
      </c>
    </row>
    <row r="15" spans="1:9">
      <c r="A15" t="str">
        <f>INDEX(MLIST!$A$12:$B$96,MATCH(C15,MLIST!$B$12:$B$96,0),1)</f>
        <v>HVAC</v>
      </c>
      <c r="B15" t="str">
        <f>INDEX(MLIST!$U$12:$U$96,MATCH(C15,MLIST!$B$12:$B$96,0),1)</f>
        <v>Envelope</v>
      </c>
      <c r="C15" s="415" t="s">
        <v>288</v>
      </c>
      <c r="D15" t="str">
        <f>INDEX(MLIST!$H$12:$H$96,MATCH(C15,MLIST!$B$12:$B$96,0),1)</f>
        <v>Windows</v>
      </c>
      <c r="E15" t="str">
        <f>INDEX(MLIST!$L$12:$L$96,MATCH($C15,MLIST!$B$12:$B$96,0),1)</f>
        <v>CBSA 2014</v>
      </c>
      <c r="F15" t="str">
        <f>INDEX(MLIST!$I$12:$I$96,MATCH($C15,MLIST!$B$12:$B$96,0),1)</f>
        <v>All</v>
      </c>
      <c r="H15" t="str">
        <f>INDEX(MLIST!$C$12:$C$96,MATCH($C15,MLIST!$B$12:$B$96,0),1)</f>
        <v>New</v>
      </c>
      <c r="I15" s="217">
        <f>INDEX(MLIST!$Q$12:$Q$96,MATCH($C15,MLIST!$B$12:$B$96,0),1)</f>
        <v>0</v>
      </c>
    </row>
    <row r="16" spans="1:9">
      <c r="A16" t="str">
        <f>INDEX(MLIST!$A$12:$B$96,MATCH(C16,MLIST!$B$12:$B$96,0),1)</f>
        <v>HVAC</v>
      </c>
      <c r="B16" t="str">
        <f>INDEX(MLIST!$U$12:$U$96,MATCH(C16,MLIST!$B$12:$B$96,0),1)</f>
        <v>Envelope</v>
      </c>
      <c r="C16" s="415" t="s">
        <v>288</v>
      </c>
      <c r="D16" t="str">
        <f>INDEX(MLIST!$H$12:$H$96,MATCH(C16,MLIST!$B$12:$B$96,0),1)</f>
        <v>Windows</v>
      </c>
      <c r="E16" t="str">
        <f>INDEX(MLIST!$L$12:$L$96,MATCH($C16,MLIST!$B$12:$B$96,0),1)</f>
        <v>CBSA 2014</v>
      </c>
      <c r="F16" t="str">
        <f>INDEX(MLIST!$I$12:$I$96,MATCH($C16,MLIST!$B$12:$B$96,0),1)</f>
        <v>All</v>
      </c>
      <c r="H16" t="str">
        <f>INDEX(MLIST!$C$12:$C$96,MATCH($C16,MLIST!$B$12:$B$96,0),1)</f>
        <v>New</v>
      </c>
      <c r="I16" s="217">
        <f>INDEX(MLIST!$Q$12:$Q$96,MATCH($C16,MLIST!$B$12:$B$96,0),1)</f>
        <v>0</v>
      </c>
    </row>
    <row r="17" spans="1:9">
      <c r="A17" t="str">
        <f>INDEX(MLIST!$A$12:$B$96,MATCH(C17,MLIST!$B$12:$B$96,0),1)</f>
        <v>HVAC</v>
      </c>
      <c r="B17" t="str">
        <f>INDEX(MLIST!$U$12:$U$96,MATCH(C17,MLIST!$B$12:$B$96,0),1)</f>
        <v>Envelope</v>
      </c>
      <c r="C17" s="415" t="s">
        <v>288</v>
      </c>
      <c r="D17" t="str">
        <f>INDEX(MLIST!$H$12:$H$96,MATCH(C17,MLIST!$B$12:$B$96,0),1)</f>
        <v>Windows</v>
      </c>
      <c r="E17" t="str">
        <f>INDEX(MLIST!$L$12:$L$96,MATCH($C17,MLIST!$B$12:$B$96,0),1)</f>
        <v>CBSA 2014</v>
      </c>
      <c r="F17" t="str">
        <f>INDEX(MLIST!$I$12:$I$96,MATCH($C17,MLIST!$B$12:$B$96,0),1)</f>
        <v>All</v>
      </c>
      <c r="H17" t="str">
        <f>INDEX(MLIST!$C$12:$C$96,MATCH($C17,MLIST!$B$12:$B$96,0),1)</f>
        <v>New</v>
      </c>
      <c r="I17" s="217">
        <f>INDEX(MLIST!$Q$12:$Q$96,MATCH($C17,MLIST!$B$12:$B$96,0),1)</f>
        <v>0</v>
      </c>
    </row>
    <row r="18" spans="1:9">
      <c r="A18" t="str">
        <f>INDEX(MLIST!$A$12:$B$96,MATCH(C18,MLIST!$B$12:$B$96,0),1)</f>
        <v>HVAC</v>
      </c>
      <c r="B18" t="str">
        <f>INDEX(MLIST!$U$12:$U$96,MATCH(C18,MLIST!$B$12:$B$96,0),1)</f>
        <v>HVAC System Improvements</v>
      </c>
      <c r="C18" t="s">
        <v>712</v>
      </c>
      <c r="D18" t="str">
        <f>INDEX(MLIST!$H$12:$H$96,MATCH(C18,MLIST!$B$12:$B$96,0),1)</f>
        <v>Advanced Rooftop Controller</v>
      </c>
      <c r="E18" t="str">
        <f>INDEX(MLIST!$L$12:$L$96,MATCH($C18,MLIST!$B$12:$B$96,0),1)</f>
        <v>CBSA 2014</v>
      </c>
      <c r="F18" t="str">
        <f>INDEX(MLIST!$I$12:$I$96,MATCH($C18,MLIST!$B$12:$B$96,0),1)</f>
        <v>Most</v>
      </c>
      <c r="H18" t="str">
        <f>INDEX(MLIST!$C$12:$C$96,MATCH($C18,MLIST!$B$12:$B$96,0),1)</f>
        <v>New</v>
      </c>
      <c r="I18" s="217">
        <f>INDEX(MLIST!$Q$12:$Q$96,MATCH($C18,MLIST!$B$12:$B$96,0),1)</f>
        <v>0</v>
      </c>
    </row>
    <row r="19" spans="1:9">
      <c r="A19" t="str">
        <f>INDEX(MLIST!$A$12:$B$96,MATCH(C19,MLIST!$B$12:$B$96,0),1)</f>
        <v>HVAC</v>
      </c>
      <c r="B19" t="str">
        <f>INDEX(MLIST!$U$12:$U$96,MATCH(C19,MLIST!$B$12:$B$96,0),1)</f>
        <v>HVAC System Improvements</v>
      </c>
      <c r="C19" t="s">
        <v>712</v>
      </c>
      <c r="D19" t="str">
        <f>INDEX(MLIST!$H$12:$H$96,MATCH(C19,MLIST!$B$12:$B$96,0),1)</f>
        <v>Advanced Rooftop Controller</v>
      </c>
      <c r="E19" t="str">
        <f>INDEX(MLIST!$L$12:$L$96,MATCH($C19,MLIST!$B$12:$B$96,0),1)</f>
        <v>CBSA 2014</v>
      </c>
      <c r="F19" t="str">
        <f>INDEX(MLIST!$I$12:$I$96,MATCH($C19,MLIST!$B$12:$B$96,0),1)</f>
        <v>Most</v>
      </c>
      <c r="H19" t="str">
        <f>INDEX(MLIST!$C$12:$C$96,MATCH($C19,MLIST!$B$12:$B$96,0),1)</f>
        <v>New</v>
      </c>
      <c r="I19" s="217">
        <f>INDEX(MLIST!$Q$12:$Q$96,MATCH($C19,MLIST!$B$12:$B$96,0),1)</f>
        <v>0</v>
      </c>
    </row>
    <row r="20" spans="1:9">
      <c r="A20" t="str">
        <f>INDEX(MLIST!$A$12:$B$96,MATCH(C20,MLIST!$B$12:$B$96,0),1)</f>
        <v>HVAC</v>
      </c>
      <c r="B20" t="str">
        <f>INDEX(MLIST!$U$12:$U$96,MATCH(C20,MLIST!$B$12:$B$96,0),1)</f>
        <v>HVAC System Improvements</v>
      </c>
      <c r="C20" t="s">
        <v>712</v>
      </c>
      <c r="D20" t="str">
        <f>INDEX(MLIST!$H$12:$H$96,MATCH(C20,MLIST!$B$12:$B$96,0),1)</f>
        <v>Advanced Rooftop Controller</v>
      </c>
      <c r="E20" t="str">
        <f>INDEX(MLIST!$L$12:$L$96,MATCH($C20,MLIST!$B$12:$B$96,0),1)</f>
        <v>CBSA 2014</v>
      </c>
      <c r="F20" t="str">
        <f>INDEX(MLIST!$I$12:$I$96,MATCH($C20,MLIST!$B$12:$B$96,0),1)</f>
        <v>Most</v>
      </c>
      <c r="H20" t="str">
        <f>INDEX(MLIST!$C$12:$C$96,MATCH($C20,MLIST!$B$12:$B$96,0),1)</f>
        <v>New</v>
      </c>
      <c r="I20" s="217">
        <f>INDEX(MLIST!$Q$12:$Q$96,MATCH($C20,MLIST!$B$12:$B$96,0),1)</f>
        <v>0</v>
      </c>
    </row>
    <row r="21" spans="1:9">
      <c r="A21" t="str">
        <f>INDEX(MLIST!$A$12:$B$96,MATCH(C21,MLIST!$B$12:$B$96,0),1)</f>
        <v>HVAC</v>
      </c>
      <c r="B21" t="str">
        <f>INDEX(MLIST!$U$12:$U$96,MATCH(C21,MLIST!$B$12:$B$96,0),1)</f>
        <v>Envelope</v>
      </c>
      <c r="C21" t="s">
        <v>1</v>
      </c>
      <c r="D21" t="str">
        <f>INDEX(MLIST!$H$12:$H$96,MATCH(C21,MLIST!$B$12:$B$96,0),1)</f>
        <v>Variable Speed Chiller</v>
      </c>
      <c r="E21" t="str">
        <f>INDEX(MLIST!$L$12:$L$96,MATCH($C21,MLIST!$B$12:$B$96,0),1)</f>
        <v>CBSA 2014</v>
      </c>
      <c r="F21" t="str">
        <f>INDEX(MLIST!$I$12:$I$96,MATCH($C21,MLIST!$B$12:$B$96,0),1)</f>
        <v>Some</v>
      </c>
      <c r="H21" t="str">
        <f>INDEX(MLIST!$C$12:$C$96,MATCH($C21,MLIST!$B$12:$B$96,0),1)</f>
        <v>New</v>
      </c>
      <c r="I21" s="217">
        <f>INDEX(MLIST!$Q$12:$Q$96,MATCH($C21,MLIST!$B$12:$B$96,0),1)</f>
        <v>0</v>
      </c>
    </row>
    <row r="22" spans="1:9">
      <c r="A22" t="str">
        <f>INDEX(MLIST!$A$12:$B$96,MATCH(C22,MLIST!$B$12:$B$96,0),1)</f>
        <v>HVAC</v>
      </c>
      <c r="B22" t="str">
        <f>INDEX(MLIST!$U$12:$U$96,MATCH(C22,MLIST!$B$12:$B$96,0),1)</f>
        <v>Envelope</v>
      </c>
      <c r="C22" t="s">
        <v>1</v>
      </c>
      <c r="D22" t="str">
        <f>INDEX(MLIST!$H$12:$H$96,MATCH(C22,MLIST!$B$12:$B$96,0),1)</f>
        <v>Variable Speed Chiller</v>
      </c>
      <c r="E22" t="str">
        <f>INDEX(MLIST!$L$12:$L$96,MATCH($C22,MLIST!$B$12:$B$96,0),1)</f>
        <v>CBSA 2014</v>
      </c>
      <c r="F22" t="str">
        <f>INDEX(MLIST!$I$12:$I$96,MATCH($C22,MLIST!$B$12:$B$96,0),1)</f>
        <v>Some</v>
      </c>
      <c r="H22" t="str">
        <f>INDEX(MLIST!$C$12:$C$96,MATCH($C22,MLIST!$B$12:$B$96,0),1)</f>
        <v>New</v>
      </c>
      <c r="I22" s="217">
        <f>INDEX(MLIST!$Q$12:$Q$96,MATCH($C22,MLIST!$B$12:$B$96,0),1)</f>
        <v>0</v>
      </c>
    </row>
    <row r="23" spans="1:9">
      <c r="A23" t="str">
        <f>INDEX(MLIST!$A$12:$B$96,MATCH(C23,MLIST!$B$12:$B$96,0),1)</f>
        <v>HVAC</v>
      </c>
      <c r="B23" t="str">
        <f>INDEX(MLIST!$U$12:$U$96,MATCH(C23,MLIST!$B$12:$B$96,0),1)</f>
        <v>Whole Bldg/Meter Level System Improvements</v>
      </c>
      <c r="C23" t="s">
        <v>761</v>
      </c>
      <c r="D23" t="str">
        <f>INDEX(MLIST!$H$12:$H$96,MATCH(C23,MLIST!$B$12:$B$96,0),1)</f>
        <v>Commercial Energy Management For Complex systems</v>
      </c>
      <c r="E23" t="str">
        <f>INDEX(MLIST!$L$12:$L$96,MATCH($C23,MLIST!$B$12:$B$96,0),1)</f>
        <v>CBSA 2014</v>
      </c>
      <c r="F23" t="str">
        <f>INDEX(MLIST!$I$12:$I$96,MATCH($C23,MLIST!$B$12:$B$96,0),1)</f>
        <v>All</v>
      </c>
      <c r="H23" t="str">
        <f>INDEX(MLIST!$C$12:$C$96,MATCH($C23,MLIST!$B$12:$B$96,0),1)</f>
        <v>New</v>
      </c>
      <c r="I23" s="217">
        <f>INDEX(MLIST!$Q$12:$Q$96,MATCH($C23,MLIST!$B$12:$B$96,0),1)</f>
        <v>0</v>
      </c>
    </row>
    <row r="24" spans="1:9">
      <c r="A24" t="str">
        <f>INDEX(MLIST!$A$12:$B$96,MATCH(C24,MLIST!$B$12:$B$96,0),1)</f>
        <v>HVAC</v>
      </c>
      <c r="B24" t="str">
        <f>INDEX(MLIST!$U$12:$U$96,MATCH(C24,MLIST!$B$12:$B$96,0),1)</f>
        <v>Whole Bldg/Meter Level System Improvements</v>
      </c>
      <c r="C24" t="s">
        <v>761</v>
      </c>
      <c r="D24" t="str">
        <f>INDEX(MLIST!$H$12:$H$96,MATCH(C24,MLIST!$B$12:$B$96,0),1)</f>
        <v>Commercial Energy Management For Complex systems</v>
      </c>
      <c r="E24" t="str">
        <f>INDEX(MLIST!$L$12:$L$96,MATCH($C24,MLIST!$B$12:$B$96,0),1)</f>
        <v>CBSA 2014</v>
      </c>
      <c r="F24" t="str">
        <f>INDEX(MLIST!$I$12:$I$96,MATCH($C24,MLIST!$B$12:$B$96,0),1)</f>
        <v>All</v>
      </c>
      <c r="H24" t="str">
        <f>INDEX(MLIST!$C$12:$C$96,MATCH($C24,MLIST!$B$12:$B$96,0),1)</f>
        <v>New</v>
      </c>
      <c r="I24" s="217">
        <f>INDEX(MLIST!$Q$12:$Q$96,MATCH($C24,MLIST!$B$12:$B$96,0),1)</f>
        <v>0</v>
      </c>
    </row>
    <row r="25" spans="1:9">
      <c r="A25" t="str">
        <f>INDEX(MLIST!$A$12:$B$96,MATCH(C25,MLIST!$B$12:$B$96,0),1)</f>
        <v>HVAC</v>
      </c>
      <c r="B25" t="str">
        <f>INDEX(MLIST!$U$12:$U$96,MATCH(C25,MLIST!$B$12:$B$96,0),1)</f>
        <v>Whole Bldg/Meter Level System Improvements</v>
      </c>
      <c r="C25" t="s">
        <v>761</v>
      </c>
      <c r="D25" t="str">
        <f>INDEX(MLIST!$H$12:$H$96,MATCH(C25,MLIST!$B$12:$B$96,0),1)</f>
        <v>Commercial Energy Management For Complex systems</v>
      </c>
      <c r="E25" t="str">
        <f>INDEX(MLIST!$L$12:$L$96,MATCH($C25,MLIST!$B$12:$B$96,0),1)</f>
        <v>CBSA 2014</v>
      </c>
      <c r="F25" t="str">
        <f>INDEX(MLIST!$I$12:$I$96,MATCH($C25,MLIST!$B$12:$B$96,0),1)</f>
        <v>All</v>
      </c>
      <c r="H25" t="str">
        <f>INDEX(MLIST!$C$12:$C$96,MATCH($C25,MLIST!$B$12:$B$96,0),1)</f>
        <v>New</v>
      </c>
      <c r="I25" s="217">
        <f>INDEX(MLIST!$Q$12:$Q$96,MATCH($C25,MLIST!$B$12:$B$96,0),1)</f>
        <v>0</v>
      </c>
    </row>
    <row r="26" spans="1:9">
      <c r="A26" t="str">
        <f>INDEX(MLIST!$A$12:$B$96,MATCH(C26,MLIST!$B$12:$B$96,0),1)</f>
        <v>HVAC</v>
      </c>
      <c r="B26" t="str">
        <f>INDEX(MLIST!$U$12:$U$96,MATCH(C26,MLIST!$B$12:$B$96,0),1)</f>
        <v>HVAC System Improvements</v>
      </c>
      <c r="C26" s="415" t="s">
        <v>251</v>
      </c>
      <c r="D26" t="str">
        <f>INDEX(MLIST!$H$12:$H$96,MATCH(C26,MLIST!$B$12:$B$96,0),1)</f>
        <v>Evaporative Assist Cooling</v>
      </c>
      <c r="E26" t="str">
        <f>INDEX(MLIST!$L$12:$L$96,MATCH($C26,MLIST!$B$12:$B$96,0),1)</f>
        <v>CBSA 2014</v>
      </c>
      <c r="F26" t="str">
        <f>INDEX(MLIST!$I$12:$I$96,MATCH($C26,MLIST!$B$12:$B$96,0),1)</f>
        <v>Some</v>
      </c>
      <c r="H26" t="str">
        <f>INDEX(MLIST!$C$12:$C$96,MATCH($C26,MLIST!$B$12:$B$96,0),1)</f>
        <v>New</v>
      </c>
      <c r="I26" s="217">
        <f>INDEX(MLIST!$Q$12:$Q$96,MATCH($C26,MLIST!$B$12:$B$96,0),1)</f>
        <v>0</v>
      </c>
    </row>
    <row r="27" spans="1:9">
      <c r="A27" t="str">
        <f>INDEX(MLIST!$A$12:$B$96,MATCH(C27,MLIST!$B$12:$B$96,0),1)</f>
        <v>HVAC</v>
      </c>
      <c r="B27" t="str">
        <f>INDEX(MLIST!$U$12:$U$96,MATCH(C27,MLIST!$B$12:$B$96,0),1)</f>
        <v>HVAC System Improvements</v>
      </c>
      <c r="C27" s="415" t="s">
        <v>251</v>
      </c>
      <c r="D27" t="str">
        <f>INDEX(MLIST!$H$12:$H$96,MATCH(C27,MLIST!$B$12:$B$96,0),1)</f>
        <v>Evaporative Assist Cooling</v>
      </c>
      <c r="E27" t="str">
        <f>INDEX(MLIST!$L$12:$L$96,MATCH($C27,MLIST!$B$12:$B$96,0),1)</f>
        <v>CBSA 2014</v>
      </c>
      <c r="F27" t="str">
        <f>INDEX(MLIST!$I$12:$I$96,MATCH($C27,MLIST!$B$12:$B$96,0),1)</f>
        <v>Some</v>
      </c>
      <c r="H27" t="str">
        <f>INDEX(MLIST!$C$12:$C$96,MATCH($C27,MLIST!$B$12:$B$96,0),1)</f>
        <v>New</v>
      </c>
      <c r="I27" s="217">
        <f>INDEX(MLIST!$Q$12:$Q$96,MATCH($C27,MLIST!$B$12:$B$96,0),1)</f>
        <v>0</v>
      </c>
    </row>
    <row r="28" spans="1:9">
      <c r="A28" t="e">
        <f>INDEX(MLIST!$A$12:$B$96,MATCH(C28,MLIST!$B$12:$B$96,0),1)</f>
        <v>#N/A</v>
      </c>
      <c r="B28" t="e">
        <f>INDEX(MLIST!$U$12:$U$96,MATCH(C28,MLIST!$B$12:$B$96,0),1)</f>
        <v>#N/A</v>
      </c>
      <c r="C28" t="s">
        <v>131</v>
      </c>
      <c r="D28" t="e">
        <f>INDEX(MLIST!$H$12:$H$96,MATCH(C28,MLIST!$B$12:$B$96,0),1)</f>
        <v>#N/A</v>
      </c>
      <c r="E28" t="e">
        <f>INDEX(MLIST!$L$12:$L$96,MATCH($C28,MLIST!$B$12:$B$96,0),1)</f>
        <v>#N/A</v>
      </c>
      <c r="F28" t="e">
        <f>INDEX(MLIST!$I$12:$I$96,MATCH($C28,MLIST!$B$12:$B$96,0),1)</f>
        <v>#N/A</v>
      </c>
      <c r="H28" t="e">
        <f>INDEX(MLIST!$C$12:$C$96,MATCH($C28,MLIST!$B$12:$B$96,0),1)</f>
        <v>#N/A</v>
      </c>
      <c r="I28" s="217" t="e">
        <f>INDEX(MLIST!$Q$12:$Q$96,MATCH($C28,MLIST!$B$12:$B$96,0),1)</f>
        <v>#N/A</v>
      </c>
    </row>
    <row r="29" spans="1:9">
      <c r="A29" t="str">
        <f>INDEX(MLIST!$A$12:$B$96,MATCH(C29,MLIST!$B$12:$B$96,0),1)</f>
        <v>HVAC</v>
      </c>
      <c r="B29" t="str">
        <f>INDEX(MLIST!$U$12:$U$96,MATCH(C29,MLIST!$B$12:$B$96,0),1)</f>
        <v>HVAC System Controls</v>
      </c>
      <c r="C29" t="s">
        <v>252</v>
      </c>
      <c r="D29" t="str">
        <f>INDEX(MLIST!$H$12:$H$96,MATCH(C29,MLIST!$B$12:$B$96,0),1)</f>
        <v>Demand Control Ventilation</v>
      </c>
      <c r="E29" t="str">
        <f>INDEX(MLIST!$L$12:$L$96,MATCH($C29,MLIST!$B$12:$B$96,0),1)</f>
        <v>CBSA 2014</v>
      </c>
      <c r="F29" t="str">
        <f>INDEX(MLIST!$I$12:$I$96,MATCH($C29,MLIST!$B$12:$B$96,0),1)</f>
        <v>All</v>
      </c>
      <c r="H29" t="str">
        <f>INDEX(MLIST!$C$12:$C$96,MATCH($C29,MLIST!$B$12:$B$96,0),1)</f>
        <v>New</v>
      </c>
      <c r="I29" s="217">
        <f>INDEX(MLIST!$Q$12:$Q$96,MATCH($C29,MLIST!$B$12:$B$96,0),1)</f>
        <v>0</v>
      </c>
    </row>
    <row r="30" spans="1:9">
      <c r="A30" t="str">
        <f>INDEX(MLIST!$A$12:$B$96,MATCH(C30,MLIST!$B$12:$B$96,0),1)</f>
        <v>HVAC</v>
      </c>
      <c r="B30" t="str">
        <f>INDEX(MLIST!$U$12:$U$96,MATCH(C30,MLIST!$B$12:$B$96,0),1)</f>
        <v>HVAC System Controls</v>
      </c>
      <c r="C30" t="s">
        <v>252</v>
      </c>
      <c r="D30" t="str">
        <f>INDEX(MLIST!$H$12:$H$96,MATCH(C30,MLIST!$B$12:$B$96,0),1)</f>
        <v>Demand Control Ventilation</v>
      </c>
      <c r="E30" t="str">
        <f>INDEX(MLIST!$L$12:$L$96,MATCH($C30,MLIST!$B$12:$B$96,0),1)</f>
        <v>CBSA 2014</v>
      </c>
      <c r="F30" t="str">
        <f>INDEX(MLIST!$I$12:$I$96,MATCH($C30,MLIST!$B$12:$B$96,0),1)</f>
        <v>All</v>
      </c>
      <c r="H30" t="str">
        <f>INDEX(MLIST!$C$12:$C$96,MATCH($C30,MLIST!$B$12:$B$96,0),1)</f>
        <v>New</v>
      </c>
      <c r="I30" s="217">
        <f>INDEX(MLIST!$Q$12:$Q$96,MATCH($C30,MLIST!$B$12:$B$96,0),1)</f>
        <v>0</v>
      </c>
    </row>
    <row r="31" spans="1:9">
      <c r="A31" t="str">
        <f>INDEX(MLIST!$A$12:$B$96,MATCH(C31,MLIST!$B$12:$B$96,0),1)</f>
        <v>HVAC</v>
      </c>
      <c r="B31" t="str">
        <f>INDEX(MLIST!$U$12:$U$96,MATCH(C31,MLIST!$B$12:$B$96,0),1)</f>
        <v>HVAC System Controls</v>
      </c>
      <c r="C31" t="s">
        <v>252</v>
      </c>
      <c r="D31" t="str">
        <f>INDEX(MLIST!$H$12:$H$96,MATCH(C31,MLIST!$B$12:$B$96,0),1)</f>
        <v>Demand Control Ventilation</v>
      </c>
      <c r="E31" t="str">
        <f>INDEX(MLIST!$L$12:$L$96,MATCH($C31,MLIST!$B$12:$B$96,0),1)</f>
        <v>CBSA 2014</v>
      </c>
      <c r="F31" t="str">
        <f>INDEX(MLIST!$I$12:$I$96,MATCH($C31,MLIST!$B$12:$B$96,0),1)</f>
        <v>All</v>
      </c>
      <c r="H31" t="str">
        <f>INDEX(MLIST!$C$12:$C$96,MATCH($C31,MLIST!$B$12:$B$96,0),1)</f>
        <v>New</v>
      </c>
      <c r="I31" s="217">
        <f>INDEX(MLIST!$Q$12:$Q$96,MATCH($C31,MLIST!$B$12:$B$96,0),1)</f>
        <v>0</v>
      </c>
    </row>
    <row r="32" spans="1:9">
      <c r="A32" t="str">
        <f>INDEX(MLIST!$A$12:$B$96,MATCH(C32,MLIST!$B$12:$B$96,0),1)</f>
        <v>HVAC</v>
      </c>
      <c r="B32" t="str">
        <f>INDEX(MLIST!$U$12:$U$96,MATCH(C32,MLIST!$B$12:$B$96,0),1)</f>
        <v>Pumps and Fans</v>
      </c>
      <c r="C32" t="s">
        <v>359</v>
      </c>
      <c r="D32" t="str">
        <f>INDEX(MLIST!$H$12:$H$96,MATCH(C32,MLIST!$B$12:$B$96,0),1)</f>
        <v>Premium Fume Hood</v>
      </c>
      <c r="E32" t="str">
        <f>INDEX(MLIST!$L$12:$L$96,MATCH($C32,MLIST!$B$12:$B$96,0),1)</f>
        <v>CBSA 2014</v>
      </c>
      <c r="F32" t="str">
        <f>INDEX(MLIST!$I$12:$I$96,MATCH($C32,MLIST!$B$12:$B$96,0),1)</f>
        <v>Some</v>
      </c>
      <c r="H32" t="str">
        <f>INDEX(MLIST!$C$12:$C$96,MATCH($C32,MLIST!$B$12:$B$96,0),1)</f>
        <v>NR</v>
      </c>
      <c r="I32" s="217">
        <f>INDEX(MLIST!$Q$12:$Q$96,MATCH($C32,MLIST!$B$12:$B$96,0),1)</f>
        <v>0</v>
      </c>
    </row>
    <row r="33" spans="1:9">
      <c r="A33" t="str">
        <f>INDEX(MLIST!$A$12:$B$96,MATCH(C33,MLIST!$B$12:$B$96,0),1)</f>
        <v>HVAC</v>
      </c>
      <c r="B33" t="str">
        <f>INDEX(MLIST!$U$12:$U$96,MATCH(C33,MLIST!$B$12:$B$96,0),1)</f>
        <v>Pumps and Fans</v>
      </c>
      <c r="C33" t="s">
        <v>211</v>
      </c>
      <c r="D33" t="str">
        <f>INDEX(MLIST!$H$12:$H$96,MATCH(C33,MLIST!$B$12:$B$96,0),1)</f>
        <v>DCV Restaurant Hood</v>
      </c>
      <c r="E33" t="str">
        <f>INDEX(MLIST!$L$12:$L$96,MATCH($C33,MLIST!$B$12:$B$96,0),1)</f>
        <v>CBSA 2014</v>
      </c>
      <c r="F33" t="str">
        <f>INDEX(MLIST!$I$12:$I$96,MATCH($C33,MLIST!$B$12:$B$96,0),1)</f>
        <v>Restaurant</v>
      </c>
      <c r="H33" t="str">
        <f>INDEX(MLIST!$C$12:$C$96,MATCH($C33,MLIST!$B$12:$B$96,0),1)</f>
        <v>Retro</v>
      </c>
      <c r="I33" s="217">
        <f>INDEX(MLIST!$Q$12:$Q$96,MATCH($C33,MLIST!$B$12:$B$96,0),1)</f>
        <v>0</v>
      </c>
    </row>
    <row r="34" spans="1:9">
      <c r="A34" t="str">
        <f>INDEX(MLIST!$A$12:$B$96,MATCH(C34,MLIST!$B$12:$B$96,0),1)</f>
        <v>HVAC</v>
      </c>
      <c r="B34" t="str">
        <f>INDEX(MLIST!$U$12:$U$96,MATCH(C34,MLIST!$B$12:$B$96,0),1)</f>
        <v>Pumps and Fans</v>
      </c>
      <c r="C34" t="s">
        <v>237</v>
      </c>
      <c r="D34" t="str">
        <f>INDEX(MLIST!$H$12:$H$96,MATCH(C34,MLIST!$B$12:$B$96,0),1)</f>
        <v>DCV Parking Garage</v>
      </c>
      <c r="E34" t="str">
        <f>INDEX(MLIST!$L$12:$L$96,MATCH($C34,MLIST!$B$12:$B$96,0),1)</f>
        <v>CBSA 2014</v>
      </c>
      <c r="F34" t="str">
        <f>INDEX(MLIST!$I$12:$I$96,MATCH($C34,MLIST!$B$12:$B$96,0),1)</f>
        <v>All</v>
      </c>
      <c r="H34" t="str">
        <f>INDEX(MLIST!$C$12:$C$96,MATCH($C34,MLIST!$B$12:$B$96,0),1)</f>
        <v>Retro</v>
      </c>
      <c r="I34" s="217" t="str">
        <f>INDEX(MLIST!$Q$12:$Q$96,MATCH($C34,MLIST!$B$12:$B$96,0),1)</f>
        <v>x</v>
      </c>
    </row>
    <row r="35" spans="1:9">
      <c r="A35" t="str">
        <f>INDEX(MLIST!$A$12:$B$96,MATCH(C35,MLIST!$B$12:$B$96,0),1)</f>
        <v>HVAC</v>
      </c>
      <c r="B35" t="str">
        <f>INDEX(MLIST!$U$12:$U$96,MATCH(C35,MLIST!$B$12:$B$96,0),1)</f>
        <v>Envelope</v>
      </c>
      <c r="C35" t="s">
        <v>468</v>
      </c>
      <c r="D35" t="str">
        <f>INDEX(MLIST!$H$12:$H$96,MATCH(C35,MLIST!$B$12:$B$96,0),1)</f>
        <v>Weatherization - School</v>
      </c>
      <c r="E35" t="str">
        <f>INDEX(MLIST!$L$12:$L$96,MATCH($C35,MLIST!$B$12:$B$96,0),1)</f>
        <v>CBSA 2014</v>
      </c>
      <c r="F35" t="str">
        <f>INDEX(MLIST!$I$12:$I$96,MATCH($C35,MLIST!$B$12:$B$96,0),1)</f>
        <v>K-12</v>
      </c>
      <c r="H35" t="str">
        <f>INDEX(MLIST!$C$12:$C$96,MATCH($C35,MLIST!$B$12:$B$96,0),1)</f>
        <v>Retro</v>
      </c>
      <c r="I35" s="217" t="str">
        <f>INDEX(MLIST!$Q$12:$Q$96,MATCH($C35,MLIST!$B$12:$B$96,0),1)</f>
        <v>x</v>
      </c>
    </row>
    <row r="36" spans="1:9">
      <c r="A36" t="str">
        <f>INDEX(MLIST!$A$12:$B$96,MATCH(C36,MLIST!$B$12:$B$96,0),1)</f>
        <v>HVAC</v>
      </c>
      <c r="B36" t="str">
        <f>INDEX(MLIST!$U$12:$U$96,MATCH(C36,MLIST!$B$12:$B$96,0),1)</f>
        <v>Computer Technologies</v>
      </c>
      <c r="C36" s="415" t="s">
        <v>469</v>
      </c>
      <c r="D36" t="str">
        <f>INDEX(MLIST!$H$12:$H$96,MATCH(C36,MLIST!$B$12:$B$96,0),1)</f>
        <v>Heat Recovery Ventilation</v>
      </c>
      <c r="E36" t="str">
        <f>INDEX(MLIST!$L$12:$L$96,MATCH($C36,MLIST!$B$12:$B$96,0),1)</f>
        <v>CBSA 20154</v>
      </c>
      <c r="F36" t="str">
        <f>INDEX(MLIST!$I$12:$I$96,MATCH($C36,MLIST!$B$12:$B$96,0),1)</f>
        <v>All</v>
      </c>
      <c r="H36" t="str">
        <f>INDEX(MLIST!$C$12:$C$96,MATCH($C36,MLIST!$B$12:$B$96,0),1)</f>
        <v>NR</v>
      </c>
      <c r="I36" s="217">
        <f>INDEX(MLIST!$Q$12:$Q$96,MATCH($C36,MLIST!$B$12:$B$96,0),1)</f>
        <v>0</v>
      </c>
    </row>
    <row r="37" spans="1:9">
      <c r="A37" t="str">
        <f>INDEX(MLIST!$A$12:$B$96,MATCH(C37,MLIST!$B$12:$B$96,0),1)</f>
        <v>HVAC</v>
      </c>
      <c r="B37" t="str">
        <f>INDEX(MLIST!$U$12:$U$96,MATCH(C37,MLIST!$B$12:$B$96,0),1)</f>
        <v>Heat Recovery</v>
      </c>
      <c r="C37" s="415" t="s">
        <v>470</v>
      </c>
      <c r="D37" t="str">
        <f>INDEX(MLIST!$H$12:$H$96,MATCH(C37,MLIST!$B$12:$B$96,0),1)</f>
        <v>AC Heat Recovery for Water Heating</v>
      </c>
      <c r="E37" t="str">
        <f>INDEX(MLIST!$L$12:$L$96,MATCH($C37,MLIST!$B$12:$B$96,0),1)</f>
        <v>CBSA 2014</v>
      </c>
      <c r="F37" t="str">
        <f>INDEX(MLIST!$I$12:$I$96,MATCH($C37,MLIST!$B$12:$B$96,0),1)</f>
        <v>All</v>
      </c>
      <c r="H37" t="str">
        <f>INDEX(MLIST!$C$12:$C$96,MATCH($C37,MLIST!$B$12:$B$96,0),1)</f>
        <v>NR</v>
      </c>
      <c r="I37" s="217" t="str">
        <f>INDEX(MLIST!$Q$12:$Q$96,MATCH($C37,MLIST!$B$12:$B$96,0),1)</f>
        <v>x</v>
      </c>
    </row>
    <row r="38" spans="1:9">
      <c r="A38" t="str">
        <f>INDEX(MLIST!$A$12:$B$96,MATCH(C38,MLIST!$B$12:$B$96,0),1)</f>
        <v>HVAC</v>
      </c>
      <c r="B38" t="str">
        <f>INDEX(MLIST!$U$12:$U$96,MATCH(C38,MLIST!$B$12:$B$96,0),1)</f>
        <v>Whole Bldg/Meter Level System Improvements</v>
      </c>
      <c r="C38" s="415" t="s">
        <v>472</v>
      </c>
      <c r="D38" t="str">
        <f>INDEX(MLIST!$H$12:$H$96,MATCH(C38,MLIST!$B$12:$B$96,0),1)</f>
        <v>Room Occupancy Sensors in Lodging</v>
      </c>
      <c r="E38" t="str">
        <f>INDEX(MLIST!$L$12:$L$96,MATCH($C38,MLIST!$B$12:$B$96,0),1)</f>
        <v>CBSA 2014</v>
      </c>
      <c r="F38" t="str">
        <f>INDEX(MLIST!$I$12:$I$96,MATCH($C38,MLIST!$B$12:$B$96,0),1)</f>
        <v>Lodging</v>
      </c>
      <c r="H38" t="str">
        <f>INDEX(MLIST!$C$12:$C$96,MATCH($C38,MLIST!$B$12:$B$96,0),1)</f>
        <v>Retro</v>
      </c>
      <c r="I38" s="217" t="str">
        <f>INDEX(MLIST!$Q$12:$Q$96,MATCH($C38,MLIST!$B$12:$B$96,0),1)</f>
        <v>x</v>
      </c>
    </row>
    <row r="39" spans="1:9">
      <c r="A39" t="str">
        <f>INDEX(MLIST!$A$12:$B$96,MATCH(C39,MLIST!$B$12:$B$96,0),1)</f>
        <v>HVAC</v>
      </c>
      <c r="B39" t="str">
        <f>INDEX(MLIST!$U$12:$U$96,MATCH(C39,MLIST!$B$12:$B$96,0),1)</f>
        <v>HVAC System Improvements</v>
      </c>
      <c r="C39" t="s">
        <v>474</v>
      </c>
      <c r="D39" t="str">
        <f>INDEX(MLIST!$H$12:$H$96,MATCH(C39,MLIST!$B$12:$B$96,0),1)</f>
        <v>Chiller - chilled water retrofit</v>
      </c>
      <c r="E39" t="str">
        <f>INDEX(MLIST!$L$12:$L$96,MATCH($C39,MLIST!$B$12:$B$96,0),1)</f>
        <v>CBSA 2014</v>
      </c>
      <c r="F39" t="str">
        <f>INDEX(MLIST!$I$12:$I$96,MATCH($C39,MLIST!$B$12:$B$96,0),1)</f>
        <v>Some</v>
      </c>
      <c r="H39" t="str">
        <f>INDEX(MLIST!$C$12:$C$96,MATCH($C39,MLIST!$B$12:$B$96,0),1)</f>
        <v>Retro</v>
      </c>
      <c r="I39" s="217" t="str">
        <f>INDEX(MLIST!$Q$12:$Q$96,MATCH($C39,MLIST!$B$12:$B$96,0),1)</f>
        <v>x</v>
      </c>
    </row>
    <row r="40" spans="1:9">
      <c r="A40" t="str">
        <f>INDEX(MLIST!$A$12:$B$96,MATCH(C40,MLIST!$B$12:$B$96,0),1)</f>
        <v>HVAC</v>
      </c>
      <c r="B40" t="str">
        <f>INDEX(MLIST!$U$12:$U$96,MATCH(C40,MLIST!$B$12:$B$96,0),1)</f>
        <v>HVAC System Improvements</v>
      </c>
      <c r="C40" t="s">
        <v>475</v>
      </c>
      <c r="D40" t="str">
        <f>INDEX(MLIST!$H$12:$H$96,MATCH(C40,MLIST!$B$12:$B$96,0),1)</f>
        <v>Chiller - equip retrofits</v>
      </c>
      <c r="E40" t="str">
        <f>INDEX(MLIST!$L$12:$L$96,MATCH($C40,MLIST!$B$12:$B$96,0),1)</f>
        <v>CBSA 2014</v>
      </c>
      <c r="F40" t="str">
        <f>INDEX(MLIST!$I$12:$I$96,MATCH($C40,MLIST!$B$12:$B$96,0),1)</f>
        <v>Some</v>
      </c>
      <c r="H40" t="str">
        <f>INDEX(MLIST!$C$12:$C$96,MATCH($C40,MLIST!$B$12:$B$96,0),1)</f>
        <v>Retro</v>
      </c>
      <c r="I40" s="217" t="str">
        <f>INDEX(MLIST!$Q$12:$Q$96,MATCH($C40,MLIST!$B$12:$B$96,0),1)</f>
        <v>x</v>
      </c>
    </row>
    <row r="41" spans="1:9">
      <c r="A41" t="str">
        <f>INDEX(MLIST!$A$12:$B$96,MATCH(C41,MLIST!$B$12:$B$96,0),1)</f>
        <v>HVAC</v>
      </c>
      <c r="B41" t="str">
        <f>INDEX(MLIST!$U$12:$U$96,MATCH(C41,MLIST!$B$12:$B$96,0),1)</f>
        <v>Pool System Improvements</v>
      </c>
      <c r="C41" s="415" t="s">
        <v>481</v>
      </c>
      <c r="D41" t="str">
        <f>INDEX(MLIST!$H$12:$H$96,MATCH(C41,MLIST!$B$12:$B$96,0),1)</f>
        <v>Pool Blankets</v>
      </c>
      <c r="E41" t="str">
        <f>INDEX(MLIST!$L$12:$L$96,MATCH($C41,MLIST!$B$12:$B$96,0),1)</f>
        <v>CBSA 2014</v>
      </c>
      <c r="F41" t="str">
        <f>INDEX(MLIST!$I$12:$I$96,MATCH($C41,MLIST!$B$12:$B$96,0),1)</f>
        <v>Some</v>
      </c>
      <c r="H41" t="str">
        <f>INDEX(MLIST!$C$12:$C$96,MATCH($C41,MLIST!$B$12:$B$96,0),1)</f>
        <v>Retro</v>
      </c>
      <c r="I41" s="217" t="str">
        <f>INDEX(MLIST!$Q$12:$Q$96,MATCH($C41,MLIST!$B$12:$B$96,0),1)</f>
        <v>x</v>
      </c>
    </row>
    <row r="42" spans="1:9">
      <c r="A42" t="str">
        <f>INDEX(MLIST!$A$12:$B$96,MATCH(C42,MLIST!$B$12:$B$96,0),1)</f>
        <v>HVAC</v>
      </c>
      <c r="B42" t="str">
        <f>INDEX(MLIST!$U$12:$U$96,MATCH(C42,MLIST!$B$12:$B$96,0),1)</f>
        <v>HVAC System Controls</v>
      </c>
      <c r="C42" s="415" t="s">
        <v>482</v>
      </c>
      <c r="D42" t="str">
        <f>INDEX(MLIST!$H$12:$H$96,MATCH(C42,MLIST!$B$12:$B$96,0),1)</f>
        <v>Web-Enabled Thermostats</v>
      </c>
      <c r="E42" t="str">
        <f>INDEX(MLIST!$L$12:$L$96,MATCH($C42,MLIST!$B$12:$B$96,0),1)</f>
        <v>CBSA 2014</v>
      </c>
      <c r="F42" t="str">
        <f>INDEX(MLIST!$I$12:$I$96,MATCH($C42,MLIST!$B$12:$B$96,0),1)</f>
        <v>Some</v>
      </c>
      <c r="H42" t="str">
        <f>INDEX(MLIST!$C$12:$C$96,MATCH($C42,MLIST!$B$12:$B$96,0),1)</f>
        <v>Retro</v>
      </c>
      <c r="I42" s="217" t="str">
        <f>INDEX(MLIST!$Q$12:$Q$96,MATCH($C42,MLIST!$B$12:$B$96,0),1)</f>
        <v>x</v>
      </c>
    </row>
    <row r="43" spans="1:9">
      <c r="A43" t="str">
        <f>INDEX(MLIST!$A$12:$B$96,MATCH(C43,MLIST!$B$12:$B$96,0),1)</f>
        <v>HVAC</v>
      </c>
      <c r="B43" t="str">
        <f>INDEX(MLIST!$U$12:$U$96,MATCH(C43,MLIST!$B$12:$B$96,0),1)</f>
        <v>HVAC System Controls</v>
      </c>
      <c r="C43" s="415" t="s">
        <v>487</v>
      </c>
      <c r="D43" t="str">
        <f>INDEX(MLIST!$H$12:$H$96,MATCH(C43,MLIST!$B$12:$B$96,0),1)</f>
        <v>Garage CO2 ventilation</v>
      </c>
      <c r="E43" t="str">
        <f>INDEX(MLIST!$L$12:$L$96,MATCH($C43,MLIST!$B$12:$B$96,0),1)</f>
        <v>CBSA 2014</v>
      </c>
      <c r="F43" t="str">
        <f>INDEX(MLIST!$I$12:$I$96,MATCH($C43,MLIST!$B$12:$B$96,0),1)</f>
        <v>Some</v>
      </c>
      <c r="H43" t="str">
        <f>INDEX(MLIST!$C$12:$C$96,MATCH($C43,MLIST!$B$12:$B$96,0),1)</f>
        <v>Retro</v>
      </c>
      <c r="I43" s="217" t="str">
        <f>INDEX(MLIST!$Q$12:$Q$96,MATCH($C43,MLIST!$B$12:$B$96,0),1)</f>
        <v>x</v>
      </c>
    </row>
    <row r="44" spans="1:9">
      <c r="A44" t="str">
        <f>INDEX(MLIST!$A$12:$B$96,MATCH(C44,MLIST!$B$12:$B$96,0),1)</f>
        <v>HVAC</v>
      </c>
      <c r="B44" t="str">
        <f>INDEX(MLIST!$U$12:$U$96,MATCH(C44,MLIST!$B$12:$B$96,0),1)</f>
        <v>Pumps and Fans</v>
      </c>
      <c r="C44" t="s">
        <v>488</v>
      </c>
      <c r="D44" t="str">
        <f>INDEX(MLIST!$H$12:$H$96,MATCH(C44,MLIST!$B$12:$B$96,0),1)</f>
        <v>Circ Pump ECM and drive</v>
      </c>
      <c r="E44" t="str">
        <f>INDEX(MLIST!$L$12:$L$96,MATCH($C44,MLIST!$B$12:$B$96,0),1)</f>
        <v>CBSA 2014</v>
      </c>
      <c r="F44" t="str">
        <f>INDEX(MLIST!$I$12:$I$96,MATCH($C44,MLIST!$B$12:$B$96,0),1)</f>
        <v>Some</v>
      </c>
      <c r="H44" t="str">
        <f>INDEX(MLIST!$C$12:$C$96,MATCH($C44,MLIST!$B$12:$B$96,0),1)</f>
        <v>Retro</v>
      </c>
      <c r="I44" s="217" t="str">
        <f>INDEX(MLIST!$Q$12:$Q$96,MATCH($C44,MLIST!$B$12:$B$96,0),1)</f>
        <v>x</v>
      </c>
    </row>
    <row r="45" spans="1:9">
      <c r="A45" t="str">
        <f>INDEX(MLIST!$A$12:$B$96,MATCH(C45,MLIST!$B$12:$B$96,0),1)</f>
        <v>HVAC</v>
      </c>
      <c r="B45" t="str">
        <f>INDEX(MLIST!$U$12:$U$96,MATCH(C45,MLIST!$B$12:$B$96,0),1)</f>
        <v>HVAC System Improvements</v>
      </c>
      <c r="C45" t="s">
        <v>839</v>
      </c>
      <c r="D45" t="str">
        <f>INDEX(MLIST!$H$12:$H$96,MATCH(C45,MLIST!$B$12:$B$96,0),1)</f>
        <v>Variable Refrigerant Flow</v>
      </c>
      <c r="E45" t="str">
        <f>INDEX(MLIST!$L$12:$L$96,MATCH($C45,MLIST!$B$12:$B$96,0),1)</f>
        <v>CBSA 2014</v>
      </c>
      <c r="F45" t="str">
        <f>INDEX(MLIST!$I$12:$I$96,MATCH($C45,MLIST!$B$12:$B$96,0),1)</f>
        <v>Some</v>
      </c>
      <c r="H45" t="str">
        <f>INDEX(MLIST!$C$12:$C$96,MATCH($C45,MLIST!$B$12:$B$96,0),1)</f>
        <v>New</v>
      </c>
      <c r="I45" s="217" t="str">
        <f>INDEX(MLIST!$Q$12:$Q$96,MATCH($C45,MLIST!$B$12:$B$96,0),1)</f>
        <v>x</v>
      </c>
    </row>
    <row r="46" spans="1:9">
      <c r="A46" t="str">
        <f>INDEX(MLIST!$A$12:$B$96,MATCH(C46,MLIST!$B$12:$B$96,0),1)</f>
        <v>HVAC</v>
      </c>
      <c r="B46" t="str">
        <f>INDEX(MLIST!$U$12:$U$96,MATCH(C46,MLIST!$B$12:$B$96,0),1)</f>
        <v>HVAC System Improvements</v>
      </c>
      <c r="C46" s="218" t="s">
        <v>839</v>
      </c>
      <c r="D46" t="str">
        <f>INDEX(MLIST!$H$12:$H$96,MATCH(C46,MLIST!$B$12:$B$96,0),1)</f>
        <v>Variable Refrigerant Flow</v>
      </c>
      <c r="E46" t="str">
        <f>INDEX(MLIST!$L$12:$L$96,MATCH($C46,MLIST!$B$12:$B$96,0),1)</f>
        <v>CBSA 2014</v>
      </c>
      <c r="F46" t="str">
        <f>INDEX(MLIST!$I$12:$I$96,MATCH($C46,MLIST!$B$12:$B$96,0),1)</f>
        <v>Some</v>
      </c>
      <c r="H46" t="str">
        <f>INDEX(MLIST!$C$12:$C$96,MATCH($C46,MLIST!$B$12:$B$96,0),1)</f>
        <v>New</v>
      </c>
      <c r="I46" s="217" t="str">
        <f>INDEX(MLIST!$Q$12:$Q$96,MATCH($C46,MLIST!$B$12:$B$96,0),1)</f>
        <v>x</v>
      </c>
    </row>
    <row r="47" spans="1:9">
      <c r="A47" t="str">
        <f>INDEX(MLIST!$A$12:$B$96,MATCH(C47,MLIST!$B$12:$B$96,0),1)</f>
        <v>HVAC</v>
      </c>
      <c r="B47" t="str">
        <f>INDEX(MLIST!$U$12:$U$96,MATCH(C47,MLIST!$B$12:$B$96,0),1)</f>
        <v>HVAC System Improvements</v>
      </c>
      <c r="C47" s="415" t="s">
        <v>489</v>
      </c>
      <c r="D47" t="str">
        <f>INDEX(MLIST!$H$12:$H$96,MATCH(C47,MLIST!$B$12:$B$96,0),1)</f>
        <v>Evaporator Roof Top HVAC</v>
      </c>
      <c r="E47" t="str">
        <f>INDEX(MLIST!$L$12:$L$96,MATCH($C47,MLIST!$B$12:$B$96,0),1)</f>
        <v>CBSA 2014</v>
      </c>
      <c r="F47" t="str">
        <f>INDEX(MLIST!$I$12:$I$96,MATCH($C47,MLIST!$B$12:$B$96,0),1)</f>
        <v>Some</v>
      </c>
      <c r="H47" t="str">
        <f>INDEX(MLIST!$C$12:$C$96,MATCH($C47,MLIST!$B$12:$B$96,0),1)</f>
        <v>Retro</v>
      </c>
      <c r="I47" s="217" t="str">
        <f>INDEX(MLIST!$Q$12:$Q$96,MATCH($C47,MLIST!$B$12:$B$96,0),1)</f>
        <v>x</v>
      </c>
    </row>
    <row r="48" spans="1:9">
      <c r="A48" t="str">
        <f>INDEX(MLIST!$A$12:$B$96,MATCH(C48,MLIST!$B$12:$B$96,0),1)</f>
        <v>HVAC</v>
      </c>
      <c r="B48" t="str">
        <f>INDEX(MLIST!$U$12:$U$96,MATCH(C48,MLIST!$B$12:$B$96,0),1)</f>
        <v>Envelope</v>
      </c>
      <c r="C48" t="s">
        <v>508</v>
      </c>
      <c r="D48" t="str">
        <f>INDEX(MLIST!$H$12:$H$96,MATCH(C48,MLIST!$B$12:$B$96,0),1)</f>
        <v>Secondary Glazing Systems</v>
      </c>
      <c r="E48" t="str">
        <f>INDEX(MLIST!$L$12:$L$96,MATCH($C48,MLIST!$B$12:$B$96,0),1)</f>
        <v>CBSA 2014</v>
      </c>
      <c r="F48" t="str">
        <f>INDEX(MLIST!$I$12:$I$96,MATCH($C48,MLIST!$B$12:$B$96,0),1)</f>
        <v>All</v>
      </c>
      <c r="H48" t="str">
        <f>INDEX(MLIST!$C$12:$C$96,MATCH($C48,MLIST!$B$12:$B$96,0),1)</f>
        <v>Retro</v>
      </c>
      <c r="I48" s="217" t="str">
        <f>INDEX(MLIST!$Q$12:$Q$96,MATCH($C48,MLIST!$B$12:$B$96,0),1)</f>
        <v>x</v>
      </c>
    </row>
    <row r="49" spans="1:9">
      <c r="A49" t="str">
        <f>INDEX(MLIST!$A$12:$B$96,MATCH(C49,MLIST!$B$12:$B$96,0),1)</f>
        <v>Lighting</v>
      </c>
      <c r="B49" t="str">
        <f>INDEX(MLIST!$U$12:$U$96,MATCH(C49,MLIST!$B$12:$B$96,0),1)</f>
        <v>Lamps/Ballasts/Fixtures</v>
      </c>
      <c r="C49" t="s">
        <v>410</v>
      </c>
      <c r="D49" t="str">
        <f>INDEX(MLIST!$H$12:$H$96,MATCH(C49,MLIST!$B$12:$B$96,0),1)</f>
        <v>Lighting Power Density</v>
      </c>
      <c r="E49" t="str">
        <f>INDEX(MLIST!$L$12:$L$96,MATCH($C49,MLIST!$B$12:$B$96,0),1)</f>
        <v>CBSA 2014</v>
      </c>
      <c r="F49" t="str">
        <f>INDEX(MLIST!$I$12:$I$96,MATCH($C49,MLIST!$B$12:$B$96,0),1)</f>
        <v>All</v>
      </c>
      <c r="H49" t="str">
        <f>INDEX(MLIST!$C$12:$C$96,MATCH($C49,MLIST!$B$12:$B$96,0),1)</f>
        <v>New</v>
      </c>
      <c r="I49" s="217">
        <f>INDEX(MLIST!$Q$12:$Q$96,MATCH($C49,MLIST!$B$12:$B$96,0),1)</f>
        <v>0</v>
      </c>
    </row>
    <row r="50" spans="1:9">
      <c r="A50" t="str">
        <f>INDEX(MLIST!$A$12:$B$96,MATCH(C50,MLIST!$B$12:$B$96,0),1)</f>
        <v>Lighting</v>
      </c>
      <c r="B50" t="str">
        <f>INDEX(MLIST!$U$12:$U$96,MATCH(C50,MLIST!$B$12:$B$96,0),1)</f>
        <v>Lamps/Ballasts/Fixtures</v>
      </c>
      <c r="C50" t="s">
        <v>410</v>
      </c>
      <c r="D50" t="str">
        <f>INDEX(MLIST!$H$12:$H$96,MATCH(C50,MLIST!$B$12:$B$96,0),1)</f>
        <v>Lighting Power Density</v>
      </c>
      <c r="E50" t="str">
        <f>INDEX(MLIST!$L$12:$L$96,MATCH($C50,MLIST!$B$12:$B$96,0),1)</f>
        <v>CBSA 2014</v>
      </c>
      <c r="F50" t="str">
        <f>INDEX(MLIST!$I$12:$I$96,MATCH($C50,MLIST!$B$12:$B$96,0),1)</f>
        <v>All</v>
      </c>
      <c r="H50" t="str">
        <f>INDEX(MLIST!$C$12:$C$96,MATCH($C50,MLIST!$B$12:$B$96,0),1)</f>
        <v>New</v>
      </c>
      <c r="I50" s="217">
        <f>INDEX(MLIST!$Q$12:$Q$96,MATCH($C50,MLIST!$B$12:$B$96,0),1)</f>
        <v>0</v>
      </c>
    </row>
    <row r="51" spans="1:9">
      <c r="A51" t="str">
        <f>INDEX(MLIST!$A$12:$B$96,MATCH(C51,MLIST!$B$12:$B$96,0),1)</f>
        <v>Lighting</v>
      </c>
      <c r="B51" t="str">
        <f>INDEX(MLIST!$U$12:$U$96,MATCH(C51,MLIST!$B$12:$B$96,0),1)</f>
        <v>Lamps/Ballasts/Fixtures</v>
      </c>
      <c r="C51" t="s">
        <v>410</v>
      </c>
      <c r="D51" t="str">
        <f>INDEX(MLIST!$H$12:$H$96,MATCH(C51,MLIST!$B$12:$B$96,0),1)</f>
        <v>Lighting Power Density</v>
      </c>
      <c r="E51" t="str">
        <f>INDEX(MLIST!$L$12:$L$96,MATCH($C51,MLIST!$B$12:$B$96,0),1)</f>
        <v>CBSA 2014</v>
      </c>
      <c r="F51" t="str">
        <f>INDEX(MLIST!$I$12:$I$96,MATCH($C51,MLIST!$B$12:$B$96,0),1)</f>
        <v>All</v>
      </c>
      <c r="H51" t="str">
        <f>INDEX(MLIST!$C$12:$C$96,MATCH($C51,MLIST!$B$12:$B$96,0),1)</f>
        <v>New</v>
      </c>
      <c r="I51" s="217">
        <f>INDEX(MLIST!$Q$12:$Q$96,MATCH($C51,MLIST!$B$12:$B$96,0),1)</f>
        <v>0</v>
      </c>
    </row>
    <row r="52" spans="1:9">
      <c r="A52" t="str">
        <f>INDEX(MLIST!$A$12:$B$96,MATCH(C52,MLIST!$B$12:$B$96,0),1)</f>
        <v>Lighting</v>
      </c>
      <c r="B52" t="str">
        <f>INDEX(MLIST!$U$12:$U$96,MATCH(C52,MLIST!$B$12:$B$96,0),1)</f>
        <v>Lighting Controls</v>
      </c>
      <c r="C52" s="415" t="s">
        <v>103</v>
      </c>
      <c r="D52" t="str">
        <f>INDEX(MLIST!$H$12:$H$96,MATCH(C52,MLIST!$B$12:$B$96,0),1)</f>
        <v>Daylighting with Skylights</v>
      </c>
      <c r="E52" t="str">
        <f>INDEX(MLIST!$L$12:$L$96,MATCH($C52,MLIST!$B$12:$B$96,0),1)</f>
        <v>CBSA 2014</v>
      </c>
      <c r="F52" t="str">
        <f>INDEX(MLIST!$I$12:$I$96,MATCH($C52,MLIST!$B$12:$B$96,0),1)</f>
        <v>All</v>
      </c>
      <c r="H52" t="str">
        <f>INDEX(MLIST!$C$12:$C$96,MATCH($C52,MLIST!$B$12:$B$96,0),1)</f>
        <v>New</v>
      </c>
      <c r="I52" s="217">
        <f>INDEX(MLIST!$Q$12:$Q$96,MATCH($C52,MLIST!$B$12:$B$96,0),1)</f>
        <v>0</v>
      </c>
    </row>
    <row r="53" spans="1:9">
      <c r="A53" t="str">
        <f>INDEX(MLIST!$A$12:$B$96,MATCH(C53,MLIST!$B$12:$B$96,0),1)</f>
        <v>Lighting</v>
      </c>
      <c r="B53" t="str">
        <f>INDEX(MLIST!$U$12:$U$96,MATCH(C53,MLIST!$B$12:$B$96,0),1)</f>
        <v>Lighting Controls</v>
      </c>
      <c r="C53" s="415" t="s">
        <v>130</v>
      </c>
      <c r="D53" t="str">
        <f>INDEX(MLIST!$H$12:$H$96,MATCH(C53,MLIST!$B$12:$B$96,0),1)</f>
        <v>Daylighting with Windows</v>
      </c>
      <c r="E53" t="str">
        <f>INDEX(MLIST!$L$12:$L$96,MATCH($C53,MLIST!$B$12:$B$96,0),1)</f>
        <v>CBSA 2014</v>
      </c>
      <c r="F53" t="str">
        <f>INDEX(MLIST!$I$12:$I$96,MATCH($C53,MLIST!$B$12:$B$96,0),1)</f>
        <v>All</v>
      </c>
      <c r="H53" t="str">
        <f>INDEX(MLIST!$C$12:$C$96,MATCH($C53,MLIST!$B$12:$B$96,0),1)</f>
        <v>New</v>
      </c>
      <c r="I53" s="217">
        <f>INDEX(MLIST!$Q$12:$Q$96,MATCH($C53,MLIST!$B$12:$B$96,0),1)</f>
        <v>0</v>
      </c>
    </row>
    <row r="54" spans="1:9">
      <c r="A54" t="str">
        <f>INDEX(MLIST!$A$12:$B$96,MATCH(C54,MLIST!$B$12:$B$96,0),1)</f>
        <v>Lighting</v>
      </c>
      <c r="B54" t="str">
        <f>INDEX(MLIST!$U$12:$U$96,MATCH(C54,MLIST!$B$12:$B$96,0),1)</f>
        <v>Lighting Controls</v>
      </c>
      <c r="C54" t="s">
        <v>130</v>
      </c>
      <c r="D54" t="str">
        <f>INDEX(MLIST!$H$12:$H$96,MATCH(C54,MLIST!$B$12:$B$96,0),1)</f>
        <v>Daylighting with Windows</v>
      </c>
      <c r="E54" t="str">
        <f>INDEX(MLIST!$L$12:$L$96,MATCH($C54,MLIST!$B$12:$B$96,0),1)</f>
        <v>CBSA 2014</v>
      </c>
      <c r="F54" t="str">
        <f>INDEX(MLIST!$I$12:$I$96,MATCH($C54,MLIST!$B$12:$B$96,0),1)</f>
        <v>All</v>
      </c>
      <c r="H54" t="str">
        <f>INDEX(MLIST!$C$12:$C$96,MATCH($C54,MLIST!$B$12:$B$96,0),1)</f>
        <v>New</v>
      </c>
      <c r="I54" s="217">
        <f>INDEX(MLIST!$Q$12:$Q$96,MATCH($C54,MLIST!$B$12:$B$96,0),1)</f>
        <v>0</v>
      </c>
    </row>
    <row r="55" spans="1:9">
      <c r="A55" t="str">
        <f>INDEX(MLIST!$A$12:$B$96,MATCH(C55,MLIST!$B$12:$B$96,0),1)</f>
        <v>Lighting</v>
      </c>
      <c r="B55" t="str">
        <f>INDEX(MLIST!$U$12:$U$96,MATCH(C55,MLIST!$B$12:$B$96,0),1)</f>
        <v>Lighting Controls</v>
      </c>
      <c r="C55" t="s">
        <v>102</v>
      </c>
      <c r="D55" t="str">
        <f>INDEX(MLIST!$H$12:$H$96,MATCH(C55,MLIST!$B$12:$B$96,0),1)</f>
        <v>Lighting Controls Interior</v>
      </c>
      <c r="E55" t="str">
        <f>INDEX(MLIST!$L$12:$L$96,MATCH($C55,MLIST!$B$12:$B$96,0),1)</f>
        <v>CBSA 2014</v>
      </c>
      <c r="F55" t="str">
        <f>INDEX(MLIST!$I$12:$I$96,MATCH($C55,MLIST!$B$12:$B$96,0),1)</f>
        <v>All</v>
      </c>
      <c r="H55" t="str">
        <f>INDEX(MLIST!$C$12:$C$96,MATCH($C55,MLIST!$B$12:$B$96,0),1)</f>
        <v>New</v>
      </c>
      <c r="I55" s="217">
        <f>INDEX(MLIST!$Q$12:$Q$96,MATCH($C55,MLIST!$B$12:$B$96,0),1)</f>
        <v>0</v>
      </c>
    </row>
    <row r="56" spans="1:9">
      <c r="A56" t="str">
        <f>INDEX(MLIST!$A$12:$B$96,MATCH(C56,MLIST!$B$12:$B$96,0),1)</f>
        <v>Lighting</v>
      </c>
      <c r="B56" t="str">
        <f>INDEX(MLIST!$U$12:$U$96,MATCH(C56,MLIST!$B$12:$B$96,0),1)</f>
        <v>Lighting Controls</v>
      </c>
      <c r="C56" t="s">
        <v>102</v>
      </c>
      <c r="D56" t="str">
        <f>INDEX(MLIST!$H$12:$H$96,MATCH(C56,MLIST!$B$12:$B$96,0),1)</f>
        <v>Lighting Controls Interior</v>
      </c>
      <c r="E56" t="str">
        <f>INDEX(MLIST!$L$12:$L$96,MATCH($C56,MLIST!$B$12:$B$96,0),1)</f>
        <v>CBSA 2014</v>
      </c>
      <c r="F56" t="str">
        <f>INDEX(MLIST!$I$12:$I$96,MATCH($C56,MLIST!$B$12:$B$96,0),1)</f>
        <v>All</v>
      </c>
      <c r="H56" t="str">
        <f>INDEX(MLIST!$C$12:$C$96,MATCH($C56,MLIST!$B$12:$B$96,0),1)</f>
        <v>New</v>
      </c>
      <c r="I56" s="217">
        <f>INDEX(MLIST!$Q$12:$Q$96,MATCH($C56,MLIST!$B$12:$B$96,0),1)</f>
        <v>0</v>
      </c>
    </row>
    <row r="57" spans="1:9">
      <c r="A57" t="str">
        <f>INDEX(MLIST!$A$12:$B$96,MATCH(C57,MLIST!$B$12:$B$96,0),1)</f>
        <v>Lighting</v>
      </c>
      <c r="B57" t="str">
        <f>INDEX(MLIST!$U$12:$U$96,MATCH(C57,MLIST!$B$12:$B$96,0),1)</f>
        <v>Lamps/Ballasts/Fixtures</v>
      </c>
      <c r="C57" t="s">
        <v>100</v>
      </c>
      <c r="D57" t="str">
        <f>INDEX(MLIST!$H$12:$H$96,MATCH(C57,MLIST!$B$12:$B$96,0),1)</f>
        <v>Exterior Building Lighting</v>
      </c>
      <c r="E57" t="str">
        <f>INDEX(MLIST!$L$12:$L$96,MATCH($C57,MLIST!$B$12:$B$96,0),1)</f>
        <v>CBSA 2014</v>
      </c>
      <c r="F57" t="str">
        <f>INDEX(MLIST!$I$12:$I$96,MATCH($C57,MLIST!$B$12:$B$96,0),1)</f>
        <v>All</v>
      </c>
      <c r="H57" t="str">
        <f>INDEX(MLIST!$C$12:$C$96,MATCH($C57,MLIST!$B$12:$B$96,0),1)</f>
        <v>New</v>
      </c>
      <c r="I57" s="217">
        <f>INDEX(MLIST!$Q$12:$Q$96,MATCH($C57,MLIST!$B$12:$B$96,0),1)</f>
        <v>0</v>
      </c>
    </row>
    <row r="58" spans="1:9">
      <c r="A58" t="str">
        <f>INDEX(MLIST!$A$12:$B$96,MATCH(C58,MLIST!$B$12:$B$96,0),1)</f>
        <v>Lighting</v>
      </c>
      <c r="B58" t="str">
        <f>INDEX(MLIST!$U$12:$U$96,MATCH(C58,MLIST!$B$12:$B$96,0),1)</f>
        <v>Lamps/Ballasts/Fixtures</v>
      </c>
      <c r="C58" t="s">
        <v>100</v>
      </c>
      <c r="D58" t="str">
        <f>INDEX(MLIST!$H$12:$H$96,MATCH(C58,MLIST!$B$12:$B$96,0),1)</f>
        <v>Exterior Building Lighting</v>
      </c>
      <c r="E58" t="str">
        <f>INDEX(MLIST!$L$12:$L$96,MATCH($C58,MLIST!$B$12:$B$96,0),1)</f>
        <v>CBSA 2014</v>
      </c>
      <c r="F58" t="str">
        <f>INDEX(MLIST!$I$12:$I$96,MATCH($C58,MLIST!$B$12:$B$96,0),1)</f>
        <v>All</v>
      </c>
      <c r="H58" t="str">
        <f>INDEX(MLIST!$C$12:$C$96,MATCH($C58,MLIST!$B$12:$B$96,0),1)</f>
        <v>New</v>
      </c>
      <c r="I58" s="217">
        <f>INDEX(MLIST!$Q$12:$Q$96,MATCH($C58,MLIST!$B$12:$B$96,0),1)</f>
        <v>0</v>
      </c>
    </row>
    <row r="59" spans="1:9">
      <c r="A59" t="str">
        <f>INDEX(MLIST!$A$12:$B$96,MATCH(C59,MLIST!$B$12:$B$96,0),1)</f>
        <v>Lighting</v>
      </c>
      <c r="B59" t="str">
        <f>INDEX(MLIST!$U$12:$U$96,MATCH(C59,MLIST!$B$12:$B$96,0),1)</f>
        <v>Lamps/Ballasts/Fixtures</v>
      </c>
      <c r="C59" t="s">
        <v>426</v>
      </c>
      <c r="D59" t="str">
        <f>INDEX(MLIST!$H$12:$H$96,MATCH(C59,MLIST!$B$12:$B$96,0),1)</f>
        <v>Street and Roadway Lighting</v>
      </c>
      <c r="E59" t="str">
        <f>INDEX(MLIST!$L$12:$L$96,MATCH($C59,MLIST!$B$12:$B$96,0),1)</f>
        <v>Navigant 2014</v>
      </c>
      <c r="F59" t="str">
        <f>INDEX(MLIST!$I$12:$I$96,MATCH($C59,MLIST!$B$12:$B$96,0),1)</f>
        <v>Non-Building</v>
      </c>
      <c r="H59" t="str">
        <f>INDEX(MLIST!$C$12:$C$96,MATCH($C59,MLIST!$B$12:$B$96,0),1)</f>
        <v>New</v>
      </c>
      <c r="I59" s="217">
        <f>INDEX(MLIST!$Q$12:$Q$96,MATCH($C59,MLIST!$B$12:$B$96,0),1)</f>
        <v>0</v>
      </c>
    </row>
    <row r="60" spans="1:9">
      <c r="A60" t="str">
        <f>INDEX(MLIST!$A$12:$B$96,MATCH(C60,MLIST!$B$12:$B$96,0),1)</f>
        <v>Lighting</v>
      </c>
      <c r="B60" t="str">
        <f>INDEX(MLIST!$U$12:$U$96,MATCH(C60,MLIST!$B$12:$B$96,0),1)</f>
        <v>Lamps/Ballasts/Fixtures</v>
      </c>
      <c r="C60" t="s">
        <v>426</v>
      </c>
      <c r="D60" t="str">
        <f>INDEX(MLIST!$H$12:$H$96,MATCH(C60,MLIST!$B$12:$B$96,0),1)</f>
        <v>Street and Roadway Lighting</v>
      </c>
      <c r="E60" t="str">
        <f>INDEX(MLIST!$L$12:$L$96,MATCH($C60,MLIST!$B$12:$B$96,0),1)</f>
        <v>Navigant 2014</v>
      </c>
      <c r="F60" t="str">
        <f>INDEX(MLIST!$I$12:$I$96,MATCH($C60,MLIST!$B$12:$B$96,0),1)</f>
        <v>Non-Building</v>
      </c>
      <c r="H60" t="str">
        <f>INDEX(MLIST!$C$12:$C$96,MATCH($C60,MLIST!$B$12:$B$96,0),1)</f>
        <v>New</v>
      </c>
      <c r="I60" s="217">
        <f>INDEX(MLIST!$Q$12:$Q$96,MATCH($C60,MLIST!$B$12:$B$96,0),1)</f>
        <v>0</v>
      </c>
    </row>
    <row r="61" spans="1:9">
      <c r="A61" t="str">
        <f>INDEX(MLIST!$A$12:$B$96,MATCH(C61,MLIST!$B$12:$B$96,0),1)</f>
        <v>Lighting</v>
      </c>
      <c r="B61" t="str">
        <f>INDEX(MLIST!$U$12:$U$96,MATCH(C61,MLIST!$B$12:$B$96,0),1)</f>
        <v>Lamps/Ballasts/Fixtures</v>
      </c>
      <c r="C61" t="s">
        <v>101</v>
      </c>
      <c r="D61" t="str">
        <f>INDEX(MLIST!$H$12:$H$96,MATCH(C61,MLIST!$B$12:$B$96,0),1)</f>
        <v>Parking Lighting</v>
      </c>
      <c r="E61" t="str">
        <f>INDEX(MLIST!$L$12:$L$96,MATCH($C61,MLIST!$B$12:$B$96,0),1)</f>
        <v>CBSA 2014</v>
      </c>
      <c r="F61" t="str">
        <f>INDEX(MLIST!$I$12:$I$96,MATCH($C61,MLIST!$B$12:$B$96,0),1)</f>
        <v>All</v>
      </c>
      <c r="H61" t="str">
        <f>INDEX(MLIST!$C$12:$C$96,MATCH($C61,MLIST!$B$12:$B$96,0),1)</f>
        <v>New</v>
      </c>
      <c r="I61" s="217">
        <f>INDEX(MLIST!$Q$12:$Q$96,MATCH($C61,MLIST!$B$12:$B$96,0),1)</f>
        <v>0</v>
      </c>
    </row>
    <row r="62" spans="1:9">
      <c r="A62" t="str">
        <f>INDEX(MLIST!$A$12:$B$96,MATCH(C62,MLIST!$B$12:$B$96,0),1)</f>
        <v>Lighting</v>
      </c>
      <c r="B62" t="str">
        <f>INDEX(MLIST!$U$12:$U$96,MATCH(C62,MLIST!$B$12:$B$96,0),1)</f>
        <v>Lamps/Ballasts/Fixtures</v>
      </c>
      <c r="C62" t="s">
        <v>101</v>
      </c>
      <c r="D62" t="str">
        <f>INDEX(MLIST!$H$12:$H$96,MATCH(C62,MLIST!$B$12:$B$96,0),1)</f>
        <v>Parking Lighting</v>
      </c>
      <c r="E62" t="str">
        <f>INDEX(MLIST!$L$12:$L$96,MATCH($C62,MLIST!$B$12:$B$96,0),1)</f>
        <v>CBSA 2014</v>
      </c>
      <c r="F62" t="str">
        <f>INDEX(MLIST!$I$12:$I$96,MATCH($C62,MLIST!$B$12:$B$96,0),1)</f>
        <v>All</v>
      </c>
      <c r="H62" t="str">
        <f>INDEX(MLIST!$C$12:$C$96,MATCH($C62,MLIST!$B$12:$B$96,0),1)</f>
        <v>New</v>
      </c>
      <c r="I62" s="217">
        <f>INDEX(MLIST!$Q$12:$Q$96,MATCH($C62,MLIST!$B$12:$B$96,0),1)</f>
        <v>0</v>
      </c>
    </row>
    <row r="63" spans="1:9">
      <c r="A63" t="e">
        <f>INDEX(MLIST!$A$12:$B$96,MATCH(C63,MLIST!$B$12:$B$96,0),1)</f>
        <v>#N/A</v>
      </c>
      <c r="B63" t="e">
        <f>INDEX(MLIST!$U$12:$U$96,MATCH(C63,MLIST!$B$12:$B$96,0),1)</f>
        <v>#N/A</v>
      </c>
      <c r="C63" t="s">
        <v>966</v>
      </c>
      <c r="D63" t="e">
        <f>INDEX(MLIST!$H$12:$H$96,MATCH(C63,MLIST!$B$12:$B$96,0),1)</f>
        <v>#N/A</v>
      </c>
      <c r="E63" t="e">
        <f>INDEX(MLIST!$L$12:$L$96,MATCH($C63,MLIST!$B$12:$B$96,0),1)</f>
        <v>#N/A</v>
      </c>
      <c r="F63" t="e">
        <f>INDEX(MLIST!$I$12:$I$96,MATCH($C63,MLIST!$B$12:$B$96,0),1)</f>
        <v>#N/A</v>
      </c>
      <c r="H63" t="e">
        <f>INDEX(MLIST!$C$12:$C$96,MATCH($C63,MLIST!$B$12:$B$96,0),1)</f>
        <v>#N/A</v>
      </c>
      <c r="I63" s="217" t="e">
        <f>INDEX(MLIST!$Q$12:$Q$96,MATCH($C63,MLIST!$B$12:$B$96,0),1)</f>
        <v>#N/A</v>
      </c>
    </row>
    <row r="64" spans="1:9">
      <c r="A64" t="str">
        <f>INDEX(MLIST!$A$12:$B$96,MATCH(C64,MLIST!$B$12:$B$96,0),1)</f>
        <v>Motors/Drives</v>
      </c>
      <c r="B64" t="str">
        <f>INDEX(MLIST!$U$12:$U$96,MATCH(C64,MLIST!$B$12:$B$96,0),1)</f>
        <v>Motors</v>
      </c>
      <c r="C64" t="s">
        <v>936</v>
      </c>
      <c r="D64" t="str">
        <f>INDEX(MLIST!$H$12:$H$96,MATCH(C64,MLIST!$B$12:$B$96,0),1)</f>
        <v>ECM Motors on Variable Air Volume Boxes</v>
      </c>
      <c r="E64" t="str">
        <f>INDEX(MLIST!$L$12:$L$96,MATCH($C64,MLIST!$B$12:$B$96,0),1)</f>
        <v>CBSA 2014</v>
      </c>
      <c r="F64" t="str">
        <f>INDEX(MLIST!$I$12:$I$96,MATCH($C64,MLIST!$B$12:$B$96,0),1)</f>
        <v>All</v>
      </c>
      <c r="H64" t="str">
        <f>INDEX(MLIST!$C$12:$C$96,MATCH($C64,MLIST!$B$12:$B$96,0),1)</f>
        <v>New</v>
      </c>
      <c r="I64" s="217">
        <f>INDEX(MLIST!$Q$12:$Q$96,MATCH($C64,MLIST!$B$12:$B$96,0),1)</f>
        <v>0</v>
      </c>
    </row>
    <row r="65" spans="1:9">
      <c r="A65" t="str">
        <f>INDEX(MLIST!$A$12:$B$96,MATCH(C65,MLIST!$B$12:$B$96,0),1)</f>
        <v>Motors/Drives</v>
      </c>
      <c r="B65" t="str">
        <f>INDEX(MLIST!$U$12:$U$96,MATCH(C65,MLIST!$B$12:$B$96,0),1)</f>
        <v>Motors</v>
      </c>
      <c r="C65" t="s">
        <v>936</v>
      </c>
      <c r="D65" t="str">
        <f>INDEX(MLIST!$H$12:$H$96,MATCH(C65,MLIST!$B$12:$B$96,0),1)</f>
        <v>ECM Motors on Variable Air Volume Boxes</v>
      </c>
      <c r="E65" t="str">
        <f>INDEX(MLIST!$L$12:$L$96,MATCH($C65,MLIST!$B$12:$B$96,0),1)</f>
        <v>CBSA 2014</v>
      </c>
      <c r="F65" t="str">
        <f>INDEX(MLIST!$I$12:$I$96,MATCH($C65,MLIST!$B$12:$B$96,0),1)</f>
        <v>All</v>
      </c>
      <c r="H65" t="str">
        <f>INDEX(MLIST!$C$12:$C$96,MATCH($C65,MLIST!$B$12:$B$96,0),1)</f>
        <v>New</v>
      </c>
      <c r="I65" s="217">
        <f>INDEX(MLIST!$Q$12:$Q$96,MATCH($C65,MLIST!$B$12:$B$96,0),1)</f>
        <v>0</v>
      </c>
    </row>
    <row r="66" spans="1:9">
      <c r="A66" t="str">
        <f>INDEX(MLIST!$A$12:$B$96,MATCH(C66,MLIST!$B$12:$B$96,0),1)</f>
        <v>Motors/Drives</v>
      </c>
      <c r="B66" t="str">
        <f>INDEX(MLIST!$U$12:$U$96,MATCH(C66,MLIST!$B$12:$B$96,0),1)</f>
        <v>Pool System Improvements</v>
      </c>
      <c r="C66" s="415" t="s">
        <v>471</v>
      </c>
      <c r="D66" t="str">
        <f>INDEX(MLIST!$H$12:$H$96,MATCH(C66,MLIST!$B$12:$B$96,0),1)</f>
        <v>Pool pumps</v>
      </c>
      <c r="E66" t="str">
        <f>INDEX(MLIST!$L$12:$L$96,MATCH($C66,MLIST!$B$12:$B$96,0),1)</f>
        <v>CBSA 2014</v>
      </c>
      <c r="F66" t="str">
        <f>INDEX(MLIST!$I$12:$I$96,MATCH($C66,MLIST!$B$12:$B$96,0),1)</f>
        <v>Some</v>
      </c>
      <c r="H66" t="str">
        <f>INDEX(MLIST!$C$12:$C$96,MATCH($C66,MLIST!$B$12:$B$96,0),1)</f>
        <v>Retro</v>
      </c>
      <c r="I66" s="217" t="str">
        <f>INDEX(MLIST!$Q$12:$Q$96,MATCH($C66,MLIST!$B$12:$B$96,0),1)</f>
        <v>x</v>
      </c>
    </row>
    <row r="67" spans="1:9">
      <c r="A67" t="str">
        <f>INDEX(MLIST!$A$12:$B$96,MATCH(C67,MLIST!$B$12:$B$96,0),1)</f>
        <v>Motors/Drives</v>
      </c>
      <c r="B67" t="str">
        <f>INDEX(MLIST!$U$12:$U$96,MATCH(C67,MLIST!$B$12:$B$96,0),1)</f>
        <v>Motors</v>
      </c>
      <c r="C67" t="s">
        <v>947</v>
      </c>
      <c r="D67" t="str">
        <f>INDEX(MLIST!$H$12:$H$96,MATCH(C67,MLIST!$B$12:$B$96,0),1)</f>
        <v>Motors - Rewind</v>
      </c>
      <c r="E67" t="str">
        <f>INDEX(MLIST!$L$12:$L$96,MATCH($C67,MLIST!$B$12:$B$96,0),1)</f>
        <v>CBSA 2014</v>
      </c>
      <c r="F67" t="str">
        <f>INDEX(MLIST!$I$12:$I$96,MATCH($C67,MLIST!$B$12:$B$96,0),1)</f>
        <v>All</v>
      </c>
      <c r="H67" t="str">
        <f>INDEX(MLIST!$C$12:$C$96,MATCH($C67,MLIST!$B$12:$B$96,0),1)</f>
        <v>New</v>
      </c>
      <c r="I67" s="217" t="str">
        <f>INDEX(MLIST!$Q$12:$Q$96,MATCH($C67,MLIST!$B$12:$B$96,0),1)</f>
        <v>x</v>
      </c>
    </row>
    <row r="68" spans="1:9">
      <c r="A68" t="str">
        <f>INDEX(MLIST!$A$12:$B$96,MATCH(C68,MLIST!$B$12:$B$96,0),1)</f>
        <v>Motors/Drives</v>
      </c>
      <c r="B68" t="str">
        <f>INDEX(MLIST!$U$12:$U$96,MATCH(C68,MLIST!$B$12:$B$96,0),1)</f>
        <v>Motors</v>
      </c>
      <c r="C68" t="s">
        <v>947</v>
      </c>
      <c r="D68" t="str">
        <f>INDEX(MLIST!$H$12:$H$96,MATCH(C68,MLIST!$B$12:$B$96,0),1)</f>
        <v>Motors - Rewind</v>
      </c>
      <c r="E68" t="str">
        <f>INDEX(MLIST!$L$12:$L$96,MATCH($C68,MLIST!$B$12:$B$96,0),1)</f>
        <v>CBSA 2014</v>
      </c>
      <c r="F68" t="str">
        <f>INDEX(MLIST!$I$12:$I$96,MATCH($C68,MLIST!$B$12:$B$96,0),1)</f>
        <v>All</v>
      </c>
      <c r="H68" t="str">
        <f>INDEX(MLIST!$C$12:$C$96,MATCH($C68,MLIST!$B$12:$B$96,0),1)</f>
        <v>New</v>
      </c>
      <c r="I68" s="217" t="str">
        <f>INDEX(MLIST!$Q$12:$Q$96,MATCH($C68,MLIST!$B$12:$B$96,0),1)</f>
        <v>x</v>
      </c>
    </row>
    <row r="69" spans="1:9">
      <c r="A69" t="str">
        <f>INDEX(MLIST!$A$12:$B$96,MATCH(C69,MLIST!$B$12:$B$96,0),1)</f>
        <v>Process Loads</v>
      </c>
      <c r="B69" t="str">
        <f>INDEX(MLIST!$U$12:$U$96,MATCH(C69,MLIST!$B$12:$B$96,0),1)</f>
        <v>Process Loads System Improvements</v>
      </c>
      <c r="C69" t="s">
        <v>54</v>
      </c>
      <c r="D69" t="str">
        <f>INDEX(MLIST!$H$12:$H$96,MATCH(C69,MLIST!$B$12:$B$96,0),1)</f>
        <v>Municipal Sewage Treatment</v>
      </c>
      <c r="E69" t="str">
        <f>INDEX(MLIST!$L$12:$L$96,MATCH($C69,MLIST!$B$12:$B$96,0),1)</f>
        <v>2013 EPA Flow rates</v>
      </c>
      <c r="F69" t="str">
        <f>INDEX(MLIST!$I$12:$I$96,MATCH($C69,MLIST!$B$12:$B$96,0),1)</f>
        <v>Non-Building</v>
      </c>
      <c r="H69" t="str">
        <f>INDEX(MLIST!$C$12:$C$96,MATCH($C69,MLIST!$B$12:$B$96,0),1)</f>
        <v>Retro</v>
      </c>
      <c r="I69" s="217">
        <f>INDEX(MLIST!$Q$12:$Q$96,MATCH($C69,MLIST!$B$12:$B$96,0),1)</f>
        <v>0</v>
      </c>
    </row>
    <row r="70" spans="1:9">
      <c r="A70" t="str">
        <f>INDEX(MLIST!$A$12:$B$96,MATCH(C70,MLIST!$B$12:$B$96,0),1)</f>
        <v>Process Loads</v>
      </c>
      <c r="B70" t="str">
        <f>INDEX(MLIST!$U$12:$U$96,MATCH(C70,MLIST!$B$12:$B$96,0),1)</f>
        <v>Process Loads System Improvements</v>
      </c>
      <c r="C70" t="s">
        <v>55</v>
      </c>
      <c r="D70" t="str">
        <f>INDEX(MLIST!$H$12:$H$96,MATCH(C70,MLIST!$B$12:$B$96,0),1)</f>
        <v>Municipal Water Supply</v>
      </c>
      <c r="E70" t="str">
        <f>INDEX(MLIST!$L$12:$L$96,MATCH($C70,MLIST!$B$12:$B$96,0),1)</f>
        <v>2013 EPA Flow rates</v>
      </c>
      <c r="F70" t="str">
        <f>INDEX(MLIST!$I$12:$I$96,MATCH($C70,MLIST!$B$12:$B$96,0),1)</f>
        <v>Non-Building</v>
      </c>
      <c r="H70" t="str">
        <f>INDEX(MLIST!$C$12:$C$96,MATCH($C70,MLIST!$B$12:$B$96,0),1)</f>
        <v>Retro</v>
      </c>
      <c r="I70" s="217">
        <f>INDEX(MLIST!$Q$12:$Q$96,MATCH($C70,MLIST!$B$12:$B$96,0),1)</f>
        <v>0</v>
      </c>
    </row>
    <row r="71" spans="1:9">
      <c r="A71" t="str">
        <f>INDEX(MLIST!$A$12:$B$96,MATCH(C71,MLIST!$B$12:$B$96,0),1)</f>
        <v>Process Loads</v>
      </c>
      <c r="B71" t="str">
        <f>INDEX(MLIST!$U$12:$U$96,MATCH(C71,MLIST!$B$12:$B$96,0),1)</f>
        <v>Process Loads System Controls</v>
      </c>
      <c r="C71" s="415" t="s">
        <v>483</v>
      </c>
      <c r="D71" t="str">
        <f>INDEX(MLIST!$H$12:$H$96,MATCH(C71,MLIST!$B$12:$B$96,0),1)</f>
        <v>Engine Generator Block Heaters</v>
      </c>
      <c r="E71" t="str">
        <f>INDEX(MLIST!$L$12:$L$96,MATCH($C71,MLIST!$B$12:$B$96,0),1)</f>
        <v>No Control</v>
      </c>
      <c r="F71" t="str">
        <f>INDEX(MLIST!$I$12:$I$96,MATCH($C71,MLIST!$B$12:$B$96,0),1)</f>
        <v>All</v>
      </c>
      <c r="H71" t="str">
        <f>INDEX(MLIST!$C$12:$C$96,MATCH($C71,MLIST!$B$12:$B$96,0),1)</f>
        <v>Retro</v>
      </c>
      <c r="I71" s="217" t="str">
        <f>INDEX(MLIST!$Q$12:$Q$96,MATCH($C71,MLIST!$B$12:$B$96,0),1)</f>
        <v>x</v>
      </c>
    </row>
    <row r="72" spans="1:9">
      <c r="A72" t="str">
        <f>INDEX(MLIST!$A$12:$B$96,MATCH(C72,MLIST!$B$12:$B$96,0),1)</f>
        <v>Refrigeration</v>
      </c>
      <c r="B72" t="str">
        <f>INDEX(MLIST!$U$12:$U$96,MATCH(C72,MLIST!$B$12:$B$96,0),1)</f>
        <v>Refrigeration System Improvements</v>
      </c>
      <c r="C72" t="s">
        <v>253</v>
      </c>
      <c r="D72" t="str">
        <f>INDEX(MLIST!$H$12:$H$96,MATCH(C72,MLIST!$B$12:$B$96,0),1)</f>
        <v>Grocery Refrigeration Bundle</v>
      </c>
      <c r="E72" t="str">
        <f>INDEX(MLIST!$L$12:$L$96,MATCH($C72,MLIST!$B$12:$B$96,0),1)</f>
        <v>CBSA 2014</v>
      </c>
      <c r="F72" t="str">
        <f>INDEX(MLIST!$I$12:$I$96,MATCH($C72,MLIST!$B$12:$B$96,0),1)</f>
        <v>Grocery</v>
      </c>
      <c r="H72" t="str">
        <f>INDEX(MLIST!$C$12:$C$96,MATCH($C72,MLIST!$B$12:$B$96,0),1)</f>
        <v>Retro</v>
      </c>
      <c r="I72" s="217">
        <f>INDEX(MLIST!$Q$12:$Q$96,MATCH($C72,MLIST!$B$12:$B$96,0),1)</f>
        <v>0</v>
      </c>
    </row>
    <row r="73" spans="1:9">
      <c r="A73" t="str">
        <f>INDEX(MLIST!$A$12:$B$96,MATCH(C73,MLIST!$B$12:$B$96,0),1)</f>
        <v>Refrigeration</v>
      </c>
      <c r="B73" t="str">
        <f>INDEX(MLIST!$U$12:$U$96,MATCH(C73,MLIST!$B$12:$B$96,0),1)</f>
        <v>Packaged Refrigeration</v>
      </c>
      <c r="C73" s="415" t="s">
        <v>53</v>
      </c>
      <c r="D73" t="str">
        <f>INDEX(MLIST!$H$12:$H$96,MATCH(C73,MLIST!$B$12:$B$96,0),1)</f>
        <v>Packaged Refrigeration Equipment</v>
      </c>
      <c r="E73" t="str">
        <f>INDEX(MLIST!$L$12:$L$96,MATCH($C73,MLIST!$B$12:$B$96,0),1)</f>
        <v>CBSA 2014</v>
      </c>
      <c r="F73" t="str">
        <f>INDEX(MLIST!$I$12:$I$96,MATCH($C73,MLIST!$B$12:$B$96,0),1)</f>
        <v>Grocery</v>
      </c>
      <c r="H73" t="str">
        <f>INDEX(MLIST!$C$12:$C$96,MATCH($C73,MLIST!$B$12:$B$96,0),1)</f>
        <v>New</v>
      </c>
      <c r="I73" s="217">
        <f>INDEX(MLIST!$Q$12:$Q$96,MATCH($C73,MLIST!$B$12:$B$96,0),1)</f>
        <v>0</v>
      </c>
    </row>
    <row r="74" spans="1:9">
      <c r="A74" t="str">
        <f>INDEX(MLIST!$A$12:$B$96,MATCH(C74,MLIST!$B$12:$B$96,0),1)</f>
        <v>Refrigeration</v>
      </c>
      <c r="B74" t="str">
        <f>INDEX(MLIST!$U$12:$U$96,MATCH(C74,MLIST!$B$12:$B$96,0),1)</f>
        <v>Refrigeration System Improvements</v>
      </c>
      <c r="C74" t="s">
        <v>465</v>
      </c>
      <c r="D74" t="str">
        <f>INDEX(MLIST!$H$12:$H$96,MATCH(C74,MLIST!$B$12:$B$96,0),1)</f>
        <v>Appliances - Freezers</v>
      </c>
      <c r="E74" t="str">
        <f>INDEX(MLIST!$L$12:$L$96,MATCH($C74,MLIST!$B$12:$B$96,0),1)</f>
        <v>Fed Std 2014</v>
      </c>
      <c r="F74" t="str">
        <f>INDEX(MLIST!$I$12:$I$96,MATCH($C74,MLIST!$B$12:$B$96,0),1)</f>
        <v>All</v>
      </c>
      <c r="H74" t="str">
        <f>INDEX(MLIST!$C$12:$C$96,MATCH($C74,MLIST!$B$12:$B$96,0),1)</f>
        <v>NR</v>
      </c>
      <c r="I74" s="217" t="str">
        <f>INDEX(MLIST!$Q$12:$Q$96,MATCH($C74,MLIST!$B$12:$B$96,0),1)</f>
        <v>x</v>
      </c>
    </row>
    <row r="75" spans="1:9">
      <c r="A75" t="str">
        <f>INDEX(MLIST!$A$12:$B$96,MATCH(C75,MLIST!$B$12:$B$96,0),1)</f>
        <v>Refrigeration</v>
      </c>
      <c r="B75" t="str">
        <f>INDEX(MLIST!$U$12:$U$96,MATCH(C75,MLIST!$B$12:$B$96,0),1)</f>
        <v>Refrigeration System Improvements</v>
      </c>
      <c r="C75" t="s">
        <v>466</v>
      </c>
      <c r="D75" t="str">
        <f>INDEX(MLIST!$H$12:$H$96,MATCH(C75,MLIST!$B$12:$B$96,0),1)</f>
        <v>Appliances - Refrigerators</v>
      </c>
      <c r="E75" t="str">
        <f>INDEX(MLIST!$L$12:$L$96,MATCH($C75,MLIST!$B$12:$B$96,0),1)</f>
        <v>Fed Std 2014</v>
      </c>
      <c r="F75" t="str">
        <f>INDEX(MLIST!$I$12:$I$96,MATCH($C75,MLIST!$B$12:$B$96,0),1)</f>
        <v>All</v>
      </c>
      <c r="H75" t="str">
        <f>INDEX(MLIST!$C$12:$C$96,MATCH($C75,MLIST!$B$12:$B$96,0),1)</f>
        <v>NR</v>
      </c>
      <c r="I75" s="217" t="str">
        <f>INDEX(MLIST!$Q$12:$Q$96,MATCH($C75,MLIST!$B$12:$B$96,0),1)</f>
        <v>x</v>
      </c>
    </row>
    <row r="76" spans="1:9">
      <c r="A76" t="str">
        <f>INDEX(MLIST!$A$12:$B$96,MATCH(C76,MLIST!$B$12:$B$96,0),1)</f>
        <v>Refrigeration</v>
      </c>
      <c r="B76" t="str">
        <f>INDEX(MLIST!$U$12:$U$96,MATCH(C76,MLIST!$B$12:$B$96,0),1)</f>
        <v>Refrigeration System Controls</v>
      </c>
      <c r="C76" t="s">
        <v>485</v>
      </c>
      <c r="D76" t="str">
        <f>INDEX(MLIST!$H$12:$H$96,MATCH(C76,MLIST!$B$12:$B$96,0),1)</f>
        <v>Water Cooler Controls</v>
      </c>
      <c r="E76" t="str">
        <f>INDEX(MLIST!$L$12:$L$96,MATCH($C76,MLIST!$B$12:$B$96,0),1)</f>
        <v>Uncontrolled</v>
      </c>
      <c r="F76" t="str">
        <f>INDEX(MLIST!$I$12:$I$96,MATCH($C76,MLIST!$B$12:$B$96,0),1)</f>
        <v>Some</v>
      </c>
      <c r="H76" t="str">
        <f>INDEX(MLIST!$C$12:$C$96,MATCH($C76,MLIST!$B$12:$B$96,0),1)</f>
        <v>NR</v>
      </c>
      <c r="I76" s="217" t="str">
        <f>INDEX(MLIST!$Q$12:$Q$96,MATCH($C76,MLIST!$B$12:$B$96,0),1)</f>
        <v>x</v>
      </c>
    </row>
    <row r="77" spans="1:9">
      <c r="A77" t="str">
        <f>INDEX(MLIST!$A$12:$B$96,MATCH(C77,MLIST!$B$12:$B$96,0),1)</f>
        <v>Water Heating</v>
      </c>
      <c r="B77" t="str">
        <f>INDEX(MLIST!$U$12:$U$96,MATCH(C77,MLIST!$B$12:$B$96,0),1)</f>
        <v>Water Using Devices</v>
      </c>
      <c r="C77" s="415" t="s">
        <v>944</v>
      </c>
      <c r="D77" t="str">
        <f>INDEX(MLIST!$H$12:$H$96,MATCH(C77,MLIST!$B$12:$B$96,0),1)</f>
        <v>DHW - Efficient Tanks</v>
      </c>
      <c r="E77" t="str">
        <f>INDEX(MLIST!$L$12:$L$96,MATCH($C77,MLIST!$B$12:$B$96,0),1)</f>
        <v>CBSA 2014</v>
      </c>
      <c r="F77" t="str">
        <f>INDEX(MLIST!$I$12:$I$96,MATCH($C77,MLIST!$B$12:$B$96,0),1)</f>
        <v>Some</v>
      </c>
      <c r="H77" t="str">
        <f>INDEX(MLIST!$C$12:$C$96,MATCH($C77,MLIST!$B$12:$B$96,0),1)</f>
        <v>New</v>
      </c>
      <c r="I77" s="217">
        <f>INDEX(MLIST!$Q$12:$Q$96,MATCH($C77,MLIST!$B$12:$B$96,0),1)</f>
        <v>0</v>
      </c>
    </row>
    <row r="78" spans="1:9">
      <c r="A78" t="str">
        <f>INDEX(MLIST!$A$12:$B$96,MATCH(C78,MLIST!$B$12:$B$96,0),1)</f>
        <v>Water Heating</v>
      </c>
      <c r="B78" t="str">
        <f>INDEX(MLIST!$U$12:$U$96,MATCH(C78,MLIST!$B$12:$B$96,0),1)</f>
        <v>Water Using Devices</v>
      </c>
      <c r="C78" t="s">
        <v>944</v>
      </c>
      <c r="D78" t="str">
        <f>INDEX(MLIST!$H$12:$H$96,MATCH(C78,MLIST!$B$12:$B$96,0),1)</f>
        <v>DHW - Efficient Tanks</v>
      </c>
      <c r="E78" t="str">
        <f>INDEX(MLIST!$L$12:$L$96,MATCH($C78,MLIST!$B$12:$B$96,0),1)</f>
        <v>CBSA 2014</v>
      </c>
      <c r="F78" t="str">
        <f>INDEX(MLIST!$I$12:$I$96,MATCH($C78,MLIST!$B$12:$B$96,0),1)</f>
        <v>Some</v>
      </c>
      <c r="H78" t="str">
        <f>INDEX(MLIST!$C$12:$C$96,MATCH($C78,MLIST!$B$12:$B$96,0),1)</f>
        <v>New</v>
      </c>
      <c r="I78" s="217">
        <f>INDEX(MLIST!$Q$12:$Q$96,MATCH($C78,MLIST!$B$12:$B$96,0),1)</f>
        <v>0</v>
      </c>
    </row>
    <row r="79" spans="1:9">
      <c r="A79" t="str">
        <f>INDEX(MLIST!$A$12:$B$96,MATCH(C79,MLIST!$B$12:$B$96,0),1)</f>
        <v>Water Heating</v>
      </c>
      <c r="B79" t="str">
        <f>INDEX(MLIST!$U$12:$U$96,MATCH(C79,MLIST!$B$12:$B$96,0),1)</f>
        <v>Water Using Devices</v>
      </c>
      <c r="C79" t="s">
        <v>464</v>
      </c>
      <c r="D79" t="str">
        <f>INDEX(MLIST!$H$12:$H$96,MATCH(C79,MLIST!$B$12:$B$96,0),1)</f>
        <v>Appliances - Clothes Washers</v>
      </c>
      <c r="E79" t="str">
        <f>INDEX(MLIST!$L$12:$L$96,MATCH($C79,MLIST!$B$12:$B$96,0),1)</f>
        <v>CBSA 2014</v>
      </c>
      <c r="F79" t="str">
        <f>INDEX(MLIST!$I$12:$I$96,MATCH($C79,MLIST!$B$12:$B$96,0),1)</f>
        <v>Some</v>
      </c>
      <c r="H79" t="str">
        <f>INDEX(MLIST!$C$12:$C$96,MATCH($C79,MLIST!$B$12:$B$96,0),1)</f>
        <v>NR</v>
      </c>
      <c r="I79" s="217" t="str">
        <f>INDEX(MLIST!$Q$12:$Q$96,MATCH($C79,MLIST!$B$12:$B$96,0),1)</f>
        <v>x</v>
      </c>
    </row>
    <row r="80" spans="1:9">
      <c r="A80" t="str">
        <f>INDEX(MLIST!$A$12:$B$96,MATCH(C80,MLIST!$B$12:$B$96,0),1)</f>
        <v>Water Heating</v>
      </c>
      <c r="B80" t="str">
        <f>INDEX(MLIST!$U$12:$U$96,MATCH(C80,MLIST!$B$12:$B$96,0),1)</f>
        <v>Water Using Devices</v>
      </c>
      <c r="C80" t="s">
        <v>644</v>
      </c>
      <c r="D80" t="str">
        <f>INDEX(MLIST!$H$12:$H$96,MATCH(C80,MLIST!$B$12:$B$96,0),1)</f>
        <v>DHW - Showerheads</v>
      </c>
      <c r="E80" t="str">
        <f>INDEX(MLIST!$L$12:$L$96,MATCH($C80,MLIST!$B$12:$B$96,0),1)</f>
        <v>2.5 GPM</v>
      </c>
      <c r="F80" t="str">
        <f>INDEX(MLIST!$I$12:$I$96,MATCH($C80,MLIST!$B$12:$B$96,0),1)</f>
        <v>Some</v>
      </c>
      <c r="H80" t="str">
        <f>INDEX(MLIST!$C$12:$C$96,MATCH($C80,MLIST!$B$12:$B$96,0),1)</f>
        <v>Retro</v>
      </c>
      <c r="I80" s="217" t="str">
        <f>INDEX(MLIST!$Q$12:$Q$96,MATCH($C80,MLIST!$B$12:$B$96,0),1)</f>
        <v>x</v>
      </c>
    </row>
    <row r="81" spans="1:9">
      <c r="A81" t="str">
        <f>INDEX(MLIST!$A$12:$B$96,MATCH(C81,MLIST!$B$12:$B$96,0),1)</f>
        <v>Water Heating</v>
      </c>
      <c r="B81" t="str">
        <f>INDEX(MLIST!$U$12:$U$96,MATCH(C81,MLIST!$B$12:$B$96,0),1)</f>
        <v>Water Using Devices</v>
      </c>
      <c r="C81" s="415" t="s">
        <v>473</v>
      </c>
      <c r="D81" t="str">
        <f>INDEX(MLIST!$H$12:$H$96,MATCH(C81,MLIST!$B$12:$B$96,0),1)</f>
        <v>Water Heating - GFHX</v>
      </c>
      <c r="E81" t="str">
        <f>INDEX(MLIST!$L$12:$L$96,MATCH($C81,MLIST!$B$12:$B$96,0),1)</f>
        <v>No Heat Recovery</v>
      </c>
      <c r="F81" t="str">
        <f>INDEX(MLIST!$I$12:$I$96,MATCH($C81,MLIST!$B$12:$B$96,0),1)</f>
        <v>All</v>
      </c>
      <c r="H81" t="str">
        <f>INDEX(MLIST!$C$12:$C$96,MATCH($C81,MLIST!$B$12:$B$96,0),1)</f>
        <v>New</v>
      </c>
      <c r="I81" s="217" t="str">
        <f>INDEX(MLIST!$Q$12:$Q$96,MATCH($C81,MLIST!$B$12:$B$96,0),1)</f>
        <v>x</v>
      </c>
    </row>
    <row r="82" spans="1:9">
      <c r="A82" t="str">
        <f>INDEX(MLIST!$A$12:$B$96,MATCH(C82,MLIST!$B$12:$B$96,0),1)</f>
        <v>Water Heating</v>
      </c>
      <c r="B82" t="str">
        <f>INDEX(MLIST!$U$12:$U$96,MATCH(C82,MLIST!$B$12:$B$96,0),1)</f>
        <v>Water Using Devices</v>
      </c>
      <c r="C82" s="415" t="s">
        <v>476</v>
      </c>
      <c r="D82" t="str">
        <f>INDEX(MLIST!$H$12:$H$96,MATCH(C82,MLIST!$B$12:$B$96,0),1)</f>
        <v>Demand Control Circulating system DHW</v>
      </c>
      <c r="E82" t="str">
        <f>INDEX(MLIST!$L$12:$L$96,MATCH($C82,MLIST!$B$12:$B$96,0),1)</f>
        <v>CBSA 2014</v>
      </c>
      <c r="F82" t="str">
        <f>INDEX(MLIST!$I$12:$I$96,MATCH($C82,MLIST!$B$12:$B$96,0),1)</f>
        <v>Some</v>
      </c>
      <c r="H82" t="str">
        <f>INDEX(MLIST!$C$12:$C$96,MATCH($C82,MLIST!$B$12:$B$96,0),1)</f>
        <v>Retro</v>
      </c>
      <c r="I82" s="217" t="str">
        <f>INDEX(MLIST!$Q$12:$Q$96,MATCH($C82,MLIST!$B$12:$B$96,0),1)</f>
        <v>x</v>
      </c>
    </row>
    <row r="83" spans="1:9">
      <c r="A83" t="str">
        <f>INDEX(MLIST!$A$12:$B$96,MATCH(C83,MLIST!$B$12:$B$96,0),1)</f>
        <v>Water Heating</v>
      </c>
      <c r="B83" t="str">
        <f>INDEX(MLIST!$U$12:$U$96,MATCH(C83,MLIST!$B$12:$B$96,0),1)</f>
        <v>Water Heaters</v>
      </c>
      <c r="C83" s="415" t="s">
        <v>486</v>
      </c>
      <c r="D83" t="str">
        <f>INDEX(MLIST!$H$12:$H$96,MATCH(C83,MLIST!$B$12:$B$96,0),1)</f>
        <v>Central HPWH MF</v>
      </c>
      <c r="E83" t="str">
        <f>INDEX(MLIST!$L$12:$L$96,MATCH($C83,MLIST!$B$12:$B$96,0),1)</f>
        <v>CBSA 2014</v>
      </c>
      <c r="F83" t="str">
        <f>INDEX(MLIST!$I$12:$I$96,MATCH($C83,MLIST!$B$12:$B$96,0),1)</f>
        <v>Multifamily</v>
      </c>
      <c r="H83" t="str">
        <f>INDEX(MLIST!$C$12:$C$96,MATCH($C83,MLIST!$B$12:$B$96,0),1)</f>
        <v>Retro</v>
      </c>
      <c r="I83" s="217" t="str">
        <f>INDEX(MLIST!$Q$12:$Q$96,MATCH($C83,MLIST!$B$12:$B$96,0),1)</f>
        <v>x</v>
      </c>
    </row>
    <row r="84" spans="1:9">
      <c r="A84" t="str">
        <f>INDEX(MLIST!$A$12:$B$96,MATCH(C84,MLIST!$B$12:$B$96,0),1)</f>
        <v>Whole Bldg/Meter Level</v>
      </c>
      <c r="B84" t="str">
        <f>INDEX(MLIST!$U$12:$U$96,MATCH(C84,MLIST!$B$12:$B$96,0),1)</f>
        <v>Whole Bldg/Meter Level System Improvements</v>
      </c>
      <c r="C84" t="s">
        <v>844</v>
      </c>
      <c r="D84" t="str">
        <f>INDEX(MLIST!$H$12:$H$96,MATCH(C84,MLIST!$B$12:$B$96,0),1)</f>
        <v>Ultra Low Energy Building</v>
      </c>
      <c r="E84" t="str">
        <f>INDEX(MLIST!$L$12:$L$96,MATCH($C84,MLIST!$B$12:$B$96,0),1)</f>
        <v>Code</v>
      </c>
      <c r="F84" t="str">
        <f>INDEX(MLIST!$I$12:$I$96,MATCH($C84,MLIST!$B$12:$B$96,0),1)</f>
        <v>Some</v>
      </c>
      <c r="H84" t="str">
        <f>INDEX(MLIST!$C$12:$C$96,MATCH($C84,MLIST!$B$12:$B$96,0),1)</f>
        <v>New</v>
      </c>
      <c r="I84" s="217">
        <f>INDEX(MLIST!$Q$12:$Q$96,MATCH($C84,MLIST!$B$12:$B$96,0),1)</f>
        <v>0</v>
      </c>
    </row>
    <row r="85" spans="1:9">
      <c r="A85" t="e">
        <f>INDEX(MLIST!$A$12:$B$114,MATCH(C85,MLIST!$B$12:$B$114,0),1)</f>
        <v>#N/A</v>
      </c>
      <c r="B85" t="e">
        <f>INDEX(MLIST!$U$12:$U$114,MATCH(C85,MLIST!$B$12:$B$114,0),1)</f>
        <v>#N/A</v>
      </c>
      <c r="C85" s="203" t="s">
        <v>952</v>
      </c>
      <c r="D85" t="e">
        <f>INDEX(MLIST!$H$12:$H$114,MATCH(C85,MLIST!$B$12:$B$114,0),1)</f>
        <v>#N/A</v>
      </c>
      <c r="E85" t="e">
        <f>INDEX(MLIST!$L$12:$L$114,MATCH($C85,MLIST!$B$12:$B$114,0),1)</f>
        <v>#N/A</v>
      </c>
      <c r="F85" t="e">
        <f>INDEX(MLIST!$I$12:$I$114,MATCH($C85,MLIST!$B$12:$B$114,0),1)</f>
        <v>#N/A</v>
      </c>
      <c r="H85" t="e">
        <f>INDEX(MLIST!$C$12:$C$114,MATCH($C85,MLIST!$B$12:$B$114,0),1)</f>
        <v>#N/A</v>
      </c>
      <c r="I85" s="217" t="e">
        <f>INDEX(MLIST!$Q$12:$Q$114,MATCH($C85,MLIST!$B$12:$B$114,0),1)</f>
        <v>#N/A</v>
      </c>
    </row>
  </sheetData>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sheetPr codeName="Sheet15"/>
  <dimension ref="A1:AB140"/>
  <sheetViews>
    <sheetView topLeftCell="D19" workbookViewId="0">
      <selection activeCell="I28" sqref="I28:J45"/>
    </sheetView>
  </sheetViews>
  <sheetFormatPr defaultRowHeight="12.75"/>
  <cols>
    <col min="1" max="1" width="21.5703125" customWidth="1"/>
    <col min="2" max="2" width="38.140625" customWidth="1"/>
    <col min="3" max="3" width="14.42578125" customWidth="1"/>
    <col min="4" max="4" width="10.85546875" customWidth="1"/>
    <col min="7" max="7" width="17" customWidth="1"/>
    <col min="8" max="8" width="16.42578125" customWidth="1"/>
    <col min="9" max="9" width="13.42578125" customWidth="1"/>
    <col min="10" max="10" width="16" customWidth="1"/>
    <col min="11" max="11" width="11.140625" customWidth="1"/>
    <col min="13" max="13" width="14.42578125" customWidth="1"/>
    <col min="14" max="14" width="13.5703125" customWidth="1"/>
    <col min="16" max="16" width="21.42578125" customWidth="1"/>
    <col min="19" max="19" width="14.140625" customWidth="1"/>
    <col min="20" max="20" width="11" customWidth="1"/>
    <col min="21" max="21" width="12" customWidth="1"/>
  </cols>
  <sheetData>
    <row r="1" spans="1:20">
      <c r="A1" s="511" t="s">
        <v>933</v>
      </c>
      <c r="B1" s="511"/>
      <c r="C1" s="218" t="s">
        <v>256</v>
      </c>
    </row>
    <row r="2" spans="1:20">
      <c r="B2" s="481" t="s">
        <v>905</v>
      </c>
      <c r="C2" s="481" t="s">
        <v>256</v>
      </c>
      <c r="D2" s="481" t="s">
        <v>256</v>
      </c>
      <c r="E2" s="481" t="s">
        <v>256</v>
      </c>
      <c r="F2" s="481" t="s">
        <v>748</v>
      </c>
      <c r="G2" s="481" t="s">
        <v>748</v>
      </c>
      <c r="H2" s="481" t="s">
        <v>748</v>
      </c>
      <c r="I2" s="481" t="s">
        <v>748</v>
      </c>
      <c r="J2" s="481" t="s">
        <v>725</v>
      </c>
      <c r="K2" s="481" t="s">
        <v>273</v>
      </c>
      <c r="L2" s="481" t="s">
        <v>264</v>
      </c>
      <c r="M2" s="481" t="s">
        <v>265</v>
      </c>
      <c r="N2" s="481" t="s">
        <v>265</v>
      </c>
      <c r="O2" s="481" t="s">
        <v>266</v>
      </c>
      <c r="P2" s="481" t="s">
        <v>267</v>
      </c>
      <c r="Q2" s="481" t="s">
        <v>268</v>
      </c>
      <c r="R2" s="481" t="s">
        <v>726</v>
      </c>
      <c r="S2" s="481" t="s">
        <v>311</v>
      </c>
      <c r="T2" s="481" t="s">
        <v>272</v>
      </c>
    </row>
    <row r="3" spans="1:20">
      <c r="B3" s="481"/>
      <c r="C3" s="481" t="s">
        <v>274</v>
      </c>
      <c r="D3" s="481" t="s">
        <v>275</v>
      </c>
      <c r="E3" s="481" t="s">
        <v>276</v>
      </c>
      <c r="F3" s="481" t="s">
        <v>721</v>
      </c>
      <c r="G3" s="481" t="s">
        <v>722</v>
      </c>
      <c r="H3" s="481" t="s">
        <v>723</v>
      </c>
      <c r="I3" s="481" t="s">
        <v>724</v>
      </c>
      <c r="J3" s="481" t="s">
        <v>725</v>
      </c>
      <c r="K3" s="481" t="s">
        <v>273</v>
      </c>
      <c r="L3" s="481" t="s">
        <v>264</v>
      </c>
      <c r="M3" s="481" t="s">
        <v>278</v>
      </c>
      <c r="N3" s="481" t="s">
        <v>446</v>
      </c>
      <c r="O3" s="481" t="s">
        <v>266</v>
      </c>
      <c r="P3" s="481" t="s">
        <v>267</v>
      </c>
      <c r="Q3" s="481" t="s">
        <v>268</v>
      </c>
      <c r="R3" s="481" t="s">
        <v>726</v>
      </c>
      <c r="S3" s="481" t="s">
        <v>311</v>
      </c>
      <c r="T3" s="481" t="s">
        <v>272</v>
      </c>
    </row>
    <row r="4" spans="1:20">
      <c r="B4" s="440" t="s">
        <v>775</v>
      </c>
      <c r="C4" s="360">
        <f>INDEX($K$28:$N$45,MATCH(C$3,$I$28:$I$45,0),MATCH($B4,$K$27:$M$27,0))</f>
        <v>0.20943280302167308</v>
      </c>
      <c r="D4" s="360">
        <f t="shared" ref="C4:L6" si="0">INDEX($K$28:$N$45,MATCH(D$3,$I$28:$I$45,0),MATCH($B4,$K$27:$M$27,0))</f>
        <v>0.22131165109110185</v>
      </c>
      <c r="E4" s="360">
        <f t="shared" si="0"/>
        <v>0.30640942705415353</v>
      </c>
      <c r="F4" s="360">
        <f t="shared" si="0"/>
        <v>5.2995881766435368E-2</v>
      </c>
      <c r="G4" s="360">
        <f t="shared" si="0"/>
        <v>1.0593107738682607E-2</v>
      </c>
      <c r="H4" s="360">
        <f t="shared" si="0"/>
        <v>0.12006240959495594</v>
      </c>
      <c r="I4" s="360">
        <f t="shared" si="0"/>
        <v>0.2732917310450087</v>
      </c>
      <c r="J4" s="360">
        <f t="shared" si="0"/>
        <v>5.8369343906151915E-2</v>
      </c>
      <c r="K4" s="360">
        <f t="shared" si="0"/>
        <v>5.8369343906151915E-2</v>
      </c>
      <c r="L4" s="360">
        <f t="shared" si="0"/>
        <v>6.3929137015483993E-3</v>
      </c>
      <c r="M4" s="360">
        <f t="shared" ref="M4:T6" si="1">INDEX($K$28:$N$45,MATCH(M$3,$I$28:$I$45,0),MATCH($B4,$K$27:$M$27,0))</f>
        <v>3.9182634298973458E-2</v>
      </c>
      <c r="N4" s="360">
        <f t="shared" si="1"/>
        <v>9.8940421863423066E-3</v>
      </c>
      <c r="O4" s="360">
        <f t="shared" si="1"/>
        <v>3.0050555941853869E-2</v>
      </c>
      <c r="P4" s="360">
        <f t="shared" si="1"/>
        <v>0.44679184687802564</v>
      </c>
      <c r="Q4" s="360">
        <f t="shared" si="1"/>
        <v>0.33985691133471541</v>
      </c>
      <c r="R4" s="360">
        <f t="shared" si="1"/>
        <v>0.33985691133471541</v>
      </c>
      <c r="S4" s="360">
        <f t="shared" si="1"/>
        <v>0.10640191237323121</v>
      </c>
      <c r="T4" s="360">
        <f t="shared" si="1"/>
        <v>0.16939513747697868</v>
      </c>
    </row>
    <row r="5" spans="1:20">
      <c r="B5" s="440" t="s">
        <v>221</v>
      </c>
      <c r="C5" s="360">
        <f t="shared" si="0"/>
        <v>0.54037060186620078</v>
      </c>
      <c r="D5" s="360">
        <f t="shared" si="0"/>
        <v>0.51430081857580845</v>
      </c>
      <c r="E5" s="360">
        <f t="shared" si="0"/>
        <v>0.3275419203320854</v>
      </c>
      <c r="F5" s="360">
        <f t="shared" si="0"/>
        <v>0.91606730000738101</v>
      </c>
      <c r="G5" s="360">
        <f t="shared" si="0"/>
        <v>0.98322307122393326</v>
      </c>
      <c r="H5" s="360">
        <f t="shared" si="0"/>
        <v>0.80985008893074606</v>
      </c>
      <c r="I5" s="360">
        <f t="shared" si="0"/>
        <v>0.56717178566142912</v>
      </c>
      <c r="J5" s="360">
        <f t="shared" si="0"/>
        <v>0.84777782221188291</v>
      </c>
      <c r="K5" s="360">
        <f t="shared" si="0"/>
        <v>0.84777782221188291</v>
      </c>
      <c r="L5" s="360">
        <f t="shared" si="0"/>
        <v>0.98700382329725422</v>
      </c>
      <c r="M5" s="360">
        <f t="shared" si="1"/>
        <v>0.46957192737561176</v>
      </c>
      <c r="N5" s="360">
        <f t="shared" si="1"/>
        <v>0.86606113087441317</v>
      </c>
      <c r="O5" s="360">
        <f t="shared" si="1"/>
        <v>0.79365284945968273</v>
      </c>
      <c r="P5" s="360">
        <f t="shared" si="1"/>
        <v>0.24941748529786834</v>
      </c>
      <c r="Q5" s="360">
        <f t="shared" si="1"/>
        <v>0.40556621261939335</v>
      </c>
      <c r="R5" s="360">
        <f t="shared" si="1"/>
        <v>0.40556621261939335</v>
      </c>
      <c r="S5" s="360">
        <f t="shared" si="1"/>
        <v>0.77815390025512432</v>
      </c>
      <c r="T5" s="360">
        <f t="shared" si="1"/>
        <v>0.7257160432726234</v>
      </c>
    </row>
    <row r="6" spans="1:20">
      <c r="B6" s="440" t="s">
        <v>222</v>
      </c>
      <c r="C6" s="360">
        <f t="shared" si="0"/>
        <v>0.25019659511212627</v>
      </c>
      <c r="D6" s="360">
        <f t="shared" si="0"/>
        <v>0.26438753033308959</v>
      </c>
      <c r="E6" s="360">
        <f t="shared" si="0"/>
        <v>0.36604865261376096</v>
      </c>
      <c r="F6" s="360">
        <f t="shared" si="0"/>
        <v>3.0936818226183656E-2</v>
      </c>
      <c r="G6" s="360">
        <f t="shared" si="0"/>
        <v>6.1838210373840949E-3</v>
      </c>
      <c r="H6" s="360">
        <f t="shared" si="0"/>
        <v>7.0087501474297986E-2</v>
      </c>
      <c r="I6" s="360">
        <f t="shared" si="0"/>
        <v>0.15953648329356207</v>
      </c>
      <c r="J6" s="360">
        <f t="shared" si="0"/>
        <v>9.3852833881965178E-2</v>
      </c>
      <c r="K6" s="360">
        <f t="shared" si="0"/>
        <v>9.3852833881965178E-2</v>
      </c>
      <c r="L6" s="360">
        <f t="shared" si="0"/>
        <v>6.6032630011973147E-3</v>
      </c>
      <c r="M6" s="360">
        <f t="shared" si="1"/>
        <v>6.234756715808213E-2</v>
      </c>
      <c r="N6" s="360">
        <f t="shared" si="1"/>
        <v>1.5743440192688529E-2</v>
      </c>
      <c r="O6" s="360">
        <f t="shared" si="1"/>
        <v>0.17629659459846331</v>
      </c>
      <c r="P6" s="360">
        <f t="shared" si="1"/>
        <v>0.30379066782410608</v>
      </c>
      <c r="Q6" s="360">
        <f t="shared" si="1"/>
        <v>0.25457687604589124</v>
      </c>
      <c r="R6" s="360">
        <f t="shared" si="1"/>
        <v>0.25457687604589124</v>
      </c>
      <c r="S6" s="360">
        <f t="shared" si="1"/>
        <v>0.11544418737164447</v>
      </c>
      <c r="T6" s="360">
        <f t="shared" si="1"/>
        <v>0.104888819250398</v>
      </c>
    </row>
    <row r="7" spans="1:20">
      <c r="B7" s="272"/>
      <c r="C7" s="86"/>
      <c r="D7" s="86"/>
      <c r="E7" s="86"/>
      <c r="F7" s="86"/>
      <c r="G7" s="86"/>
      <c r="H7" s="86"/>
      <c r="I7" s="86"/>
      <c r="J7" s="86"/>
      <c r="K7" s="86"/>
      <c r="L7" s="86"/>
      <c r="M7" s="86"/>
      <c r="N7" s="86"/>
      <c r="O7" s="86"/>
      <c r="P7" s="86"/>
      <c r="Q7" s="86"/>
      <c r="R7" s="86"/>
      <c r="S7" s="86"/>
      <c r="T7" s="86"/>
    </row>
    <row r="8" spans="1:20">
      <c r="B8" s="272"/>
      <c r="C8" s="86"/>
      <c r="D8" s="86"/>
      <c r="E8" s="86"/>
      <c r="F8" s="86"/>
      <c r="G8" s="86"/>
      <c r="H8" s="86"/>
      <c r="I8" s="86"/>
      <c r="J8" s="86"/>
      <c r="K8" s="86"/>
      <c r="L8" s="86"/>
      <c r="M8" s="86"/>
      <c r="N8" s="86"/>
      <c r="O8" s="86"/>
      <c r="P8" s="86"/>
      <c r="Q8" s="86"/>
      <c r="R8" s="86"/>
      <c r="S8" s="86"/>
      <c r="T8" s="86"/>
    </row>
    <row r="9" spans="1:20" ht="30.75" customHeight="1">
      <c r="B9" s="241" t="s">
        <v>770</v>
      </c>
      <c r="C9" s="241" t="s">
        <v>771</v>
      </c>
      <c r="D9" s="241"/>
      <c r="E9" s="241"/>
      <c r="H9" t="s">
        <v>774</v>
      </c>
    </row>
    <row r="10" spans="1:20" ht="26.25">
      <c r="B10" s="241" t="s">
        <v>731</v>
      </c>
      <c r="C10" s="241" t="s">
        <v>772</v>
      </c>
      <c r="D10" s="241" t="s">
        <v>773</v>
      </c>
      <c r="E10" s="241" t="s">
        <v>747</v>
      </c>
      <c r="H10" s="359" t="s">
        <v>775</v>
      </c>
      <c r="I10" s="359" t="s">
        <v>222</v>
      </c>
      <c r="J10" s="359"/>
      <c r="L10" s="363" t="s">
        <v>775</v>
      </c>
      <c r="M10" s="362" t="s">
        <v>221</v>
      </c>
      <c r="N10" s="362" t="s">
        <v>222</v>
      </c>
      <c r="O10" s="362" t="s">
        <v>776</v>
      </c>
    </row>
    <row r="11" spans="1:20">
      <c r="B11" t="s">
        <v>311</v>
      </c>
      <c r="C11" s="34">
        <v>0.22184609974487568</v>
      </c>
      <c r="D11" s="34">
        <v>0.77815390025512432</v>
      </c>
      <c r="E11" s="34">
        <v>1</v>
      </c>
      <c r="G11" s="34" t="s">
        <v>311</v>
      </c>
      <c r="H11" s="360">
        <f>K115</f>
        <v>0.47962038771740423</v>
      </c>
      <c r="I11" s="360">
        <f>D115</f>
        <v>0.52037961228259577</v>
      </c>
      <c r="J11" s="361">
        <v>1</v>
      </c>
      <c r="L11" s="34">
        <f>H11*C11</f>
        <v>0.10640191237323121</v>
      </c>
      <c r="M11" s="34">
        <f>D11</f>
        <v>0.77815390025512432</v>
      </c>
      <c r="N11" s="34">
        <f>I11*C11</f>
        <v>0.11544418737164447</v>
      </c>
      <c r="O11" s="34">
        <f>SUM(L11:N11)</f>
        <v>1</v>
      </c>
    </row>
    <row r="12" spans="1:20">
      <c r="B12" t="s">
        <v>265</v>
      </c>
      <c r="C12" s="34">
        <v>0.19141181754336017</v>
      </c>
      <c r="D12" s="34">
        <v>0.80858818245663977</v>
      </c>
      <c r="E12" s="34">
        <v>1</v>
      </c>
      <c r="G12" s="34" t="s">
        <v>265</v>
      </c>
      <c r="H12" s="360">
        <f t="shared" ref="H12:H21" si="2">K116</f>
        <v>0.38592097461312147</v>
      </c>
      <c r="I12" s="360">
        <f t="shared" ref="I12:I21" si="3">D116</f>
        <v>0.61407902538687853</v>
      </c>
      <c r="J12" s="361">
        <v>1</v>
      </c>
      <c r="L12" s="34">
        <f t="shared" ref="L12:L21" si="4">H12*C12</f>
        <v>7.3869835178802537E-2</v>
      </c>
      <c r="M12" s="34">
        <f t="shared" ref="M12:M21" si="5">D12</f>
        <v>0.80858818245663977</v>
      </c>
      <c r="N12" s="34">
        <f t="shared" ref="N12:N21" si="6">I12*C12</f>
        <v>0.11754198236455764</v>
      </c>
      <c r="O12" s="34">
        <f t="shared" ref="O12:O21" si="7">SUM(L12:N12)</f>
        <v>0.99999999999999989</v>
      </c>
    </row>
    <row r="13" spans="1:20">
      <c r="B13" t="s">
        <v>267</v>
      </c>
      <c r="C13" s="34">
        <v>0.75058251470213166</v>
      </c>
      <c r="D13" s="34">
        <v>0.24941748529786834</v>
      </c>
      <c r="E13" s="34">
        <v>1</v>
      </c>
      <c r="G13" s="34" t="s">
        <v>267</v>
      </c>
      <c r="H13" s="360">
        <f t="shared" si="2"/>
        <v>0.59526013213262075</v>
      </c>
      <c r="I13" s="360">
        <f t="shared" si="3"/>
        <v>0.40473986786737931</v>
      </c>
      <c r="J13" s="361">
        <v>1</v>
      </c>
      <c r="L13" s="34">
        <f t="shared" si="4"/>
        <v>0.44679184687802564</v>
      </c>
      <c r="M13" s="34">
        <f t="shared" si="5"/>
        <v>0.24941748529786834</v>
      </c>
      <c r="N13" s="34">
        <f t="shared" si="6"/>
        <v>0.30379066782410608</v>
      </c>
      <c r="O13" s="34">
        <f t="shared" si="7"/>
        <v>1</v>
      </c>
    </row>
    <row r="14" spans="1:20">
      <c r="A14" s="218"/>
      <c r="B14" t="s">
        <v>256</v>
      </c>
      <c r="C14" s="34">
        <v>0.51635908187299928</v>
      </c>
      <c r="D14" s="34">
        <v>0.48364091812700072</v>
      </c>
      <c r="E14" s="34">
        <v>1</v>
      </c>
      <c r="G14" s="34" t="s">
        <v>256</v>
      </c>
      <c r="H14" s="360">
        <f t="shared" si="2"/>
        <v>0.45565580415878149</v>
      </c>
      <c r="I14" s="360">
        <f t="shared" si="3"/>
        <v>0.54434419584121851</v>
      </c>
      <c r="J14" s="361">
        <v>1</v>
      </c>
      <c r="L14" s="34">
        <f t="shared" si="4"/>
        <v>0.23528201268553159</v>
      </c>
      <c r="M14" s="34">
        <f t="shared" si="5"/>
        <v>0.48364091812700072</v>
      </c>
      <c r="N14" s="34">
        <f t="shared" si="6"/>
        <v>0.28107706918746772</v>
      </c>
      <c r="O14" s="34">
        <f t="shared" si="7"/>
        <v>1</v>
      </c>
    </row>
    <row r="15" spans="1:20">
      <c r="B15" t="s">
        <v>272</v>
      </c>
      <c r="C15" s="34">
        <v>0.27428395672737665</v>
      </c>
      <c r="D15" s="34">
        <v>0.7257160432726234</v>
      </c>
      <c r="E15" s="34">
        <v>1</v>
      </c>
      <c r="G15" s="34" t="s">
        <v>272</v>
      </c>
      <c r="H15" s="360">
        <f t="shared" si="2"/>
        <v>0.6175903960921354</v>
      </c>
      <c r="I15" s="360">
        <f t="shared" si="3"/>
        <v>0.38240960390786466</v>
      </c>
      <c r="J15" s="361">
        <v>1</v>
      </c>
      <c r="L15" s="34">
        <f t="shared" si="4"/>
        <v>0.16939513747697868</v>
      </c>
      <c r="M15" s="34">
        <f t="shared" si="5"/>
        <v>0.7257160432726234</v>
      </c>
      <c r="N15" s="34">
        <f t="shared" si="6"/>
        <v>0.104888819250398</v>
      </c>
      <c r="O15" s="34">
        <f t="shared" si="7"/>
        <v>1</v>
      </c>
    </row>
    <row r="16" spans="1:20">
      <c r="B16" t="s">
        <v>726</v>
      </c>
      <c r="C16" s="34">
        <v>0.59443378738060659</v>
      </c>
      <c r="D16" s="34">
        <v>0.40556621261939335</v>
      </c>
      <c r="E16" s="34">
        <v>1</v>
      </c>
      <c r="G16" s="34" t="s">
        <v>726</v>
      </c>
      <c r="H16" s="360">
        <f t="shared" si="2"/>
        <v>0.57173215680136025</v>
      </c>
      <c r="I16" s="360">
        <f t="shared" si="3"/>
        <v>0.42826784319863981</v>
      </c>
      <c r="J16" s="361">
        <v>1</v>
      </c>
      <c r="L16" s="34">
        <f t="shared" si="4"/>
        <v>0.33985691133471541</v>
      </c>
      <c r="M16" s="34">
        <f t="shared" si="5"/>
        <v>0.40556621261939335</v>
      </c>
      <c r="N16" s="34">
        <f t="shared" si="6"/>
        <v>0.25457687604589124</v>
      </c>
      <c r="O16" s="34">
        <f t="shared" si="7"/>
        <v>1</v>
      </c>
    </row>
    <row r="17" spans="1:17">
      <c r="B17" t="s">
        <v>266</v>
      </c>
      <c r="C17" s="34">
        <v>0.20634715054031719</v>
      </c>
      <c r="D17" s="34">
        <v>0.79365284945968273</v>
      </c>
      <c r="E17" s="34">
        <v>1</v>
      </c>
      <c r="G17" s="34" t="s">
        <v>266</v>
      </c>
      <c r="H17" s="360">
        <f t="shared" si="2"/>
        <v>0.1456310681449533</v>
      </c>
      <c r="I17" s="360">
        <f t="shared" si="3"/>
        <v>0.8543689318550467</v>
      </c>
      <c r="J17" s="361">
        <v>1</v>
      </c>
      <c r="L17" s="34">
        <f t="shared" si="4"/>
        <v>3.0050555941853869E-2</v>
      </c>
      <c r="M17" s="34">
        <f t="shared" si="5"/>
        <v>0.79365284945968273</v>
      </c>
      <c r="N17" s="34">
        <f t="shared" si="6"/>
        <v>0.17629659459846331</v>
      </c>
      <c r="O17" s="34">
        <f t="shared" si="7"/>
        <v>1</v>
      </c>
    </row>
    <row r="18" spans="1:17">
      <c r="A18" s="218"/>
      <c r="B18" t="s">
        <v>748</v>
      </c>
      <c r="C18" s="34">
        <v>0.17516537112508487</v>
      </c>
      <c r="D18" s="34">
        <v>0.8248346288749151</v>
      </c>
      <c r="E18" s="34">
        <v>1</v>
      </c>
      <c r="G18" s="34" t="s">
        <v>748</v>
      </c>
      <c r="H18" s="360">
        <f t="shared" si="2"/>
        <v>0.63140923348225164</v>
      </c>
      <c r="I18" s="360">
        <f t="shared" si="3"/>
        <v>0.3685907665177483</v>
      </c>
      <c r="J18" s="361">
        <v>1</v>
      </c>
      <c r="L18" s="34">
        <f t="shared" si="4"/>
        <v>0.11060103271472398</v>
      </c>
      <c r="M18" s="34">
        <f t="shared" si="5"/>
        <v>0.8248346288749151</v>
      </c>
      <c r="N18" s="34">
        <f t="shared" si="6"/>
        <v>6.4564338410360883E-2</v>
      </c>
      <c r="O18" s="34">
        <f t="shared" si="7"/>
        <v>1</v>
      </c>
    </row>
    <row r="19" spans="1:17">
      <c r="B19" t="s">
        <v>725</v>
      </c>
      <c r="C19" s="34">
        <v>0.15222217778811709</v>
      </c>
      <c r="D19" s="34">
        <v>0.84777782221188291</v>
      </c>
      <c r="E19" s="34">
        <v>1</v>
      </c>
      <c r="G19" s="34" t="s">
        <v>725</v>
      </c>
      <c r="H19" s="360">
        <f t="shared" si="2"/>
        <v>0.38344835656863396</v>
      </c>
      <c r="I19" s="360">
        <f t="shared" si="3"/>
        <v>0.61655164343136604</v>
      </c>
      <c r="J19" s="361">
        <v>1</v>
      </c>
      <c r="L19" s="34">
        <f t="shared" si="4"/>
        <v>5.8369343906151915E-2</v>
      </c>
      <c r="M19" s="34">
        <f t="shared" si="5"/>
        <v>0.84777782221188291</v>
      </c>
      <c r="N19" s="34">
        <f t="shared" si="6"/>
        <v>9.3852833881965178E-2</v>
      </c>
      <c r="O19" s="34">
        <f t="shared" si="7"/>
        <v>1</v>
      </c>
    </row>
    <row r="20" spans="1:17">
      <c r="B20" t="s">
        <v>264</v>
      </c>
      <c r="C20" s="34">
        <v>1.2996176702745714E-2</v>
      </c>
      <c r="D20" s="34">
        <v>0.98700382329725422</v>
      </c>
      <c r="E20" s="34">
        <v>1</v>
      </c>
      <c r="G20" s="34" t="s">
        <v>264</v>
      </c>
      <c r="H20" s="360">
        <f t="shared" si="2"/>
        <v>0.49190726224873216</v>
      </c>
      <c r="I20" s="360">
        <f t="shared" si="3"/>
        <v>0.50809273775126784</v>
      </c>
      <c r="J20" s="361">
        <v>1</v>
      </c>
      <c r="L20" s="34">
        <f t="shared" si="4"/>
        <v>6.3929137015483993E-3</v>
      </c>
      <c r="M20" s="34">
        <f t="shared" si="5"/>
        <v>0.98700382329725422</v>
      </c>
      <c r="N20" s="34">
        <f t="shared" si="6"/>
        <v>6.6032630011973147E-3</v>
      </c>
      <c r="O20" s="34">
        <f t="shared" si="7"/>
        <v>0.99999999999999989</v>
      </c>
    </row>
    <row r="21" spans="1:17">
      <c r="B21" t="s">
        <v>747</v>
      </c>
      <c r="C21" s="34">
        <v>0.31549365790667433</v>
      </c>
      <c r="D21" s="34">
        <v>0.68450634209332561</v>
      </c>
      <c r="E21" s="34">
        <v>1</v>
      </c>
      <c r="G21" s="34" t="s">
        <v>747</v>
      </c>
      <c r="H21" s="360">
        <f t="shared" si="2"/>
        <v>0.51592151636315642</v>
      </c>
      <c r="I21" s="360">
        <f t="shared" si="3"/>
        <v>0.48407848363684358</v>
      </c>
      <c r="J21" s="361">
        <v>1</v>
      </c>
      <c r="L21" s="34">
        <f t="shared" si="4"/>
        <v>0.16276996639017036</v>
      </c>
      <c r="M21" s="34">
        <f t="shared" si="5"/>
        <v>0.68450634209332561</v>
      </c>
      <c r="N21" s="34">
        <f t="shared" si="6"/>
        <v>0.15272369151650397</v>
      </c>
      <c r="O21" s="34">
        <f t="shared" si="7"/>
        <v>1</v>
      </c>
    </row>
    <row r="22" spans="1:17">
      <c r="A22" s="218"/>
    </row>
    <row r="25" spans="1:17">
      <c r="B25" s="379" t="s">
        <v>782</v>
      </c>
    </row>
    <row r="26" spans="1:17">
      <c r="A26" s="516" t="s">
        <v>783</v>
      </c>
    </row>
    <row r="27" spans="1:17" ht="15">
      <c r="A27" s="379"/>
      <c r="B27" s="271" t="s">
        <v>802</v>
      </c>
      <c r="C27" s="218" t="s">
        <v>784</v>
      </c>
      <c r="G27" s="218" t="s">
        <v>805</v>
      </c>
      <c r="K27" s="363" t="s">
        <v>775</v>
      </c>
      <c r="L27" s="362" t="s">
        <v>221</v>
      </c>
      <c r="M27" s="362" t="s">
        <v>222</v>
      </c>
      <c r="N27" s="362" t="s">
        <v>776</v>
      </c>
      <c r="P27" s="362" t="s">
        <v>806</v>
      </c>
      <c r="Q27" s="362"/>
    </row>
    <row r="28" spans="1:17">
      <c r="A28" s="379" t="s">
        <v>311</v>
      </c>
      <c r="B28" s="380">
        <v>0.13911514778937467</v>
      </c>
      <c r="C28" s="32">
        <v>0.27379566641599334</v>
      </c>
      <c r="G28" s="218" t="s">
        <v>800</v>
      </c>
      <c r="I28" s="288" t="s">
        <v>274</v>
      </c>
      <c r="J28" s="344" t="s">
        <v>751</v>
      </c>
      <c r="K28" s="353">
        <f>O70*$H$14</f>
        <v>0.20943280302167308</v>
      </c>
      <c r="L28" s="387">
        <f>P70</f>
        <v>0.54037060186620078</v>
      </c>
      <c r="M28" s="353">
        <f>O70*$I$14</f>
        <v>0.25019659511212627</v>
      </c>
      <c r="N28" s="387">
        <f>SUM(K28:M28)</f>
        <v>1.0000000000000002</v>
      </c>
      <c r="P28" s="34">
        <f>W70</f>
        <v>0.72977881629252517</v>
      </c>
    </row>
    <row r="29" spans="1:17">
      <c r="A29" s="379" t="s">
        <v>265</v>
      </c>
      <c r="B29" s="380">
        <v>0</v>
      </c>
      <c r="C29" s="32">
        <v>0.20656505403266429</v>
      </c>
      <c r="G29" s="218" t="s">
        <v>801</v>
      </c>
      <c r="I29" s="289" t="s">
        <v>275</v>
      </c>
      <c r="J29" s="345" t="s">
        <v>753</v>
      </c>
      <c r="K29" s="353">
        <f>O71*$H$14</f>
        <v>0.22131165109110185</v>
      </c>
      <c r="L29" s="387">
        <f>P71</f>
        <v>0.51430081857580845</v>
      </c>
      <c r="M29" s="353">
        <f>O71*$I$14</f>
        <v>0.26438753033308959</v>
      </c>
      <c r="N29" s="387">
        <f t="shared" ref="N29:N45" si="8">SUM(K29:M29)</f>
        <v>0.99999999999999989</v>
      </c>
      <c r="P29" s="34">
        <f>W71</f>
        <v>0.46635610541382266</v>
      </c>
    </row>
    <row r="30" spans="1:17">
      <c r="A30" s="379" t="s">
        <v>268</v>
      </c>
      <c r="B30" s="381">
        <v>0.53</v>
      </c>
      <c r="C30" s="32">
        <v>0.53</v>
      </c>
      <c r="I30" s="272" t="s">
        <v>276</v>
      </c>
      <c r="J30" s="345" t="s">
        <v>752</v>
      </c>
      <c r="K30" s="353">
        <f>O72*$H$14</f>
        <v>0.30640942705415353</v>
      </c>
      <c r="L30" s="387">
        <f>P72</f>
        <v>0.3275419203320854</v>
      </c>
      <c r="M30" s="353">
        <f>O72*$I$14</f>
        <v>0.36604865261376096</v>
      </c>
      <c r="N30" s="387">
        <f t="shared" si="8"/>
        <v>0.99999999999999989</v>
      </c>
      <c r="P30" s="34">
        <f>W72</f>
        <v>0.18010901567330029</v>
      </c>
    </row>
    <row r="31" spans="1:17">
      <c r="A31" s="379" t="s">
        <v>267</v>
      </c>
      <c r="B31" s="380">
        <v>5.6924185465057203E-2</v>
      </c>
      <c r="C31" s="32">
        <v>0.68482020855141457</v>
      </c>
      <c r="I31" s="272" t="s">
        <v>721</v>
      </c>
      <c r="J31" s="345" t="s">
        <v>754</v>
      </c>
      <c r="K31" s="353">
        <f>O87*$H$18</f>
        <v>5.2995881766435368E-2</v>
      </c>
      <c r="L31" s="387">
        <f>P87</f>
        <v>0.91606730000738101</v>
      </c>
      <c r="M31" s="353">
        <f>O87*$I$18</f>
        <v>3.0936818226183656E-2</v>
      </c>
      <c r="N31" s="387">
        <f t="shared" si="8"/>
        <v>1</v>
      </c>
      <c r="P31" s="34">
        <f>C36</f>
        <v>0.2530928144049488</v>
      </c>
    </row>
    <row r="32" spans="1:17">
      <c r="A32" s="379" t="s">
        <v>256</v>
      </c>
      <c r="B32" s="380">
        <v>0.25506362599984067</v>
      </c>
      <c r="C32" s="32">
        <v>0.37830047353246543</v>
      </c>
      <c r="I32" s="272" t="s">
        <v>722</v>
      </c>
      <c r="J32" s="345" t="s">
        <v>755</v>
      </c>
      <c r="K32" s="353">
        <f>O88*$H$18</f>
        <v>1.0593107738682607E-2</v>
      </c>
      <c r="L32" s="387">
        <f>P88</f>
        <v>0.98322307122393326</v>
      </c>
      <c r="M32" s="353">
        <f>O88*$I$18</f>
        <v>6.1838210373840949E-3</v>
      </c>
      <c r="N32" s="387">
        <f t="shared" si="8"/>
        <v>1</v>
      </c>
      <c r="P32" s="34">
        <f>P31</f>
        <v>0.2530928144049488</v>
      </c>
    </row>
    <row r="33" spans="1:16">
      <c r="A33" s="379" t="s">
        <v>272</v>
      </c>
      <c r="B33" s="380">
        <v>0.16716328428783481</v>
      </c>
      <c r="C33" s="32">
        <v>0.46120223430256424</v>
      </c>
      <c r="I33" s="272" t="s">
        <v>723</v>
      </c>
      <c r="J33" s="345" t="s">
        <v>756</v>
      </c>
      <c r="K33" s="353">
        <f>O89*$H$18</f>
        <v>0.12006240959495594</v>
      </c>
      <c r="L33" s="387">
        <f>P89</f>
        <v>0.80985008893074606</v>
      </c>
      <c r="M33" s="353">
        <f>O89*$I$18</f>
        <v>7.0087501474297986E-2</v>
      </c>
      <c r="N33" s="387">
        <f t="shared" si="8"/>
        <v>1</v>
      </c>
      <c r="P33" s="34">
        <f>P32</f>
        <v>0.2530928144049488</v>
      </c>
    </row>
    <row r="34" spans="1:16">
      <c r="A34" s="379" t="s">
        <v>726</v>
      </c>
      <c r="B34" s="380">
        <v>2.8348285792584815E-2</v>
      </c>
      <c r="C34" s="32">
        <v>0.52265270042747103</v>
      </c>
      <c r="I34" s="272" t="s">
        <v>724</v>
      </c>
      <c r="J34" s="345" t="s">
        <v>757</v>
      </c>
      <c r="K34" s="353">
        <f>O90*$H$18</f>
        <v>0.2732917310450087</v>
      </c>
      <c r="L34" s="387">
        <f>P90</f>
        <v>0.56717178566142912</v>
      </c>
      <c r="M34" s="353">
        <f>O90*$I$18</f>
        <v>0.15953648329356207</v>
      </c>
      <c r="N34" s="387">
        <f t="shared" si="8"/>
        <v>0.99999999999999989</v>
      </c>
      <c r="P34" s="34">
        <f>P33</f>
        <v>0.2530928144049488</v>
      </c>
    </row>
    <row r="35" spans="1:16">
      <c r="A35" s="379" t="s">
        <v>266</v>
      </c>
      <c r="B35" s="380">
        <v>0</v>
      </c>
      <c r="C35" s="32">
        <v>5.8610362131589246E-2</v>
      </c>
      <c r="I35" s="272" t="s">
        <v>725</v>
      </c>
      <c r="J35" s="190" t="s">
        <v>83</v>
      </c>
      <c r="K35" s="353">
        <f>VLOOKUP($I35,$G$11:$O$21,6,FALSE)</f>
        <v>5.8369343906151915E-2</v>
      </c>
      <c r="L35" s="353">
        <f>VLOOKUP($I35,$G$11:$O$21,7,FALSE)</f>
        <v>0.84777782221188291</v>
      </c>
      <c r="M35" s="353">
        <f>VLOOKUP($I35,$G$11:$O$21,8,FALSE)</f>
        <v>9.3852833881965178E-2</v>
      </c>
      <c r="N35" s="387">
        <f t="shared" si="8"/>
        <v>1</v>
      </c>
      <c r="P35" s="34">
        <f>C37</f>
        <v>0.45489304544728093</v>
      </c>
    </row>
    <row r="36" spans="1:16">
      <c r="A36" s="379" t="s">
        <v>748</v>
      </c>
      <c r="B36" s="380">
        <v>1.9041724473909054E-2</v>
      </c>
      <c r="C36" s="32">
        <v>0.2530928144049488</v>
      </c>
      <c r="G36" s="7"/>
      <c r="H36" s="7"/>
      <c r="I36" s="272" t="s">
        <v>273</v>
      </c>
      <c r="J36" s="190" t="s">
        <v>83</v>
      </c>
      <c r="K36" s="388">
        <f>K35</f>
        <v>5.8369343906151915E-2</v>
      </c>
      <c r="L36" s="388">
        <f>L35</f>
        <v>0.84777782221188291</v>
      </c>
      <c r="M36" s="388">
        <f>M35</f>
        <v>9.3852833881965178E-2</v>
      </c>
      <c r="N36" s="387">
        <f t="shared" si="8"/>
        <v>1</v>
      </c>
      <c r="P36" s="34">
        <f>C37</f>
        <v>0.45489304544728093</v>
      </c>
    </row>
    <row r="37" spans="1:16">
      <c r="A37" s="379" t="s">
        <v>725</v>
      </c>
      <c r="B37" s="380">
        <v>0.21392277044122734</v>
      </c>
      <c r="C37" s="32">
        <v>0.45489304544728093</v>
      </c>
      <c r="G37" s="278"/>
      <c r="H37" s="7"/>
      <c r="I37" s="272" t="s">
        <v>264</v>
      </c>
      <c r="J37" s="190" t="s">
        <v>83</v>
      </c>
      <c r="K37" s="353">
        <f t="shared" ref="K37:K45" si="9">VLOOKUP($I37,$G$11:$O$21,6,FALSE)</f>
        <v>6.3929137015483993E-3</v>
      </c>
      <c r="L37" s="353">
        <f t="shared" ref="L37:L45" si="10">VLOOKUP($I37,$G$11:$O$21,7,FALSE)</f>
        <v>0.98700382329725422</v>
      </c>
      <c r="M37" s="353">
        <f t="shared" ref="M37:M45" si="11">VLOOKUP($I37,$G$11:$O$21,8,FALSE)</f>
        <v>6.6032630011973147E-3</v>
      </c>
      <c r="N37" s="387">
        <f t="shared" si="8"/>
        <v>0.99999999999999989</v>
      </c>
      <c r="P37" s="34">
        <f>C39</f>
        <v>0.68364721407456519</v>
      </c>
    </row>
    <row r="38" spans="1:16">
      <c r="A38" s="379" t="s">
        <v>273</v>
      </c>
      <c r="B38" s="381">
        <v>0.72</v>
      </c>
      <c r="C38" s="32">
        <v>0.72</v>
      </c>
      <c r="G38" s="7"/>
      <c r="H38" s="7"/>
      <c r="I38" s="12" t="s">
        <v>278</v>
      </c>
      <c r="J38" s="190" t="s">
        <v>92</v>
      </c>
      <c r="K38" s="353">
        <f>O61*$L$12</f>
        <v>3.9182634298973458E-2</v>
      </c>
      <c r="L38" s="353">
        <f>P61</f>
        <v>0.46957192737561176</v>
      </c>
      <c r="M38" s="353">
        <f>O61*$N$12</f>
        <v>6.234756715808213E-2</v>
      </c>
      <c r="N38" s="387">
        <f t="shared" si="8"/>
        <v>0.57110212883266731</v>
      </c>
      <c r="P38" s="34">
        <f>C29</f>
        <v>0.20656505403266429</v>
      </c>
    </row>
    <row r="39" spans="1:16">
      <c r="A39" s="379" t="s">
        <v>264</v>
      </c>
      <c r="B39" s="380">
        <v>0</v>
      </c>
      <c r="C39" s="32">
        <v>0.68364721407456519</v>
      </c>
      <c r="I39" s="12" t="s">
        <v>446</v>
      </c>
      <c r="J39" s="190" t="s">
        <v>445</v>
      </c>
      <c r="K39" s="353">
        <f>O62*$L$12</f>
        <v>9.8940421863423066E-3</v>
      </c>
      <c r="L39" s="353">
        <f>P62</f>
        <v>0.86606113087441317</v>
      </c>
      <c r="M39" s="353">
        <f>O62*$N$12</f>
        <v>1.5743440192688529E-2</v>
      </c>
      <c r="N39" s="387">
        <f t="shared" si="8"/>
        <v>0.89169861325344391</v>
      </c>
      <c r="P39" s="34">
        <f>P38</f>
        <v>0.20656505403266429</v>
      </c>
    </row>
    <row r="40" spans="1:16">
      <c r="I40" s="12" t="s">
        <v>266</v>
      </c>
      <c r="J40" s="190" t="s">
        <v>83</v>
      </c>
      <c r="K40" s="353">
        <f t="shared" si="9"/>
        <v>3.0050555941853869E-2</v>
      </c>
      <c r="L40" s="353">
        <f t="shared" si="10"/>
        <v>0.79365284945968273</v>
      </c>
      <c r="M40" s="353">
        <f t="shared" si="11"/>
        <v>0.17629659459846331</v>
      </c>
      <c r="N40" s="387">
        <f t="shared" si="8"/>
        <v>1</v>
      </c>
      <c r="P40" s="34">
        <f>C35</f>
        <v>5.8610362131589246E-2</v>
      </c>
    </row>
    <row r="41" spans="1:16">
      <c r="I41" s="12" t="s">
        <v>267</v>
      </c>
      <c r="J41" s="190" t="s">
        <v>83</v>
      </c>
      <c r="K41" s="353">
        <f>VLOOKUP($I41,$G$11:$O$21,6,FALSE)</f>
        <v>0.44679184687802564</v>
      </c>
      <c r="L41" s="353">
        <f t="shared" si="10"/>
        <v>0.24941748529786834</v>
      </c>
      <c r="M41" s="353">
        <f t="shared" si="11"/>
        <v>0.30379066782410608</v>
      </c>
      <c r="N41" s="387">
        <f t="shared" si="8"/>
        <v>1</v>
      </c>
      <c r="P41" s="34">
        <f>C31</f>
        <v>0.68482020855141457</v>
      </c>
    </row>
    <row r="42" spans="1:16">
      <c r="I42" s="12" t="s">
        <v>268</v>
      </c>
      <c r="J42" s="190" t="s">
        <v>83</v>
      </c>
      <c r="K42" s="388">
        <f>K43</f>
        <v>0.33985691133471541</v>
      </c>
      <c r="L42" s="388">
        <f>L43</f>
        <v>0.40556621261939335</v>
      </c>
      <c r="M42" s="388">
        <f>M43</f>
        <v>0.25457687604589124</v>
      </c>
      <c r="N42" s="387">
        <f t="shared" si="8"/>
        <v>1</v>
      </c>
      <c r="P42" s="34">
        <f>C30</f>
        <v>0.53</v>
      </c>
    </row>
    <row r="43" spans="1:16">
      <c r="I43" s="289" t="s">
        <v>726</v>
      </c>
      <c r="J43" s="190" t="s">
        <v>83</v>
      </c>
      <c r="K43" s="353">
        <f t="shared" si="9"/>
        <v>0.33985691133471541</v>
      </c>
      <c r="L43" s="353">
        <f t="shared" si="10"/>
        <v>0.40556621261939335</v>
      </c>
      <c r="M43" s="353">
        <f t="shared" si="11"/>
        <v>0.25457687604589124</v>
      </c>
      <c r="N43" s="387">
        <f t="shared" si="8"/>
        <v>1</v>
      </c>
      <c r="P43" s="34">
        <f>P42</f>
        <v>0.53</v>
      </c>
    </row>
    <row r="44" spans="1:16">
      <c r="I44" s="272" t="s">
        <v>311</v>
      </c>
      <c r="J44" s="190" t="s">
        <v>83</v>
      </c>
      <c r="K44" s="353">
        <f t="shared" si="9"/>
        <v>0.10640191237323121</v>
      </c>
      <c r="L44" s="353">
        <f t="shared" si="10"/>
        <v>0.77815390025512432</v>
      </c>
      <c r="M44" s="353">
        <f t="shared" si="11"/>
        <v>0.11544418737164447</v>
      </c>
      <c r="N44" s="387">
        <f t="shared" si="8"/>
        <v>1</v>
      </c>
      <c r="P44" s="34">
        <f>C28</f>
        <v>0.27379566641599334</v>
      </c>
    </row>
    <row r="45" spans="1:16">
      <c r="I45" s="38" t="s">
        <v>272</v>
      </c>
      <c r="J45" s="192" t="s">
        <v>83</v>
      </c>
      <c r="K45" s="353">
        <f t="shared" si="9"/>
        <v>0.16939513747697868</v>
      </c>
      <c r="L45" s="353">
        <f t="shared" si="10"/>
        <v>0.7257160432726234</v>
      </c>
      <c r="M45" s="353">
        <f t="shared" si="11"/>
        <v>0.104888819250398</v>
      </c>
      <c r="N45" s="387">
        <f t="shared" si="8"/>
        <v>1</v>
      </c>
      <c r="P45" s="34">
        <f>C33</f>
        <v>0.46120223430256424</v>
      </c>
    </row>
    <row r="48" spans="1:16">
      <c r="B48" t="s">
        <v>785</v>
      </c>
      <c r="C48" t="s">
        <v>729</v>
      </c>
    </row>
    <row r="49" spans="2:16">
      <c r="B49" t="s">
        <v>786</v>
      </c>
      <c r="C49" t="s">
        <v>729</v>
      </c>
    </row>
    <row r="50" spans="2:16">
      <c r="B50" t="s">
        <v>787</v>
      </c>
      <c r="C50" t="s">
        <v>729</v>
      </c>
    </row>
    <row r="51" spans="2:16">
      <c r="B51" t="s">
        <v>788</v>
      </c>
      <c r="C51" t="s">
        <v>729</v>
      </c>
    </row>
    <row r="52" spans="2:16">
      <c r="B52" t="s">
        <v>789</v>
      </c>
      <c r="C52" t="s">
        <v>729</v>
      </c>
    </row>
    <row r="54" spans="2:16">
      <c r="B54" t="s">
        <v>790</v>
      </c>
      <c r="D54" t="s">
        <v>771</v>
      </c>
    </row>
    <row r="55" spans="2:16">
      <c r="B55" t="s">
        <v>731</v>
      </c>
      <c r="C55" t="s">
        <v>791</v>
      </c>
      <c r="D55" t="s">
        <v>772</v>
      </c>
      <c r="E55" t="s">
        <v>773</v>
      </c>
      <c r="F55" t="s">
        <v>747</v>
      </c>
      <c r="G55" s="218" t="s">
        <v>792</v>
      </c>
    </row>
    <row r="56" spans="2:16">
      <c r="B56" t="s">
        <v>311</v>
      </c>
      <c r="C56" t="s">
        <v>742</v>
      </c>
      <c r="D56" s="32">
        <v>0.28968678369813988</v>
      </c>
      <c r="E56" s="32">
        <v>0.71031321630186006</v>
      </c>
      <c r="F56" s="32">
        <v>1</v>
      </c>
      <c r="G56" s="232">
        <v>10791889.418072201</v>
      </c>
    </row>
    <row r="57" spans="2:16">
      <c r="C57" t="s">
        <v>746</v>
      </c>
      <c r="D57" s="32">
        <v>0.18435982906228074</v>
      </c>
      <c r="E57" s="32">
        <v>0.81564017093771923</v>
      </c>
      <c r="F57" s="32">
        <v>1</v>
      </c>
      <c r="G57" s="232">
        <v>47585686.482744053</v>
      </c>
    </row>
    <row r="58" spans="2:16">
      <c r="C58" t="s">
        <v>744</v>
      </c>
      <c r="D58" s="32">
        <v>0.20157557375693722</v>
      </c>
      <c r="E58" s="32">
        <v>0.79842442624306276</v>
      </c>
      <c r="F58" s="32">
        <v>1</v>
      </c>
      <c r="G58" s="232">
        <v>75093057.6555399</v>
      </c>
    </row>
    <row r="59" spans="2:16">
      <c r="C59" t="s">
        <v>743</v>
      </c>
      <c r="D59" s="32">
        <v>0.28320940685422302</v>
      </c>
      <c r="E59" s="32">
        <v>0.71679059314577698</v>
      </c>
      <c r="F59" s="32">
        <v>1</v>
      </c>
      <c r="G59" s="232">
        <v>133312634.77726388</v>
      </c>
    </row>
    <row r="60" spans="2:16">
      <c r="C60" t="s">
        <v>745</v>
      </c>
      <c r="D60" s="32">
        <v>0.12313805305365039</v>
      </c>
      <c r="E60" s="32">
        <v>0.87686194694634967</v>
      </c>
      <c r="F60" s="32">
        <v>1</v>
      </c>
      <c r="G60" s="232">
        <v>56800309.557055436</v>
      </c>
      <c r="O60" s="218" t="s">
        <v>775</v>
      </c>
      <c r="P60" s="218" t="s">
        <v>221</v>
      </c>
    </row>
    <row r="61" spans="2:16">
      <c r="B61" t="s">
        <v>265</v>
      </c>
      <c r="C61" t="s">
        <v>742</v>
      </c>
      <c r="D61" s="32">
        <v>0.53042807262438818</v>
      </c>
      <c r="E61" s="32">
        <v>0.46957192737561176</v>
      </c>
      <c r="F61" s="32">
        <v>1</v>
      </c>
      <c r="G61" s="232">
        <v>9815889.4471183456</v>
      </c>
      <c r="I61" t="s">
        <v>742</v>
      </c>
      <c r="J61" s="32">
        <v>0.53042807262438818</v>
      </c>
      <c r="K61" s="32">
        <v>0.46957192737561176</v>
      </c>
      <c r="L61" s="32">
        <v>1</v>
      </c>
      <c r="M61" s="232">
        <v>9815889.4471183456</v>
      </c>
      <c r="N61" s="190" t="s">
        <v>92</v>
      </c>
      <c r="O61" s="34">
        <f>J61</f>
        <v>0.53042807262438818</v>
      </c>
      <c r="P61" s="34">
        <f>K61</f>
        <v>0.46957192737561176</v>
      </c>
    </row>
    <row r="62" spans="2:16">
      <c r="C62" t="s">
        <v>744</v>
      </c>
      <c r="D62" s="32">
        <v>3.5142286878275322E-2</v>
      </c>
      <c r="E62" s="32">
        <v>0.96485771312172464</v>
      </c>
      <c r="F62" s="32">
        <v>1</v>
      </c>
      <c r="G62" s="232">
        <v>23241500.137925949</v>
      </c>
      <c r="I62" t="s">
        <v>744</v>
      </c>
      <c r="J62" s="32">
        <v>3.5142286878275322E-2</v>
      </c>
      <c r="K62" s="32">
        <v>0.96485771312172464</v>
      </c>
      <c r="L62" s="32">
        <v>1</v>
      </c>
      <c r="M62" s="232">
        <v>23241500.137925949</v>
      </c>
      <c r="N62" s="190" t="s">
        <v>445</v>
      </c>
      <c r="O62" s="32">
        <f>SUMPRODUCT(J62:J64,$M$62:$M$64)/SUM($M$62:$M$64)</f>
        <v>0.13393886912558689</v>
      </c>
      <c r="P62" s="32">
        <f>SUMPRODUCT(K62:K64,$M$62:$M$64)/SUM($M$62:$M$64)</f>
        <v>0.86606113087441317</v>
      </c>
    </row>
    <row r="63" spans="2:16">
      <c r="C63" t="s">
        <v>743</v>
      </c>
      <c r="D63" s="32">
        <v>0.24107220109261876</v>
      </c>
      <c r="E63" s="32">
        <v>0.75892779890738127</v>
      </c>
      <c r="F63" s="32">
        <v>1</v>
      </c>
      <c r="G63" s="232">
        <v>16084444.905748043</v>
      </c>
      <c r="I63" t="s">
        <v>743</v>
      </c>
      <c r="J63" s="32">
        <v>0.24107220109261876</v>
      </c>
      <c r="K63" s="32">
        <v>0.75892779890738127</v>
      </c>
      <c r="L63" s="32">
        <v>1</v>
      </c>
      <c r="M63" s="232">
        <v>16084444.905748043</v>
      </c>
    </row>
    <row r="64" spans="2:16">
      <c r="C64" t="s">
        <v>745</v>
      </c>
      <c r="D64" s="32">
        <v>0.16478658283274414</v>
      </c>
      <c r="E64" s="32">
        <v>0.83521341716725583</v>
      </c>
      <c r="F64" s="32">
        <v>1</v>
      </c>
      <c r="G64" s="232">
        <v>18575140.114893399</v>
      </c>
      <c r="I64" t="s">
        <v>745</v>
      </c>
      <c r="J64" s="32">
        <v>0.16478658283274414</v>
      </c>
      <c r="K64" s="32">
        <v>0.83521341716725583</v>
      </c>
      <c r="L64" s="32">
        <v>1</v>
      </c>
      <c r="M64" s="232">
        <v>18575140.114893399</v>
      </c>
    </row>
    <row r="65" spans="1:28">
      <c r="B65" t="s">
        <v>267</v>
      </c>
      <c r="C65" t="s">
        <v>742</v>
      </c>
      <c r="D65" s="32">
        <v>1</v>
      </c>
      <c r="E65" s="32">
        <v>0</v>
      </c>
      <c r="F65" s="32">
        <v>1</v>
      </c>
      <c r="G65" s="232">
        <v>771154.95824772085</v>
      </c>
    </row>
    <row r="66" spans="1:28">
      <c r="C66" t="s">
        <v>746</v>
      </c>
      <c r="D66" s="32">
        <v>0.66932609944359711</v>
      </c>
      <c r="E66" s="32">
        <v>0.33067390055640283</v>
      </c>
      <c r="F66" s="32">
        <v>1</v>
      </c>
      <c r="G66" s="232">
        <v>37478802.645819291</v>
      </c>
    </row>
    <row r="67" spans="1:28">
      <c r="C67" t="s">
        <v>744</v>
      </c>
      <c r="D67" s="32">
        <v>0.80938461207249257</v>
      </c>
      <c r="E67" s="32">
        <v>0.19061538792750743</v>
      </c>
      <c r="F67" s="32">
        <v>1</v>
      </c>
      <c r="G67" s="232">
        <v>44511439.869276322</v>
      </c>
    </row>
    <row r="68" spans="1:28">
      <c r="C68" t="s">
        <v>743</v>
      </c>
      <c r="D68" s="32">
        <v>0.708233600439651</v>
      </c>
      <c r="E68" s="32">
        <v>0.29176639956034905</v>
      </c>
      <c r="F68" s="32">
        <v>1</v>
      </c>
      <c r="G68" s="232">
        <v>8867151.9690522291</v>
      </c>
    </row>
    <row r="69" spans="1:28">
      <c r="A69" s="218" t="s">
        <v>803</v>
      </c>
      <c r="C69" t="s">
        <v>745</v>
      </c>
      <c r="D69" s="32">
        <v>0.75967537196550394</v>
      </c>
      <c r="E69" s="32">
        <v>0.24032462803449609</v>
      </c>
      <c r="F69" s="32">
        <v>1</v>
      </c>
      <c r="G69" s="232">
        <v>67217799.666102752</v>
      </c>
      <c r="O69" s="218" t="s">
        <v>775</v>
      </c>
      <c r="P69" s="218" t="s">
        <v>221</v>
      </c>
      <c r="T69" s="218" t="s">
        <v>804</v>
      </c>
      <c r="V69" s="218" t="s">
        <v>804</v>
      </c>
      <c r="W69" s="218" t="s">
        <v>807</v>
      </c>
      <c r="Y69" s="218" t="s">
        <v>808</v>
      </c>
    </row>
    <row r="70" spans="1:28">
      <c r="A70" s="389">
        <v>0.86743113566731078</v>
      </c>
      <c r="B70" t="s">
        <v>256</v>
      </c>
      <c r="C70" t="s">
        <v>742</v>
      </c>
      <c r="D70" s="32">
        <v>0.67245807966791449</v>
      </c>
      <c r="E70" s="32">
        <v>0.3275419203320854</v>
      </c>
      <c r="F70" s="32">
        <v>1</v>
      </c>
      <c r="G70" s="232">
        <v>88922415.770519257</v>
      </c>
      <c r="I70" t="s">
        <v>746</v>
      </c>
      <c r="J70" s="32">
        <v>0.56343603427674449</v>
      </c>
      <c r="K70" s="32">
        <v>0.43656396572325545</v>
      </c>
      <c r="L70" s="32">
        <v>1</v>
      </c>
      <c r="M70" s="232">
        <v>161400968.09734377</v>
      </c>
      <c r="N70" s="344" t="s">
        <v>751</v>
      </c>
      <c r="O70" s="32">
        <f>SUMPRODUCT(J70:J71,$M$70:$M$71)/SUM($M$70:$M$71)</f>
        <v>0.45962939813379933</v>
      </c>
      <c r="P70" s="32">
        <f>SUMPRODUCT(K70:K71,$M$70:$M$71)/SUM($M$70:$M$71)</f>
        <v>0.54037060186620078</v>
      </c>
      <c r="S70" t="s">
        <v>746</v>
      </c>
      <c r="T70" s="385">
        <f>A71</f>
        <v>0.20317755500773604</v>
      </c>
      <c r="U70" s="344" t="s">
        <v>751</v>
      </c>
      <c r="V70" s="32">
        <f>SUMPRODUCT(T70:T71,$M$70:$M$71)/SUM($M$70:$M$71)</f>
        <v>0.27022118370747483</v>
      </c>
      <c r="W70" s="32">
        <f>1-V70</f>
        <v>0.72977881629252517</v>
      </c>
      <c r="Y70" t="s">
        <v>742</v>
      </c>
      <c r="Z70" s="385">
        <v>0</v>
      </c>
      <c r="AA70" s="385">
        <v>2.9006395725036469E-2</v>
      </c>
      <c r="AB70" s="385">
        <f>SUM(Z70:AA70)</f>
        <v>2.9006395725036469E-2</v>
      </c>
    </row>
    <row r="71" spans="1:28">
      <c r="A71" s="389">
        <v>0.20317755500773604</v>
      </c>
      <c r="C71" t="s">
        <v>746</v>
      </c>
      <c r="D71" s="32">
        <v>0.56343603427674449</v>
      </c>
      <c r="E71" s="32">
        <v>0.43656396572325545</v>
      </c>
      <c r="F71" s="32">
        <v>1</v>
      </c>
      <c r="G71" s="232">
        <v>161400968.09734377</v>
      </c>
      <c r="I71" t="s">
        <v>745</v>
      </c>
      <c r="J71" s="32">
        <v>0.25807624626210907</v>
      </c>
      <c r="K71" s="32">
        <v>0.74192375373789099</v>
      </c>
      <c r="L71" s="32">
        <v>1</v>
      </c>
      <c r="M71" s="232">
        <v>83126914.229880497</v>
      </c>
      <c r="N71" s="345" t="s">
        <v>753</v>
      </c>
      <c r="O71" s="32">
        <f>SUMPRODUCT(J72:J73,$M$72:$M$73)/SUM($M$72:$M$73)</f>
        <v>0.48569918142419144</v>
      </c>
      <c r="P71" s="32">
        <f>SUMPRODUCT(K72:K73,$M$72:$M$73)/SUM($M$72:$M$73)</f>
        <v>0.51430081857580845</v>
      </c>
      <c r="S71" t="s">
        <v>745</v>
      </c>
      <c r="T71" s="385">
        <f>A74</f>
        <v>0.40039450575540259</v>
      </c>
      <c r="U71" s="345" t="s">
        <v>753</v>
      </c>
      <c r="V71" s="32">
        <f>SUMPRODUCT(T71:T72,$M$70:$M$71)/SUM($M$70:$M$71)</f>
        <v>0.53364389458617734</v>
      </c>
      <c r="W71" s="32">
        <f>1-V71</f>
        <v>0.46635610541382266</v>
      </c>
      <c r="Y71" t="s">
        <v>746</v>
      </c>
      <c r="Z71" s="385">
        <v>6.2209059893711949E-2</v>
      </c>
      <c r="AA71" s="385">
        <v>0.6402707686739455</v>
      </c>
      <c r="AB71" s="385">
        <f>SUM(Z71:AA71)</f>
        <v>0.70247982856765745</v>
      </c>
    </row>
    <row r="72" spans="1:28">
      <c r="A72" s="389">
        <v>0.79236371541570771</v>
      </c>
      <c r="C72" t="s">
        <v>744</v>
      </c>
      <c r="D72" s="32">
        <v>0.34614420585949485</v>
      </c>
      <c r="E72" s="32">
        <v>0.6538557941405051</v>
      </c>
      <c r="F72" s="32">
        <v>1</v>
      </c>
      <c r="G72" s="232">
        <v>121088778.65134136</v>
      </c>
      <c r="I72" t="s">
        <v>744</v>
      </c>
      <c r="J72" s="32">
        <v>0.34614420585949485</v>
      </c>
      <c r="K72" s="32">
        <v>0.6538557941405051</v>
      </c>
      <c r="L72" s="32">
        <v>1</v>
      </c>
      <c r="M72" s="232">
        <v>121088778.65134136</v>
      </c>
      <c r="N72" s="345" t="s">
        <v>752</v>
      </c>
      <c r="O72" s="34">
        <f>J74</f>
        <v>0.67245807966791449</v>
      </c>
      <c r="P72" s="34">
        <f>K74</f>
        <v>0.3275419203320854</v>
      </c>
      <c r="S72" t="s">
        <v>744</v>
      </c>
      <c r="T72" s="385">
        <f>A72</f>
        <v>0.79236371541570771</v>
      </c>
      <c r="U72" s="345" t="s">
        <v>752</v>
      </c>
      <c r="V72" s="32">
        <f>SUMPRODUCT(T72:T73,$M$70:$M$71)/SUM($M$70:$M$71)</f>
        <v>0.81989098432669971</v>
      </c>
      <c r="W72" s="32">
        <f>1-V72</f>
        <v>0.18010901567330029</v>
      </c>
      <c r="Y72" t="s">
        <v>744</v>
      </c>
      <c r="Z72" s="385">
        <v>0</v>
      </c>
      <c r="AA72" s="385">
        <v>9.9241037844958024E-2</v>
      </c>
      <c r="AB72" s="385">
        <f>SUM(Z72:AA72)</f>
        <v>9.9241037844958024E-2</v>
      </c>
    </row>
    <row r="73" spans="1:28">
      <c r="A73" s="389">
        <v>0.87333850962546711</v>
      </c>
      <c r="C73" t="s">
        <v>743</v>
      </c>
      <c r="D73" s="32">
        <v>0.59535158312648861</v>
      </c>
      <c r="E73" s="32">
        <v>0.40464841687351133</v>
      </c>
      <c r="F73" s="32">
        <v>1</v>
      </c>
      <c r="G73" s="232">
        <v>154110090.46318847</v>
      </c>
      <c r="I73" t="s">
        <v>743</v>
      </c>
      <c r="J73" s="32">
        <v>0.59535158312648861</v>
      </c>
      <c r="K73" s="32">
        <v>0.40464841687351133</v>
      </c>
      <c r="L73" s="32">
        <v>1</v>
      </c>
      <c r="M73" s="232">
        <v>154110090.46318847</v>
      </c>
      <c r="S73" t="s">
        <v>743</v>
      </c>
      <c r="T73" s="385">
        <f>A73</f>
        <v>0.87333850962546711</v>
      </c>
      <c r="Y73" t="s">
        <v>743</v>
      </c>
      <c r="Z73" s="385">
        <v>0</v>
      </c>
      <c r="AA73" s="385">
        <v>1.6816926215945001E-2</v>
      </c>
      <c r="AB73" s="385">
        <f>SUM(Z73:AA73)</f>
        <v>1.6816926215945001E-2</v>
      </c>
    </row>
    <row r="74" spans="1:28">
      <c r="A74" s="389">
        <v>0.40039450575540259</v>
      </c>
      <c r="C74" t="s">
        <v>745</v>
      </c>
      <c r="D74" s="32">
        <v>0.25807624626210907</v>
      </c>
      <c r="E74" s="32">
        <v>0.74192375373789099</v>
      </c>
      <c r="F74" s="32">
        <v>1</v>
      </c>
      <c r="G74" s="232">
        <v>83126914.229880497</v>
      </c>
      <c r="I74" t="s">
        <v>742</v>
      </c>
      <c r="J74" s="32">
        <v>0.67245807966791449</v>
      </c>
      <c r="K74" s="32">
        <v>0.3275419203320854</v>
      </c>
      <c r="L74" s="32">
        <v>1</v>
      </c>
      <c r="M74" s="232">
        <v>88922415.770519257</v>
      </c>
      <c r="S74" t="s">
        <v>742</v>
      </c>
      <c r="T74" s="385">
        <f>A70</f>
        <v>0.86743113566731078</v>
      </c>
      <c r="Y74" t="s">
        <v>745</v>
      </c>
      <c r="Z74" s="385">
        <v>0.12484831709038098</v>
      </c>
      <c r="AA74" s="385">
        <v>0.19296870513870354</v>
      </c>
      <c r="AB74" s="385">
        <f>SUM(Z74:AA74)</f>
        <v>0.31781702222908453</v>
      </c>
    </row>
    <row r="75" spans="1:28">
      <c r="B75" t="s">
        <v>272</v>
      </c>
      <c r="C75" t="s">
        <v>742</v>
      </c>
      <c r="D75" s="32">
        <v>0.36963108384061777</v>
      </c>
      <c r="E75" s="32">
        <v>0.63036891615938218</v>
      </c>
      <c r="F75" s="32">
        <v>1</v>
      </c>
      <c r="G75" s="232">
        <v>11401400.474691771</v>
      </c>
    </row>
    <row r="76" spans="1:28">
      <c r="C76" t="s">
        <v>746</v>
      </c>
      <c r="D76" s="32">
        <v>0.11927323464793231</v>
      </c>
      <c r="E76" s="32">
        <v>0.88072676535206773</v>
      </c>
      <c r="F76" s="32">
        <v>1</v>
      </c>
      <c r="G76" s="232">
        <v>60024943.803527087</v>
      </c>
    </row>
    <row r="77" spans="1:28">
      <c r="C77" t="s">
        <v>744</v>
      </c>
      <c r="D77" s="32">
        <v>0.28972859528015749</v>
      </c>
      <c r="E77" s="32">
        <v>0.71027140471984251</v>
      </c>
      <c r="F77" s="32">
        <v>1</v>
      </c>
      <c r="G77" s="232">
        <v>67056749.230095625</v>
      </c>
    </row>
    <row r="78" spans="1:28">
      <c r="C78" t="s">
        <v>743</v>
      </c>
      <c r="D78" s="32">
        <v>0.19665327325738066</v>
      </c>
      <c r="E78" s="32">
        <v>0.80334672674261942</v>
      </c>
      <c r="F78" s="32">
        <v>1</v>
      </c>
      <c r="G78" s="232">
        <v>90016986.964126915</v>
      </c>
    </row>
    <row r="79" spans="1:28">
      <c r="C79" t="s">
        <v>745</v>
      </c>
      <c r="D79" s="32">
        <v>0.58009651662613548</v>
      </c>
      <c r="E79" s="32">
        <v>0.41990348337386446</v>
      </c>
      <c r="F79" s="32">
        <v>1</v>
      </c>
      <c r="G79" s="232">
        <v>46335023.23670388</v>
      </c>
    </row>
    <row r="80" spans="1:28">
      <c r="B80" t="s">
        <v>726</v>
      </c>
      <c r="C80" t="s">
        <v>742</v>
      </c>
      <c r="D80" s="32">
        <v>1.3677517552166963E-2</v>
      </c>
      <c r="E80" s="32">
        <v>0.98632248244783316</v>
      </c>
      <c r="F80" s="32">
        <v>1</v>
      </c>
      <c r="G80" s="232">
        <v>617607.67825962591</v>
      </c>
    </row>
    <row r="81" spans="2:16">
      <c r="C81" t="s">
        <v>746</v>
      </c>
      <c r="D81" s="32">
        <v>0.65208373998713842</v>
      </c>
      <c r="E81" s="32">
        <v>0.34791626001286152</v>
      </c>
      <c r="F81" s="32">
        <v>1</v>
      </c>
      <c r="G81" s="232">
        <v>29481393.869044412</v>
      </c>
    </row>
    <row r="82" spans="2:16">
      <c r="C82" t="s">
        <v>744</v>
      </c>
      <c r="D82" s="32">
        <v>0.58940370199270897</v>
      </c>
      <c r="E82" s="32">
        <v>0.41059629800729103</v>
      </c>
      <c r="F82" s="32">
        <v>1</v>
      </c>
      <c r="G82" s="232">
        <v>45870170.91031719</v>
      </c>
    </row>
    <row r="83" spans="2:16">
      <c r="C83" t="s">
        <v>743</v>
      </c>
      <c r="D83" s="32">
        <v>0.43473317164785674</v>
      </c>
      <c r="E83" s="32">
        <v>0.56526682835214326</v>
      </c>
      <c r="F83" s="32">
        <v>1</v>
      </c>
      <c r="G83" s="232">
        <v>21950482.47130106</v>
      </c>
    </row>
    <row r="84" spans="2:16">
      <c r="C84" t="s">
        <v>745</v>
      </c>
      <c r="D84" s="32">
        <v>0.7159490279733054</v>
      </c>
      <c r="E84" s="32">
        <v>0.28405097202669471</v>
      </c>
      <c r="F84" s="32">
        <v>1</v>
      </c>
      <c r="G84" s="232">
        <v>19712054.250720531</v>
      </c>
    </row>
    <row r="85" spans="2:16">
      <c r="B85" t="s">
        <v>266</v>
      </c>
      <c r="C85" t="s">
        <v>742</v>
      </c>
      <c r="D85" s="32">
        <v>0.222372990309429</v>
      </c>
      <c r="E85" s="32">
        <v>0.77762700969057108</v>
      </c>
      <c r="F85" s="32">
        <v>1</v>
      </c>
      <c r="G85" s="232">
        <v>23327830.483758003</v>
      </c>
    </row>
    <row r="86" spans="2:16">
      <c r="C86" t="s">
        <v>743</v>
      </c>
      <c r="D86" s="32">
        <v>0.19083743977042419</v>
      </c>
      <c r="E86" s="32">
        <v>0.80916256022957589</v>
      </c>
      <c r="F86" s="32">
        <v>1</v>
      </c>
      <c r="G86" s="232">
        <v>24104129.2800515</v>
      </c>
      <c r="O86" s="218" t="s">
        <v>775</v>
      </c>
      <c r="P86" s="218" t="s">
        <v>221</v>
      </c>
    </row>
    <row r="87" spans="2:16">
      <c r="B87" t="s">
        <v>748</v>
      </c>
      <c r="C87" t="s">
        <v>742</v>
      </c>
      <c r="D87" s="32">
        <v>0.43282821433857083</v>
      </c>
      <c r="E87" s="32">
        <v>0.56717178566142912</v>
      </c>
      <c r="F87" s="32">
        <v>1</v>
      </c>
      <c r="G87" s="232">
        <v>45229806.543296024</v>
      </c>
      <c r="H87" s="32">
        <v>0.01</v>
      </c>
      <c r="I87" t="s">
        <v>746</v>
      </c>
      <c r="J87" s="32">
        <v>8.3932699992619028E-2</v>
      </c>
      <c r="K87" s="32">
        <v>0.91606730000738101</v>
      </c>
      <c r="L87" s="32">
        <v>1</v>
      </c>
      <c r="M87" s="232">
        <v>124562026.1368593</v>
      </c>
      <c r="N87" s="345" t="s">
        <v>754</v>
      </c>
      <c r="O87" s="34">
        <f>J87</f>
        <v>8.3932699992619028E-2</v>
      </c>
      <c r="P87" s="34">
        <f>K87</f>
        <v>0.91606730000738101</v>
      </c>
    </row>
    <row r="88" spans="2:16">
      <c r="C88" t="s">
        <v>746</v>
      </c>
      <c r="D88" s="32">
        <v>8.3932699992619028E-2</v>
      </c>
      <c r="E88" s="32">
        <v>0.91606730000738101</v>
      </c>
      <c r="F88" s="32">
        <v>1</v>
      </c>
      <c r="G88" s="232">
        <v>124562026.1368593</v>
      </c>
      <c r="H88" s="32">
        <v>0.02</v>
      </c>
      <c r="I88" t="s">
        <v>745</v>
      </c>
      <c r="J88" s="32">
        <v>1.6776928776066704E-2</v>
      </c>
      <c r="K88" s="32">
        <v>0.98322307122393326</v>
      </c>
      <c r="L88" s="32">
        <v>1</v>
      </c>
      <c r="M88" s="232">
        <v>29532449.302067615</v>
      </c>
      <c r="N88" s="345" t="s">
        <v>755</v>
      </c>
      <c r="O88" s="34">
        <f>J88</f>
        <v>1.6776928776066704E-2</v>
      </c>
      <c r="P88" s="34">
        <f>K88</f>
        <v>0.98322307122393326</v>
      </c>
    </row>
    <row r="89" spans="2:16">
      <c r="C89" t="s">
        <v>744</v>
      </c>
      <c r="D89" s="32">
        <v>0.12300334486769968</v>
      </c>
      <c r="E89" s="32">
        <v>0.8769966551323003</v>
      </c>
      <c r="F89" s="32">
        <v>1</v>
      </c>
      <c r="G89" s="232">
        <v>150479652.53202388</v>
      </c>
      <c r="H89" s="32">
        <v>0.03</v>
      </c>
      <c r="I89" t="s">
        <v>744</v>
      </c>
      <c r="J89" s="32">
        <v>0.12300334486769968</v>
      </c>
      <c r="K89" s="32">
        <v>0.8769966551323003</v>
      </c>
      <c r="L89" s="32">
        <v>1</v>
      </c>
      <c r="M89" s="232">
        <v>150479652.53202388</v>
      </c>
      <c r="N89" s="345" t="s">
        <v>756</v>
      </c>
      <c r="O89" s="32">
        <f>SUMPRODUCT(J89:J90,$M$89:$M$90)/SUM($M$89:$M$90)</f>
        <v>0.19014991106925394</v>
      </c>
      <c r="P89" s="32">
        <f>SUMPRODUCT(K89:K90,$M$89:$M$90)/SUM($M$89:$M$90)</f>
        <v>0.80985008893074606</v>
      </c>
    </row>
    <row r="90" spans="2:16">
      <c r="C90" t="s">
        <v>743</v>
      </c>
      <c r="D90" s="32">
        <v>0.26113899837633403</v>
      </c>
      <c r="E90" s="32">
        <v>0.73886100162366586</v>
      </c>
      <c r="F90" s="32">
        <v>1</v>
      </c>
      <c r="G90" s="232">
        <v>142334439.47546965</v>
      </c>
      <c r="H90" s="32">
        <v>0.04</v>
      </c>
      <c r="I90" t="s">
        <v>743</v>
      </c>
      <c r="J90" s="32">
        <v>0.26113899837633403</v>
      </c>
      <c r="K90" s="32">
        <v>0.73886100162366586</v>
      </c>
      <c r="L90" s="32">
        <v>1</v>
      </c>
      <c r="M90" s="232">
        <v>142334439.47546965</v>
      </c>
      <c r="N90" s="345" t="s">
        <v>757</v>
      </c>
      <c r="O90" s="34">
        <f>J91</f>
        <v>0.43282821433857083</v>
      </c>
      <c r="P90" s="34">
        <f>K91</f>
        <v>0.56717178566142912</v>
      </c>
    </row>
    <row r="91" spans="2:16">
      <c r="C91" t="s">
        <v>745</v>
      </c>
      <c r="D91" s="32">
        <v>1.6776928776066704E-2</v>
      </c>
      <c r="E91" s="32">
        <v>0.98322307122393326</v>
      </c>
      <c r="F91" s="32">
        <v>1</v>
      </c>
      <c r="G91" s="232">
        <v>29532449.302067615</v>
      </c>
      <c r="H91" s="32">
        <v>0.05</v>
      </c>
      <c r="I91" t="s">
        <v>742</v>
      </c>
      <c r="J91" s="32">
        <v>0.43282821433857083</v>
      </c>
      <c r="K91" s="32">
        <v>0.56717178566142912</v>
      </c>
      <c r="L91" s="32">
        <v>1</v>
      </c>
      <c r="M91" s="232">
        <v>45229806.543296024</v>
      </c>
    </row>
    <row r="92" spans="2:16">
      <c r="B92" t="s">
        <v>725</v>
      </c>
      <c r="C92" t="s">
        <v>742</v>
      </c>
      <c r="D92" s="32">
        <v>6.8260893508024292E-2</v>
      </c>
      <c r="E92" s="32">
        <v>0.93173910649197567</v>
      </c>
      <c r="F92" s="32">
        <v>1</v>
      </c>
      <c r="G92" s="232">
        <v>2868722.4248554921</v>
      </c>
    </row>
    <row r="93" spans="2:16">
      <c r="C93" t="s">
        <v>746</v>
      </c>
      <c r="D93" s="32">
        <v>0.16029926138119366</v>
      </c>
      <c r="E93" s="32">
        <v>0.83970073861880623</v>
      </c>
      <c r="F93" s="32">
        <v>1</v>
      </c>
      <c r="G93" s="232">
        <v>70407779.68745172</v>
      </c>
    </row>
    <row r="94" spans="2:16">
      <c r="C94" t="s">
        <v>744</v>
      </c>
      <c r="D94" s="32">
        <v>0.14157569383085569</v>
      </c>
      <c r="E94" s="32">
        <v>0.85842430616914434</v>
      </c>
      <c r="F94" s="32">
        <v>1</v>
      </c>
      <c r="G94" s="232">
        <v>84555158.13868171</v>
      </c>
    </row>
    <row r="95" spans="2:16">
      <c r="C95" t="s">
        <v>743</v>
      </c>
      <c r="D95" s="32">
        <v>0.24053328228867543</v>
      </c>
      <c r="E95" s="32">
        <v>0.75946671771132457</v>
      </c>
      <c r="F95" s="32">
        <v>1</v>
      </c>
      <c r="G95" s="232">
        <v>8452418.6872956287</v>
      </c>
    </row>
    <row r="96" spans="2:16">
      <c r="C96" t="s">
        <v>745</v>
      </c>
      <c r="D96" s="32">
        <v>0.14934373572795726</v>
      </c>
      <c r="E96" s="32">
        <v>0.85065626427204277</v>
      </c>
      <c r="F96" s="32">
        <v>1</v>
      </c>
      <c r="G96" s="232">
        <v>60468543.335515603</v>
      </c>
    </row>
    <row r="97" spans="2:12">
      <c r="B97" t="s">
        <v>264</v>
      </c>
      <c r="C97" t="s">
        <v>742</v>
      </c>
      <c r="D97" s="32">
        <v>0.12838801779438211</v>
      </c>
      <c r="E97" s="32">
        <v>0.87161198220561797</v>
      </c>
      <c r="F97" s="32">
        <v>1</v>
      </c>
      <c r="G97" s="232">
        <v>8938801.4812825639</v>
      </c>
    </row>
    <row r="98" spans="2:12">
      <c r="C98" t="s">
        <v>746</v>
      </c>
      <c r="D98" s="32">
        <v>0</v>
      </c>
      <c r="E98" s="32">
        <v>1</v>
      </c>
      <c r="F98" s="32">
        <v>1</v>
      </c>
      <c r="G98" s="232">
        <v>28824886.069673002</v>
      </c>
    </row>
    <row r="99" spans="2:12">
      <c r="C99" t="s">
        <v>744</v>
      </c>
      <c r="D99" s="32">
        <v>5.1437746035443866E-3</v>
      </c>
      <c r="E99" s="32">
        <v>0.99485622539645557</v>
      </c>
      <c r="F99" s="32">
        <v>1</v>
      </c>
      <c r="G99" s="232">
        <v>99863887.212485299</v>
      </c>
    </row>
    <row r="100" spans="2:12">
      <c r="C100" t="s">
        <v>743</v>
      </c>
      <c r="D100" s="32">
        <v>1.4492053425769444E-2</v>
      </c>
      <c r="E100" s="32">
        <v>0.98550794657423046</v>
      </c>
      <c r="F100" s="32">
        <v>1</v>
      </c>
      <c r="G100" s="232">
        <v>49025622.289909087</v>
      </c>
    </row>
    <row r="101" spans="2:12">
      <c r="C101" t="s">
        <v>745</v>
      </c>
      <c r="D101" s="32">
        <v>1.8182350443928772E-2</v>
      </c>
      <c r="E101" s="32">
        <v>0.9818176495560712</v>
      </c>
      <c r="F101" s="32">
        <v>1</v>
      </c>
      <c r="G101" s="232">
        <v>10409150.518417275</v>
      </c>
    </row>
    <row r="102" spans="2:12">
      <c r="B102" t="s">
        <v>747</v>
      </c>
      <c r="D102" s="32">
        <v>0.31344565584888812</v>
      </c>
      <c r="E102" s="32">
        <v>0.68655434415111194</v>
      </c>
      <c r="F102" s="32">
        <v>1</v>
      </c>
      <c r="G102" s="232">
        <v>2514648185.3050141</v>
      </c>
    </row>
    <row r="105" spans="2:12">
      <c r="B105" s="452" t="s">
        <v>902</v>
      </c>
      <c r="C105" s="452"/>
      <c r="D105" s="452"/>
      <c r="E105" s="452"/>
      <c r="F105" s="452"/>
      <c r="G105" s="452"/>
      <c r="H105" s="452"/>
      <c r="I105" s="452"/>
      <c r="J105" s="452"/>
      <c r="K105" s="452"/>
      <c r="L105" s="435"/>
    </row>
    <row r="106" spans="2:12">
      <c r="B106" s="386" t="s">
        <v>785</v>
      </c>
      <c r="C106" t="s">
        <v>729</v>
      </c>
    </row>
    <row r="107" spans="2:12">
      <c r="B107" s="386" t="s">
        <v>786</v>
      </c>
      <c r="C107" t="s">
        <v>729</v>
      </c>
    </row>
    <row r="108" spans="2:12">
      <c r="B108" s="386" t="s">
        <v>787</v>
      </c>
      <c r="C108" t="s">
        <v>729</v>
      </c>
    </row>
    <row r="109" spans="2:12">
      <c r="B109" s="386" t="s">
        <v>789</v>
      </c>
      <c r="C109" t="s">
        <v>729</v>
      </c>
    </row>
    <row r="110" spans="2:12">
      <c r="B110" s="386" t="s">
        <v>793</v>
      </c>
      <c r="C110" t="s">
        <v>772</v>
      </c>
    </row>
    <row r="111" spans="2:12">
      <c r="B111" s="386" t="s">
        <v>788</v>
      </c>
      <c r="C111" t="s">
        <v>729</v>
      </c>
    </row>
    <row r="113" spans="2:12">
      <c r="B113" s="386" t="s">
        <v>790</v>
      </c>
      <c r="C113" s="386" t="s">
        <v>771</v>
      </c>
    </row>
    <row r="114" spans="2:12">
      <c r="B114" s="386" t="s">
        <v>731</v>
      </c>
      <c r="C114" t="s">
        <v>794</v>
      </c>
      <c r="D114" t="s">
        <v>222</v>
      </c>
      <c r="E114" t="s">
        <v>795</v>
      </c>
      <c r="F114" t="s">
        <v>796</v>
      </c>
      <c r="G114" t="s">
        <v>797</v>
      </c>
      <c r="H114" t="s">
        <v>798</v>
      </c>
      <c r="I114" t="s">
        <v>799</v>
      </c>
      <c r="J114" t="s">
        <v>747</v>
      </c>
      <c r="K114" s="452" t="s">
        <v>903</v>
      </c>
      <c r="L114" s="452" t="s">
        <v>904</v>
      </c>
    </row>
    <row r="115" spans="2:12">
      <c r="B115" t="s">
        <v>311</v>
      </c>
      <c r="C115" s="385">
        <v>2.1933371064227269E-2</v>
      </c>
      <c r="D115" s="385">
        <v>0.52037961228259577</v>
      </c>
      <c r="E115" s="385">
        <v>8.4869959933207936E-2</v>
      </c>
      <c r="F115" s="385">
        <v>0.37281705671996906</v>
      </c>
      <c r="G115" s="385">
        <v>0</v>
      </c>
      <c r="H115" s="385">
        <v>0</v>
      </c>
      <c r="I115" s="385">
        <v>0</v>
      </c>
      <c r="J115" s="385">
        <v>1</v>
      </c>
      <c r="K115" s="480">
        <f>J115-D115</f>
        <v>0.47962038771740423</v>
      </c>
      <c r="L115" s="480">
        <f>D115</f>
        <v>0.52037961228259577</v>
      </c>
    </row>
    <row r="116" spans="2:12">
      <c r="B116" t="s">
        <v>265</v>
      </c>
      <c r="C116" s="385">
        <v>0</v>
      </c>
      <c r="D116" s="385">
        <v>0.61407902538687853</v>
      </c>
      <c r="E116" s="385">
        <v>0</v>
      </c>
      <c r="F116" s="385">
        <v>0.38592097461312153</v>
      </c>
      <c r="G116" s="385">
        <v>0</v>
      </c>
      <c r="H116" s="385">
        <v>0</v>
      </c>
      <c r="I116" s="385">
        <v>0</v>
      </c>
      <c r="J116" s="385">
        <v>1</v>
      </c>
      <c r="K116" s="480">
        <f t="shared" ref="K116:K125" si="12">J116-D116</f>
        <v>0.38592097461312147</v>
      </c>
      <c r="L116" s="480">
        <f t="shared" ref="L116:L125" si="13">D116</f>
        <v>0.61407902538687853</v>
      </c>
    </row>
    <row r="117" spans="2:12">
      <c r="B117" t="s">
        <v>267</v>
      </c>
      <c r="C117" s="385">
        <v>0</v>
      </c>
      <c r="D117" s="385">
        <v>0.40473986786737931</v>
      </c>
      <c r="E117" s="385">
        <v>1.9101566005885497E-2</v>
      </c>
      <c r="F117" s="385">
        <v>0.56637390858008696</v>
      </c>
      <c r="G117" s="385">
        <v>0</v>
      </c>
      <c r="H117" s="385">
        <v>0</v>
      </c>
      <c r="I117" s="385">
        <v>9.7846575466481386E-3</v>
      </c>
      <c r="J117" s="385">
        <v>1</v>
      </c>
      <c r="K117" s="480">
        <f t="shared" si="12"/>
        <v>0.59526013213262075</v>
      </c>
      <c r="L117" s="480">
        <f t="shared" si="13"/>
        <v>0.40473986786737931</v>
      </c>
    </row>
    <row r="118" spans="2:12">
      <c r="B118" t="s">
        <v>256</v>
      </c>
      <c r="C118" s="385">
        <v>0</v>
      </c>
      <c r="D118" s="385">
        <v>0.54434419584121851</v>
      </c>
      <c r="E118" s="385">
        <v>1.3163924041996011E-2</v>
      </c>
      <c r="F118" s="385">
        <v>0.29977798762598179</v>
      </c>
      <c r="G118" s="385">
        <v>5.6989236417166553E-3</v>
      </c>
      <c r="H118" s="385">
        <v>1.8553743341665496E-2</v>
      </c>
      <c r="I118" s="385">
        <v>0.11846122550742165</v>
      </c>
      <c r="J118" s="385">
        <v>1</v>
      </c>
      <c r="K118" s="480">
        <f t="shared" si="12"/>
        <v>0.45565580415878149</v>
      </c>
      <c r="L118" s="480">
        <f t="shared" si="13"/>
        <v>0.54434419584121851</v>
      </c>
    </row>
    <row r="119" spans="2:12">
      <c r="B119" t="s">
        <v>272</v>
      </c>
      <c r="C119" s="385">
        <v>1.8656133921888154E-2</v>
      </c>
      <c r="D119" s="385">
        <v>0.38240960390786466</v>
      </c>
      <c r="E119" s="385">
        <v>3.4723225987817435E-2</v>
      </c>
      <c r="F119" s="385">
        <v>0.39770544205545494</v>
      </c>
      <c r="G119" s="385">
        <v>0</v>
      </c>
      <c r="H119" s="385">
        <v>0</v>
      </c>
      <c r="I119" s="385">
        <v>0.1665055941269748</v>
      </c>
      <c r="J119" s="385">
        <v>1</v>
      </c>
      <c r="K119" s="480">
        <f t="shared" si="12"/>
        <v>0.6175903960921354</v>
      </c>
      <c r="L119" s="480">
        <f t="shared" si="13"/>
        <v>0.38240960390786466</v>
      </c>
    </row>
    <row r="120" spans="2:12">
      <c r="B120" t="s">
        <v>726</v>
      </c>
      <c r="C120" s="385">
        <v>0</v>
      </c>
      <c r="D120" s="385">
        <v>0.42826784319863981</v>
      </c>
      <c r="E120" s="385">
        <v>0</v>
      </c>
      <c r="F120" s="385">
        <v>0.57173215680136014</v>
      </c>
      <c r="G120" s="385">
        <v>0</v>
      </c>
      <c r="H120" s="385">
        <v>0</v>
      </c>
      <c r="I120" s="385">
        <v>0</v>
      </c>
      <c r="J120" s="385">
        <v>1</v>
      </c>
      <c r="K120" s="480">
        <f t="shared" si="12"/>
        <v>0.57173215680136025</v>
      </c>
      <c r="L120" s="480">
        <f t="shared" si="13"/>
        <v>0.42826784319863981</v>
      </c>
    </row>
    <row r="121" spans="2:12">
      <c r="B121" t="s">
        <v>266</v>
      </c>
      <c r="C121" s="385">
        <v>0</v>
      </c>
      <c r="D121" s="385">
        <v>0.8543689318550467</v>
      </c>
      <c r="E121" s="385">
        <v>0</v>
      </c>
      <c r="F121" s="385">
        <v>0.14563106814495325</v>
      </c>
      <c r="G121" s="385">
        <v>0</v>
      </c>
      <c r="H121" s="385">
        <v>0</v>
      </c>
      <c r="I121" s="385">
        <v>0</v>
      </c>
      <c r="J121" s="385">
        <v>1</v>
      </c>
      <c r="K121" s="480">
        <f t="shared" si="12"/>
        <v>0.1456310681449533</v>
      </c>
      <c r="L121" s="480">
        <f t="shared" si="13"/>
        <v>0.8543689318550467</v>
      </c>
    </row>
    <row r="122" spans="2:12">
      <c r="B122" t="s">
        <v>748</v>
      </c>
      <c r="C122" s="385">
        <v>0</v>
      </c>
      <c r="D122" s="385">
        <v>0.3685907665177483</v>
      </c>
      <c r="E122" s="385">
        <v>0</v>
      </c>
      <c r="F122" s="385">
        <v>0.63140923348225175</v>
      </c>
      <c r="G122" s="385">
        <v>0</v>
      </c>
      <c r="H122" s="385">
        <v>0</v>
      </c>
      <c r="I122" s="385">
        <v>0</v>
      </c>
      <c r="J122" s="385">
        <v>1</v>
      </c>
      <c r="K122" s="480">
        <f t="shared" si="12"/>
        <v>0.63140923348225164</v>
      </c>
      <c r="L122" s="480">
        <f t="shared" si="13"/>
        <v>0.3685907665177483</v>
      </c>
    </row>
    <row r="123" spans="2:12">
      <c r="B123" t="s">
        <v>725</v>
      </c>
      <c r="C123" s="385">
        <v>0</v>
      </c>
      <c r="D123" s="385">
        <v>0.61655164343136604</v>
      </c>
      <c r="E123" s="385">
        <v>0</v>
      </c>
      <c r="F123" s="385">
        <v>0.35877441338510602</v>
      </c>
      <c r="G123" s="385">
        <v>0</v>
      </c>
      <c r="H123" s="385">
        <v>0</v>
      </c>
      <c r="I123" s="385">
        <v>2.4673943183527856E-2</v>
      </c>
      <c r="J123" s="385">
        <v>1</v>
      </c>
      <c r="K123" s="480">
        <f t="shared" si="12"/>
        <v>0.38344835656863396</v>
      </c>
      <c r="L123" s="480">
        <f t="shared" si="13"/>
        <v>0.61655164343136604</v>
      </c>
    </row>
    <row r="124" spans="2:12">
      <c r="B124" t="s">
        <v>264</v>
      </c>
      <c r="C124" s="385">
        <v>0</v>
      </c>
      <c r="D124" s="385">
        <v>0.50809273775126784</v>
      </c>
      <c r="E124" s="385">
        <v>0</v>
      </c>
      <c r="F124" s="385">
        <v>0.4919072622487321</v>
      </c>
      <c r="G124" s="385">
        <v>0</v>
      </c>
      <c r="H124" s="385">
        <v>0</v>
      </c>
      <c r="I124" s="385">
        <v>0</v>
      </c>
      <c r="J124" s="385">
        <v>1</v>
      </c>
      <c r="K124" s="480">
        <f t="shared" si="12"/>
        <v>0.49190726224873216</v>
      </c>
      <c r="L124" s="480">
        <f t="shared" si="13"/>
        <v>0.50809273775126784</v>
      </c>
    </row>
    <row r="125" spans="2:12">
      <c r="B125" t="s">
        <v>747</v>
      </c>
      <c r="C125" s="385">
        <v>3.7818261010351163E-3</v>
      </c>
      <c r="D125" s="385">
        <v>0.48407848363684358</v>
      </c>
      <c r="E125" s="385">
        <v>1.9047873305765038E-2</v>
      </c>
      <c r="F125" s="385">
        <v>0.41922865325443376</v>
      </c>
      <c r="G125" s="385">
        <v>2.2113914177108902E-3</v>
      </c>
      <c r="H125" s="385">
        <v>7.1995329945867704E-3</v>
      </c>
      <c r="I125" s="385">
        <v>6.445223928962493E-2</v>
      </c>
      <c r="J125" s="385">
        <v>1</v>
      </c>
      <c r="K125" s="480">
        <f t="shared" si="12"/>
        <v>0.51592151636315642</v>
      </c>
      <c r="L125" s="480">
        <f t="shared" si="13"/>
        <v>0.48407848363684358</v>
      </c>
    </row>
    <row r="130" spans="2:13" ht="15">
      <c r="B130" s="390" t="s">
        <v>809</v>
      </c>
      <c r="C130" s="390" t="s">
        <v>810</v>
      </c>
      <c r="D130" s="390" t="s">
        <v>811</v>
      </c>
      <c r="E130" s="390" t="s">
        <v>812</v>
      </c>
      <c r="F130" s="390" t="s">
        <v>813</v>
      </c>
      <c r="K130" s="218" t="s">
        <v>383</v>
      </c>
      <c r="M130" s="218" t="s">
        <v>819</v>
      </c>
    </row>
    <row r="131" spans="2:13" ht="15">
      <c r="B131" s="391" t="s">
        <v>814</v>
      </c>
      <c r="C131" s="391" t="s">
        <v>666</v>
      </c>
      <c r="D131" s="392">
        <v>15.980768851929501</v>
      </c>
      <c r="E131" s="392">
        <v>1869</v>
      </c>
      <c r="F131" s="392">
        <v>0.56181074296122135</v>
      </c>
      <c r="G131" s="391" t="s">
        <v>815</v>
      </c>
      <c r="H131" s="391" t="s">
        <v>666</v>
      </c>
      <c r="I131" s="392">
        <v>14.148322497057118</v>
      </c>
      <c r="J131" s="392">
        <v>806</v>
      </c>
      <c r="K131" s="392">
        <v>0.82003144299138797</v>
      </c>
      <c r="M131">
        <f>I131/D131</f>
        <v>0.88533428073135945</v>
      </c>
    </row>
    <row r="132" spans="2:13" ht="15">
      <c r="B132" s="391" t="s">
        <v>814</v>
      </c>
      <c r="C132" s="391" t="s">
        <v>816</v>
      </c>
      <c r="D132" s="392">
        <v>16.642484336254487</v>
      </c>
      <c r="E132" s="392">
        <v>366</v>
      </c>
      <c r="F132" s="392">
        <v>0.90246733047394467</v>
      </c>
      <c r="G132" s="391" t="s">
        <v>815</v>
      </c>
      <c r="H132" s="391" t="s">
        <v>816</v>
      </c>
      <c r="I132" s="392">
        <v>13.163647352596524</v>
      </c>
      <c r="J132" s="392">
        <v>114</v>
      </c>
      <c r="K132" s="392">
        <v>1.2161180142097487</v>
      </c>
      <c r="M132">
        <f t="shared" ref="M132:M140" si="14">I132/D132</f>
        <v>0.79096648593025498</v>
      </c>
    </row>
    <row r="133" spans="2:13" ht="15">
      <c r="B133" s="391" t="s">
        <v>814</v>
      </c>
      <c r="C133" s="391" t="s">
        <v>265</v>
      </c>
      <c r="D133" s="392">
        <v>42.375507008684338</v>
      </c>
      <c r="E133" s="392">
        <v>151</v>
      </c>
      <c r="F133" s="392">
        <v>2.9552587160695287</v>
      </c>
      <c r="G133" s="391" t="s">
        <v>815</v>
      </c>
      <c r="H133" s="391" t="s">
        <v>265</v>
      </c>
      <c r="I133" s="392">
        <v>56.971802114558251</v>
      </c>
      <c r="J133" s="392">
        <v>74</v>
      </c>
      <c r="K133" s="392">
        <v>4.2597024829713011</v>
      </c>
      <c r="M133">
        <f t="shared" si="14"/>
        <v>1.3444512204392642</v>
      </c>
    </row>
    <row r="134" spans="2:13" ht="15">
      <c r="B134" s="391" t="s">
        <v>814</v>
      </c>
      <c r="C134" s="391" t="s">
        <v>817</v>
      </c>
      <c r="D134" s="392">
        <v>17.731519188271399</v>
      </c>
      <c r="E134" s="392">
        <v>70</v>
      </c>
      <c r="F134" s="392">
        <v>2.126798013273516</v>
      </c>
      <c r="G134" s="391" t="s">
        <v>815</v>
      </c>
      <c r="H134" s="391" t="s">
        <v>817</v>
      </c>
      <c r="I134" s="392">
        <v>14.578619395948195</v>
      </c>
      <c r="J134" s="392">
        <v>135</v>
      </c>
      <c r="K134" s="392">
        <v>1.1204981905496547</v>
      </c>
      <c r="M134">
        <f t="shared" si="14"/>
        <v>0.82218670837811203</v>
      </c>
    </row>
    <row r="135" spans="2:13" ht="15">
      <c r="B135" s="391" t="s">
        <v>814</v>
      </c>
      <c r="C135" s="391" t="s">
        <v>256</v>
      </c>
      <c r="D135" s="392">
        <v>16.483172309504837</v>
      </c>
      <c r="E135" s="392">
        <v>400</v>
      </c>
      <c r="F135" s="392">
        <v>0.9073430920759239</v>
      </c>
      <c r="G135" s="391" t="s">
        <v>815</v>
      </c>
      <c r="H135" s="391" t="s">
        <v>256</v>
      </c>
      <c r="I135" s="392">
        <v>15.001263459458363</v>
      </c>
      <c r="J135" s="392">
        <v>92</v>
      </c>
      <c r="K135" s="392">
        <v>1.5678264270127924</v>
      </c>
      <c r="M135">
        <f t="shared" si="14"/>
        <v>0.91009565257095881</v>
      </c>
    </row>
    <row r="136" spans="2:13" ht="15">
      <c r="B136" s="391" t="s">
        <v>814</v>
      </c>
      <c r="C136" s="391" t="s">
        <v>818</v>
      </c>
      <c r="D136" s="392">
        <v>18.890861353563082</v>
      </c>
      <c r="E136" s="392">
        <v>94</v>
      </c>
      <c r="F136" s="392">
        <v>1.861462215742733</v>
      </c>
      <c r="G136" s="391" t="s">
        <v>815</v>
      </c>
      <c r="H136" s="391" t="s">
        <v>818</v>
      </c>
      <c r="I136" s="392">
        <v>18.625907882591232</v>
      </c>
      <c r="J136" s="392">
        <v>19</v>
      </c>
      <c r="K136" s="392">
        <v>4.703121616757759</v>
      </c>
      <c r="M136">
        <f t="shared" si="14"/>
        <v>0.98597451614233167</v>
      </c>
    </row>
    <row r="137" spans="2:13" ht="15">
      <c r="B137" s="391" t="s">
        <v>814</v>
      </c>
      <c r="C137" s="391" t="s">
        <v>266</v>
      </c>
      <c r="D137" s="392">
        <v>44.241175632923813</v>
      </c>
      <c r="E137" s="392">
        <v>130</v>
      </c>
      <c r="F137" s="392">
        <v>4.50467596009074</v>
      </c>
      <c r="G137" s="391" t="s">
        <v>815</v>
      </c>
      <c r="H137" s="391" t="s">
        <v>266</v>
      </c>
      <c r="I137" s="392">
        <v>47.625798032060104</v>
      </c>
      <c r="J137" s="392">
        <v>37</v>
      </c>
      <c r="K137" s="392">
        <v>7.169126487060212</v>
      </c>
      <c r="M137">
        <f t="shared" si="14"/>
        <v>1.0765038982512365</v>
      </c>
    </row>
    <row r="138" spans="2:13" ht="15">
      <c r="B138" s="391" t="s">
        <v>814</v>
      </c>
      <c r="C138" s="391" t="s">
        <v>262</v>
      </c>
      <c r="D138" s="392">
        <v>9.6577666086760576</v>
      </c>
      <c r="E138" s="392">
        <v>211</v>
      </c>
      <c r="F138" s="392">
        <v>0.66370636789658533</v>
      </c>
      <c r="G138" s="391" t="s">
        <v>815</v>
      </c>
      <c r="H138" s="391" t="s">
        <v>262</v>
      </c>
      <c r="I138" s="392">
        <v>9.6623580816794625</v>
      </c>
      <c r="J138" s="392">
        <v>80</v>
      </c>
      <c r="K138" s="392">
        <v>0.77420926217382913</v>
      </c>
      <c r="M138">
        <f t="shared" si="14"/>
        <v>1.0004754176808621</v>
      </c>
    </row>
    <row r="139" spans="2:13" ht="15">
      <c r="B139" s="391" t="s">
        <v>814</v>
      </c>
      <c r="C139" s="391" t="s">
        <v>264</v>
      </c>
      <c r="D139" s="392">
        <v>9.402622661205406</v>
      </c>
      <c r="E139" s="392">
        <v>182</v>
      </c>
      <c r="F139" s="392">
        <v>1.556447579990127</v>
      </c>
      <c r="G139" s="391" t="s">
        <v>815</v>
      </c>
      <c r="H139" s="391" t="s">
        <v>264</v>
      </c>
      <c r="I139" s="392">
        <v>6.0495189796425546</v>
      </c>
      <c r="J139" s="392">
        <v>43</v>
      </c>
      <c r="K139" s="392">
        <v>2.2869686813227283</v>
      </c>
      <c r="M139">
        <f t="shared" si="14"/>
        <v>0.64338633992008065</v>
      </c>
    </row>
    <row r="140" spans="2:13" ht="15">
      <c r="B140" s="391" t="s">
        <v>814</v>
      </c>
      <c r="C140" s="391" t="s">
        <v>272</v>
      </c>
      <c r="D140" s="392">
        <v>12.587341980684171</v>
      </c>
      <c r="E140" s="392">
        <v>265</v>
      </c>
      <c r="F140" s="392">
        <v>1.4407080999078559</v>
      </c>
      <c r="G140" s="391" t="s">
        <v>815</v>
      </c>
      <c r="H140" s="391" t="s">
        <v>272</v>
      </c>
      <c r="I140" s="392">
        <v>13.447164481602158</v>
      </c>
      <c r="J140" s="392">
        <v>212</v>
      </c>
      <c r="K140" s="392">
        <v>1.6832815784325847</v>
      </c>
      <c r="M140">
        <f t="shared" si="14"/>
        <v>1.0683085040699953</v>
      </c>
    </row>
  </sheetData>
  <sortState ref="H84:M88">
    <sortCondition ref="H84"/>
  </sortState>
  <pageMargins left="0.7" right="0.7" top="0.75" bottom="0.75" header="0.3" footer="0.3"/>
</worksheet>
</file>

<file path=xl/worksheets/sheet20.xml><?xml version="1.0" encoding="utf-8"?>
<worksheet xmlns="http://schemas.openxmlformats.org/spreadsheetml/2006/main" xmlns:r="http://schemas.openxmlformats.org/officeDocument/2006/relationships">
  <sheetPr codeName="Sheet18"/>
  <dimension ref="A2:V154"/>
  <sheetViews>
    <sheetView workbookViewId="0">
      <selection activeCell="C9" sqref="C9"/>
    </sheetView>
  </sheetViews>
  <sheetFormatPr defaultRowHeight="12.75"/>
  <cols>
    <col min="1" max="1" width="21.5703125" customWidth="1"/>
    <col min="2" max="2" width="21.7109375" customWidth="1"/>
    <col min="3" max="3" width="14.42578125" customWidth="1"/>
    <col min="4" max="4" width="17.85546875" customWidth="1"/>
    <col min="5" max="5" width="14" customWidth="1"/>
    <col min="6" max="6" width="13.42578125" customWidth="1"/>
    <col min="7" max="7" width="14.140625" customWidth="1"/>
    <col min="8" max="8" width="14.85546875" customWidth="1"/>
    <col min="9" max="9" width="13.42578125" customWidth="1"/>
    <col min="10" max="10" width="16" customWidth="1"/>
    <col min="11" max="11" width="11.140625" customWidth="1"/>
    <col min="12" max="12" width="13.42578125" customWidth="1"/>
    <col min="13" max="13" width="14.42578125" customWidth="1"/>
    <col min="14" max="14" width="16.140625" customWidth="1"/>
    <col min="15" max="15" width="17" customWidth="1"/>
    <col min="16" max="16" width="12.42578125" customWidth="1"/>
    <col min="17" max="17" width="15.42578125" customWidth="1"/>
    <col min="18" max="18" width="13.7109375" customWidth="1"/>
    <col min="19" max="19" width="14.140625" customWidth="1"/>
    <col min="20" max="20" width="11" customWidth="1"/>
    <col min="21" max="21" width="15.7109375" customWidth="1"/>
    <col min="22" max="22" width="17.42578125" customWidth="1"/>
  </cols>
  <sheetData>
    <row r="2" spans="1:18">
      <c r="A2" s="435"/>
      <c r="B2" s="435"/>
      <c r="C2" s="435"/>
      <c r="D2" s="435"/>
      <c r="E2" s="435"/>
      <c r="F2" s="435"/>
      <c r="G2" s="435"/>
      <c r="H2" s="435"/>
      <c r="I2" s="435"/>
      <c r="J2" s="435"/>
      <c r="K2" s="435"/>
      <c r="L2" s="435"/>
      <c r="M2" s="435"/>
      <c r="N2" s="435"/>
      <c r="O2" s="435"/>
      <c r="P2" s="435"/>
      <c r="Q2" s="435"/>
      <c r="R2" s="435"/>
    </row>
    <row r="3" spans="1:18">
      <c r="A3" s="452" t="s">
        <v>891</v>
      </c>
      <c r="B3" s="452"/>
      <c r="C3" s="435"/>
      <c r="D3" s="435"/>
      <c r="E3" s="435"/>
      <c r="F3" s="435"/>
      <c r="G3" s="435"/>
      <c r="H3" s="435"/>
      <c r="I3" s="435"/>
      <c r="J3" s="435"/>
      <c r="K3" s="435"/>
      <c r="L3" s="435"/>
      <c r="M3" s="435"/>
      <c r="N3" s="435"/>
      <c r="O3" s="435"/>
      <c r="P3" s="435"/>
      <c r="Q3" s="435"/>
      <c r="R3" s="435"/>
    </row>
    <row r="6" spans="1:18">
      <c r="C6" s="433"/>
      <c r="D6" s="433"/>
    </row>
    <row r="7" spans="1:18">
      <c r="A7" t="s">
        <v>683</v>
      </c>
      <c r="B7" t="s">
        <v>872</v>
      </c>
      <c r="C7" s="433"/>
      <c r="D7" s="433"/>
    </row>
    <row r="8" spans="1:18">
      <c r="C8" s="433"/>
      <c r="D8" s="433"/>
    </row>
    <row r="9" spans="1:18">
      <c r="A9" s="246" t="s">
        <v>731</v>
      </c>
      <c r="B9" s="246" t="s">
        <v>875</v>
      </c>
      <c r="C9" s="433"/>
      <c r="D9" s="433"/>
    </row>
    <row r="10" spans="1:18">
      <c r="A10" s="15" t="s">
        <v>311</v>
      </c>
      <c r="B10" s="360">
        <v>0.12949316922883081</v>
      </c>
      <c r="C10" s="433"/>
      <c r="D10" s="433"/>
    </row>
    <row r="11" spans="1:18">
      <c r="A11" s="15" t="s">
        <v>265</v>
      </c>
      <c r="B11" s="360">
        <v>2.0434554153352484E-2</v>
      </c>
      <c r="C11" s="433"/>
      <c r="D11" s="433"/>
    </row>
    <row r="12" spans="1:18">
      <c r="A12" s="15" t="s">
        <v>268</v>
      </c>
      <c r="B12" s="360">
        <v>3.1863582040406999E-2</v>
      </c>
      <c r="C12" s="433"/>
      <c r="D12" s="433"/>
    </row>
    <row r="13" spans="1:18">
      <c r="A13" s="15" t="s">
        <v>267</v>
      </c>
      <c r="B13" s="360">
        <v>5.5794347273117245E-2</v>
      </c>
      <c r="C13" s="433"/>
      <c r="D13" s="433"/>
    </row>
    <row r="14" spans="1:18">
      <c r="A14" s="15" t="s">
        <v>256</v>
      </c>
      <c r="B14" s="360">
        <v>0.23374291413554329</v>
      </c>
      <c r="C14" s="433"/>
      <c r="D14" s="433"/>
    </row>
    <row r="15" spans="1:18">
      <c r="A15" s="15" t="s">
        <v>272</v>
      </c>
      <c r="B15" s="360">
        <v>0.12270755891365608</v>
      </c>
      <c r="C15" s="433"/>
      <c r="D15" s="433"/>
    </row>
    <row r="16" spans="1:18">
      <c r="A16" s="15" t="s">
        <v>726</v>
      </c>
      <c r="B16" s="360">
        <v>4.2121761451219118E-2</v>
      </c>
      <c r="C16" s="433"/>
      <c r="D16" s="433"/>
    </row>
    <row r="17" spans="1:22">
      <c r="A17" s="15" t="s">
        <v>266</v>
      </c>
      <c r="B17" s="360">
        <v>1.255060122823257E-2</v>
      </c>
      <c r="C17" s="433"/>
      <c r="D17" s="433"/>
    </row>
    <row r="18" spans="1:22">
      <c r="A18" s="15" t="s">
        <v>748</v>
      </c>
      <c r="B18" s="360">
        <v>0.16379453573805774</v>
      </c>
      <c r="C18" s="433"/>
      <c r="D18" s="433"/>
    </row>
    <row r="19" spans="1:22">
      <c r="A19" s="15" t="s">
        <v>725</v>
      </c>
      <c r="B19" s="360">
        <v>8.8639553331737689E-2</v>
      </c>
      <c r="C19" s="433"/>
      <c r="D19" s="433"/>
      <c r="N19" s="218" t="s">
        <v>908</v>
      </c>
    </row>
    <row r="20" spans="1:22">
      <c r="A20" s="15" t="s">
        <v>273</v>
      </c>
      <c r="B20" s="360">
        <v>2.590476843098345E-3</v>
      </c>
      <c r="C20" s="433"/>
      <c r="D20" s="433"/>
    </row>
    <row r="21" spans="1:22">
      <c r="A21" s="15" t="s">
        <v>264</v>
      </c>
      <c r="B21" s="360">
        <v>9.6266945662747766E-2</v>
      </c>
      <c r="C21" s="433"/>
      <c r="D21" s="433"/>
      <c r="N21" t="s">
        <v>785</v>
      </c>
      <c r="O21" t="s">
        <v>729</v>
      </c>
    </row>
    <row r="22" spans="1:22">
      <c r="A22" s="15" t="s">
        <v>747</v>
      </c>
      <c r="B22" s="360">
        <v>1</v>
      </c>
      <c r="C22" s="433"/>
      <c r="D22" s="433"/>
      <c r="N22" t="s">
        <v>786</v>
      </c>
      <c r="O22" t="s">
        <v>729</v>
      </c>
    </row>
    <row r="23" spans="1:22">
      <c r="A23" s="266" t="s">
        <v>270</v>
      </c>
      <c r="B23" s="361">
        <f>B12+B16</f>
        <v>7.398534349162611E-2</v>
      </c>
      <c r="C23" s="433"/>
      <c r="D23" s="433"/>
      <c r="N23" t="s">
        <v>787</v>
      </c>
      <c r="O23" t="s">
        <v>729</v>
      </c>
    </row>
    <row r="24" spans="1:22">
      <c r="A24" s="432"/>
      <c r="B24" s="433"/>
      <c r="C24" s="433"/>
      <c r="D24" s="433"/>
      <c r="N24" t="s">
        <v>788</v>
      </c>
      <c r="O24" t="s">
        <v>729</v>
      </c>
    </row>
    <row r="25" spans="1:22">
      <c r="A25" s="434"/>
      <c r="B25" s="433"/>
      <c r="C25" s="433"/>
      <c r="D25" s="433"/>
      <c r="N25" t="s">
        <v>789</v>
      </c>
      <c r="O25" t="s">
        <v>729</v>
      </c>
    </row>
    <row r="26" spans="1:22">
      <c r="A26" s="434"/>
      <c r="B26" s="433"/>
      <c r="C26" s="433"/>
      <c r="D26" s="433"/>
      <c r="N26" t="s">
        <v>683</v>
      </c>
      <c r="O26" t="s">
        <v>872</v>
      </c>
    </row>
    <row r="27" spans="1:22">
      <c r="A27" s="232" t="s">
        <v>683</v>
      </c>
      <c r="B27" s="232" t="s">
        <v>872</v>
      </c>
      <c r="I27" s="218" t="s">
        <v>909</v>
      </c>
      <c r="U27" s="232" t="s">
        <v>683</v>
      </c>
      <c r="V27" s="232" t="s">
        <v>872</v>
      </c>
    </row>
    <row r="28" spans="1:22">
      <c r="A28" s="232"/>
      <c r="B28" s="232"/>
      <c r="P28" t="s">
        <v>730</v>
      </c>
    </row>
    <row r="29" spans="1:22">
      <c r="A29" s="232" t="s">
        <v>731</v>
      </c>
      <c r="B29" s="232" t="s">
        <v>875</v>
      </c>
      <c r="E29" s="218" t="s">
        <v>792</v>
      </c>
      <c r="F29" s="218" t="s">
        <v>880</v>
      </c>
      <c r="G29" s="218" t="s">
        <v>894</v>
      </c>
      <c r="I29" s="481"/>
      <c r="J29" s="482" t="s">
        <v>792</v>
      </c>
      <c r="K29" s="482" t="s">
        <v>880</v>
      </c>
      <c r="L29" s="481" t="s">
        <v>894</v>
      </c>
      <c r="N29" t="s">
        <v>731</v>
      </c>
      <c r="O29" t="s">
        <v>791</v>
      </c>
      <c r="P29" t="s">
        <v>790</v>
      </c>
      <c r="Q29" t="s">
        <v>892</v>
      </c>
      <c r="S29" s="218" t="s">
        <v>893</v>
      </c>
      <c r="U29" s="232" t="s">
        <v>731</v>
      </c>
      <c r="V29" s="232" t="s">
        <v>875</v>
      </c>
    </row>
    <row r="30" spans="1:22">
      <c r="A30" s="232" t="s">
        <v>311</v>
      </c>
      <c r="B30" s="232">
        <v>165907691.59999999</v>
      </c>
      <c r="D30" s="439" t="str">
        <f>A30</f>
        <v>Assembly</v>
      </c>
      <c r="E30" s="439">
        <f>B30</f>
        <v>165907691.59999999</v>
      </c>
      <c r="F30" s="360">
        <f t="shared" ref="F30:F47" si="0">E30/$E$48</f>
        <v>0.12949316922883078</v>
      </c>
      <c r="G30" s="34">
        <f>S30</f>
        <v>0.91177234717447209</v>
      </c>
      <c r="I30" s="438" t="s">
        <v>274</v>
      </c>
      <c r="J30" s="340">
        <f t="shared" ref="J30:J47" si="1">VLOOKUP($D30,$D$30:$F$47,2,FALSE)</f>
        <v>165907691.59999999</v>
      </c>
      <c r="K30" s="360">
        <f t="shared" ref="K30:K47" si="2">VLOOKUP($D30,$D$30:$F$47,3,FALSE)</f>
        <v>0.12949316922883078</v>
      </c>
      <c r="L30" s="360">
        <f t="shared" ref="L30:L47" si="3">VLOOKUP($I30,$D$30:$G$47,4,FALSE)</f>
        <v>0.95128694884061893</v>
      </c>
      <c r="N30" t="s">
        <v>311</v>
      </c>
      <c r="P30" s="453">
        <v>162680832.55865625</v>
      </c>
      <c r="Q30" s="453">
        <v>151270045.38443044</v>
      </c>
      <c r="R30" s="454">
        <f>V30</f>
        <v>165907691.59999999</v>
      </c>
      <c r="S30" s="32">
        <f>Q30/R30</f>
        <v>0.91177234717447209</v>
      </c>
      <c r="U30" s="232" t="s">
        <v>311</v>
      </c>
      <c r="V30" s="232">
        <v>165907691.59999999</v>
      </c>
    </row>
    <row r="31" spans="1:22">
      <c r="A31" s="232" t="s">
        <v>265</v>
      </c>
      <c r="B31" s="232">
        <v>26180915.399999999</v>
      </c>
      <c r="D31" s="440" t="s">
        <v>278</v>
      </c>
      <c r="E31" s="439">
        <f>SUM(B33:B35)</f>
        <v>22661825.399999999</v>
      </c>
      <c r="F31" s="360">
        <f t="shared" si="0"/>
        <v>1.7687857405861318E-2</v>
      </c>
      <c r="G31" s="32">
        <f>SUMPRODUCT(S32:S34,R32:R34)/SUM(R32:R34)</f>
        <v>0.92147944946531313</v>
      </c>
      <c r="I31" s="438" t="s">
        <v>275</v>
      </c>
      <c r="J31" s="340">
        <f t="shared" si="1"/>
        <v>22661825.399999999</v>
      </c>
      <c r="K31" s="360">
        <f t="shared" si="2"/>
        <v>1.7687857405861318E-2</v>
      </c>
      <c r="L31" s="360">
        <f t="shared" si="3"/>
        <v>0.97665874571205136</v>
      </c>
      <c r="N31" t="s">
        <v>265</v>
      </c>
      <c r="O31" t="s">
        <v>742</v>
      </c>
      <c r="P31" s="453">
        <v>3007817.5990934744</v>
      </c>
      <c r="Q31" s="453">
        <v>2951425.5438271598</v>
      </c>
      <c r="R31" s="454">
        <f>V32</f>
        <v>3519089.9999999995</v>
      </c>
      <c r="S31" s="32">
        <f t="shared" ref="S31:S50" si="4">Q31/R31</f>
        <v>0.83868998628257874</v>
      </c>
      <c r="U31" s="232" t="s">
        <v>265</v>
      </c>
      <c r="V31" s="232">
        <v>26180915.399999999</v>
      </c>
    </row>
    <row r="32" spans="1:22">
      <c r="A32" s="232" t="s">
        <v>742</v>
      </c>
      <c r="B32" s="232">
        <v>3519089.9999999995</v>
      </c>
      <c r="D32" s="440" t="s">
        <v>876</v>
      </c>
      <c r="E32" s="439">
        <f>B32</f>
        <v>3519089.9999999995</v>
      </c>
      <c r="F32" s="360">
        <f t="shared" si="0"/>
        <v>2.7466967474911578E-3</v>
      </c>
      <c r="G32" s="34">
        <f>S31</f>
        <v>0.83868998628257874</v>
      </c>
      <c r="I32" s="438" t="s">
        <v>276</v>
      </c>
      <c r="J32" s="340">
        <f t="shared" si="1"/>
        <v>3519089.9999999995</v>
      </c>
      <c r="K32" s="360">
        <f t="shared" si="2"/>
        <v>2.7466967474911578E-3</v>
      </c>
      <c r="L32" s="360">
        <f t="shared" si="3"/>
        <v>0.91122609210258287</v>
      </c>
      <c r="O32" t="s">
        <v>743</v>
      </c>
      <c r="P32" s="453">
        <v>3986446.8767986465</v>
      </c>
      <c r="Q32" s="453">
        <v>3879036.8423711793</v>
      </c>
      <c r="R32" s="454">
        <f>V33</f>
        <v>4873991.3999999994</v>
      </c>
      <c r="S32" s="32">
        <f t="shared" si="4"/>
        <v>0.79586452334962665</v>
      </c>
      <c r="U32" s="232" t="s">
        <v>742</v>
      </c>
      <c r="V32" s="232">
        <v>3519089.9999999995</v>
      </c>
    </row>
    <row r="33" spans="1:22">
      <c r="A33" s="232" t="s">
        <v>743</v>
      </c>
      <c r="B33" s="232">
        <v>4873991.3999999994</v>
      </c>
      <c r="D33" s="440" t="s">
        <v>268</v>
      </c>
      <c r="E33" s="439">
        <f>B36</f>
        <v>40823878</v>
      </c>
      <c r="F33" s="360">
        <f t="shared" si="0"/>
        <v>3.1863582040406992E-2</v>
      </c>
      <c r="I33" s="438" t="s">
        <v>721</v>
      </c>
      <c r="J33" s="340">
        <f t="shared" si="1"/>
        <v>40823878</v>
      </c>
      <c r="K33" s="360">
        <f t="shared" si="2"/>
        <v>3.1863582040406992E-2</v>
      </c>
      <c r="L33" s="360">
        <f t="shared" si="3"/>
        <v>0.98608503921852686</v>
      </c>
      <c r="O33" t="s">
        <v>744</v>
      </c>
      <c r="P33" s="453">
        <v>11467754.274220692</v>
      </c>
      <c r="Q33" s="453">
        <v>10683291.020562317</v>
      </c>
      <c r="R33" s="454">
        <f>V34</f>
        <v>11467755</v>
      </c>
      <c r="S33" s="32">
        <f t="shared" si="4"/>
        <v>0.93159393626410025</v>
      </c>
      <c r="U33" s="232" t="s">
        <v>743</v>
      </c>
      <c r="V33" s="232">
        <v>4873991.3999999994</v>
      </c>
    </row>
    <row r="34" spans="1:22">
      <c r="A34" s="232" t="s">
        <v>744</v>
      </c>
      <c r="B34" s="232">
        <v>11467755</v>
      </c>
      <c r="D34" s="440" t="s">
        <v>267</v>
      </c>
      <c r="E34" s="439">
        <f>B37</f>
        <v>71484167.200000003</v>
      </c>
      <c r="F34" s="360">
        <f t="shared" si="0"/>
        <v>5.5794347273117231E-2</v>
      </c>
      <c r="G34" s="34">
        <f>S35</f>
        <v>0.94438859080377269</v>
      </c>
      <c r="I34" s="438" t="s">
        <v>722</v>
      </c>
      <c r="J34" s="340">
        <f t="shared" si="1"/>
        <v>71484167.200000003</v>
      </c>
      <c r="K34" s="360">
        <f t="shared" si="2"/>
        <v>5.5794347273117231E-2</v>
      </c>
      <c r="L34" s="360">
        <f t="shared" si="3"/>
        <v>0.77181511362305244</v>
      </c>
      <c r="O34" t="s">
        <v>745</v>
      </c>
      <c r="P34" s="453">
        <v>6320078.5305375494</v>
      </c>
      <c r="Q34" s="453">
        <v>6320078.5305375513</v>
      </c>
      <c r="R34" s="454">
        <f>V35</f>
        <v>6320079</v>
      </c>
      <c r="S34" s="32">
        <f t="shared" si="4"/>
        <v>0.99999992571889551</v>
      </c>
      <c r="U34" s="232" t="s">
        <v>744</v>
      </c>
      <c r="V34" s="232">
        <v>11467755</v>
      </c>
    </row>
    <row r="35" spans="1:22">
      <c r="A35" s="232" t="s">
        <v>745</v>
      </c>
      <c r="B35" s="232">
        <v>6320079</v>
      </c>
      <c r="D35" s="440" t="s">
        <v>274</v>
      </c>
      <c r="E35" s="439">
        <f>B42+B43</f>
        <v>148846158</v>
      </c>
      <c r="F35" s="360">
        <f t="shared" si="0"/>
        <v>0.11617641437279382</v>
      </c>
      <c r="G35" s="32">
        <f>SUMPRODUCT(S39:S40,R39:R40)/SUM(R39:R40)</f>
        <v>0.95128694884061893</v>
      </c>
      <c r="I35" s="438" t="s">
        <v>723</v>
      </c>
      <c r="J35" s="340">
        <f t="shared" si="1"/>
        <v>148846158</v>
      </c>
      <c r="K35" s="360">
        <f t="shared" si="2"/>
        <v>0.11617641437279382</v>
      </c>
      <c r="L35" s="360">
        <f t="shared" si="3"/>
        <v>0.90527535536267667</v>
      </c>
      <c r="N35" t="s">
        <v>267</v>
      </c>
      <c r="P35" s="453">
        <v>67358224.807189479</v>
      </c>
      <c r="Q35" s="453">
        <v>67508831.926789269</v>
      </c>
      <c r="R35" s="454">
        <f>V37</f>
        <v>71484167.200000003</v>
      </c>
      <c r="S35" s="32">
        <f t="shared" si="4"/>
        <v>0.94438859080377269</v>
      </c>
      <c r="U35" s="232" t="s">
        <v>745</v>
      </c>
      <c r="V35" s="232">
        <v>6320079</v>
      </c>
    </row>
    <row r="36" spans="1:22">
      <c r="A36" s="232" t="s">
        <v>268</v>
      </c>
      <c r="B36" s="232">
        <v>40823878</v>
      </c>
      <c r="D36" s="440" t="s">
        <v>275</v>
      </c>
      <c r="E36" s="439">
        <f>B40+B41</f>
        <v>127597664</v>
      </c>
      <c r="F36" s="360">
        <f t="shared" si="0"/>
        <v>9.9591681001699198E-2</v>
      </c>
      <c r="G36" s="32">
        <f>SUMPRODUCT(S37:S38,R37:R38)/SUM(R37:R38)</f>
        <v>0.97665874571205136</v>
      </c>
      <c r="I36" s="438" t="s">
        <v>724</v>
      </c>
      <c r="J36" s="340">
        <f t="shared" si="1"/>
        <v>127597664</v>
      </c>
      <c r="K36" s="360">
        <f t="shared" si="2"/>
        <v>9.9591681001699198E-2</v>
      </c>
      <c r="L36" s="360">
        <f t="shared" si="3"/>
        <v>0.53668215741883951</v>
      </c>
      <c r="N36" t="s">
        <v>256</v>
      </c>
      <c r="O36" t="s">
        <v>742</v>
      </c>
      <c r="P36" s="453">
        <v>23029482.214190245</v>
      </c>
      <c r="Q36" s="453">
        <v>20985065.432742432</v>
      </c>
      <c r="R36" s="454">
        <f t="shared" ref="R36:R43" si="5">V39</f>
        <v>23029482.600000001</v>
      </c>
      <c r="S36" s="32">
        <f t="shared" si="4"/>
        <v>0.91122609210258287</v>
      </c>
      <c r="U36" s="232" t="s">
        <v>268</v>
      </c>
      <c r="V36" s="232">
        <v>40823878</v>
      </c>
    </row>
    <row r="37" spans="1:22">
      <c r="A37" s="232" t="s">
        <v>267</v>
      </c>
      <c r="B37" s="232">
        <v>71484167.200000003</v>
      </c>
      <c r="D37" s="440" t="s">
        <v>276</v>
      </c>
      <c r="E37" s="439">
        <f>B39</f>
        <v>23029482.600000001</v>
      </c>
      <c r="F37" s="360">
        <f t="shared" si="0"/>
        <v>1.7974818761050219E-2</v>
      </c>
      <c r="G37" s="34">
        <f>S36</f>
        <v>0.91122609210258287</v>
      </c>
      <c r="I37" s="438" t="s">
        <v>725</v>
      </c>
      <c r="J37" s="340">
        <f t="shared" si="1"/>
        <v>23029482.600000001</v>
      </c>
      <c r="K37" s="360">
        <f t="shared" si="2"/>
        <v>1.7974818761050219E-2</v>
      </c>
      <c r="L37" s="360">
        <f t="shared" si="3"/>
        <v>0.96128535178408803</v>
      </c>
      <c r="O37" t="s">
        <v>743</v>
      </c>
      <c r="P37" s="453">
        <v>80784182.574405566</v>
      </c>
      <c r="Q37" s="453">
        <v>82746734.576799899</v>
      </c>
      <c r="R37" s="454">
        <f t="shared" si="5"/>
        <v>85725024</v>
      </c>
      <c r="S37" s="32">
        <f t="shared" si="4"/>
        <v>0.96525764258520241</v>
      </c>
      <c r="U37" s="232" t="s">
        <v>267</v>
      </c>
      <c r="V37" s="232">
        <v>71484167.200000003</v>
      </c>
    </row>
    <row r="38" spans="1:22">
      <c r="A38" s="232" t="s">
        <v>256</v>
      </c>
      <c r="B38" s="232">
        <v>299473304.60000002</v>
      </c>
      <c r="D38" s="440" t="s">
        <v>272</v>
      </c>
      <c r="E38" s="439">
        <f>B44</f>
        <v>157213913</v>
      </c>
      <c r="F38" s="360">
        <f t="shared" si="0"/>
        <v>0.12270755891365605</v>
      </c>
      <c r="G38" s="34">
        <f>S41</f>
        <v>0.87717751610580841</v>
      </c>
      <c r="I38" s="438" t="s">
        <v>273</v>
      </c>
      <c r="J38" s="340">
        <f t="shared" si="1"/>
        <v>157213913</v>
      </c>
      <c r="K38" s="360">
        <f t="shared" si="2"/>
        <v>0.12270755891365605</v>
      </c>
      <c r="L38" s="360">
        <f t="shared" si="3"/>
        <v>0</v>
      </c>
      <c r="O38" t="s">
        <v>744</v>
      </c>
      <c r="P38" s="453">
        <v>34539301.857369535</v>
      </c>
      <c r="Q38" s="453">
        <v>41872639.901227877</v>
      </c>
      <c r="R38" s="454">
        <f t="shared" si="5"/>
        <v>41872640</v>
      </c>
      <c r="S38" s="32">
        <f t="shared" si="4"/>
        <v>0.99999999764112979</v>
      </c>
      <c r="U38" s="232" t="s">
        <v>256</v>
      </c>
      <c r="V38" s="232">
        <v>299473304.60000002</v>
      </c>
    </row>
    <row r="39" spans="1:22">
      <c r="A39" s="232" t="s">
        <v>742</v>
      </c>
      <c r="B39" s="232">
        <v>23029482.600000001</v>
      </c>
      <c r="D39" s="440" t="s">
        <v>877</v>
      </c>
      <c r="E39" s="439">
        <f>B45</f>
        <v>53966740.100000001</v>
      </c>
      <c r="F39" s="360">
        <f t="shared" si="0"/>
        <v>4.2121761451219111E-2</v>
      </c>
      <c r="G39" s="34">
        <f>S42</f>
        <v>0.8423386600487599</v>
      </c>
      <c r="I39" s="438" t="s">
        <v>264</v>
      </c>
      <c r="J39" s="340">
        <f t="shared" si="1"/>
        <v>53966740.100000001</v>
      </c>
      <c r="K39" s="360">
        <f t="shared" si="2"/>
        <v>4.2121761451219111E-2</v>
      </c>
      <c r="L39" s="360">
        <f t="shared" si="3"/>
        <v>0.18162271351024481</v>
      </c>
      <c r="O39" t="s">
        <v>745</v>
      </c>
      <c r="P39" s="453">
        <v>43034153.216813698</v>
      </c>
      <c r="Q39" s="453">
        <v>63253424.725206777</v>
      </c>
      <c r="R39" s="454">
        <f t="shared" si="5"/>
        <v>63929821</v>
      </c>
      <c r="S39" s="32">
        <f t="shared" si="4"/>
        <v>0.98941970641849253</v>
      </c>
      <c r="U39" s="232" t="s">
        <v>742</v>
      </c>
      <c r="V39" s="232">
        <v>23029482.600000001</v>
      </c>
    </row>
    <row r="40" spans="1:22">
      <c r="A40" s="232" t="s">
        <v>743</v>
      </c>
      <c r="B40" s="232">
        <v>85725024</v>
      </c>
      <c r="D40" s="440" t="s">
        <v>266</v>
      </c>
      <c r="E40" s="439">
        <f>B47+B48</f>
        <v>16079931.400000002</v>
      </c>
      <c r="F40" s="360">
        <f t="shared" si="0"/>
        <v>1.2550601228232568E-2</v>
      </c>
      <c r="G40" s="34">
        <f>S43</f>
        <v>0.99999997512427186</v>
      </c>
      <c r="I40" s="438" t="s">
        <v>278</v>
      </c>
      <c r="J40" s="340">
        <f t="shared" si="1"/>
        <v>16079931.400000002</v>
      </c>
      <c r="K40" s="360">
        <f t="shared" si="2"/>
        <v>1.2550601228232568E-2</v>
      </c>
      <c r="L40" s="360">
        <f t="shared" si="3"/>
        <v>0.92147944946531313</v>
      </c>
      <c r="O40" t="s">
        <v>746</v>
      </c>
      <c r="P40" s="453">
        <v>64636550.250122726</v>
      </c>
      <c r="Q40" s="453">
        <v>78341982.765261889</v>
      </c>
      <c r="R40" s="454">
        <f t="shared" si="5"/>
        <v>84916337</v>
      </c>
      <c r="S40" s="32">
        <f t="shared" si="4"/>
        <v>0.92257845230961733</v>
      </c>
      <c r="U40" s="232" t="s">
        <v>743</v>
      </c>
      <c r="V40" s="232">
        <v>85725024</v>
      </c>
    </row>
    <row r="41" spans="1:22">
      <c r="A41" s="232" t="s">
        <v>744</v>
      </c>
      <c r="B41" s="232">
        <v>41872640</v>
      </c>
      <c r="D41" s="440" t="s">
        <v>721</v>
      </c>
      <c r="E41" s="439">
        <f>B53</f>
        <v>59225697</v>
      </c>
      <c r="F41" s="360">
        <f t="shared" si="0"/>
        <v>4.6226447552576613E-2</v>
      </c>
      <c r="G41" s="32">
        <f>S47</f>
        <v>0.98608503921852686</v>
      </c>
      <c r="I41" s="438" t="s">
        <v>446</v>
      </c>
      <c r="J41" s="340">
        <f t="shared" si="1"/>
        <v>59225697</v>
      </c>
      <c r="K41" s="360">
        <f t="shared" si="2"/>
        <v>4.6226447552576613E-2</v>
      </c>
      <c r="L41" s="360">
        <f t="shared" si="3"/>
        <v>0.83868998628257874</v>
      </c>
      <c r="N41" t="s">
        <v>272</v>
      </c>
      <c r="P41" s="453">
        <v>153654082.32473806</v>
      </c>
      <c r="Q41" s="453">
        <v>137904509.70261467</v>
      </c>
      <c r="R41" s="454">
        <f t="shared" si="5"/>
        <v>157213913</v>
      </c>
      <c r="S41" s="32">
        <f t="shared" si="4"/>
        <v>0.87717751610580841</v>
      </c>
      <c r="U41" s="232" t="s">
        <v>744</v>
      </c>
      <c r="V41" s="232">
        <v>41872640</v>
      </c>
    </row>
    <row r="42" spans="1:22">
      <c r="A42" s="232" t="s">
        <v>745</v>
      </c>
      <c r="B42" s="232">
        <v>63929821</v>
      </c>
      <c r="D42" s="440" t="s">
        <v>722</v>
      </c>
      <c r="E42" s="439">
        <f>B52</f>
        <v>72646954</v>
      </c>
      <c r="F42" s="360">
        <f t="shared" si="0"/>
        <v>5.6701917901201666E-2</v>
      </c>
      <c r="G42" s="34">
        <f>S46</f>
        <v>0.77181511362305244</v>
      </c>
      <c r="I42" s="438" t="s">
        <v>266</v>
      </c>
      <c r="J42" s="340">
        <f t="shared" si="1"/>
        <v>72646954</v>
      </c>
      <c r="K42" s="360">
        <f t="shared" si="2"/>
        <v>5.6701917901201666E-2</v>
      </c>
      <c r="L42" s="360">
        <f t="shared" si="3"/>
        <v>0.99999997512427186</v>
      </c>
      <c r="N42" t="s">
        <v>726</v>
      </c>
      <c r="P42" s="453">
        <v>49714392.777311653</v>
      </c>
      <c r="Q42" s="453">
        <v>45458271.543033682</v>
      </c>
      <c r="R42" s="454">
        <f t="shared" si="5"/>
        <v>53966740.100000001</v>
      </c>
      <c r="S42" s="32">
        <f t="shared" si="4"/>
        <v>0.8423386600487599</v>
      </c>
      <c r="U42" s="232" t="s">
        <v>745</v>
      </c>
      <c r="V42" s="232">
        <v>63929821</v>
      </c>
    </row>
    <row r="43" spans="1:22">
      <c r="A43" s="232" t="s">
        <v>746</v>
      </c>
      <c r="B43" s="232">
        <v>84916337</v>
      </c>
      <c r="D43" s="440" t="s">
        <v>723</v>
      </c>
      <c r="E43" s="439">
        <f>B51</f>
        <v>68116174</v>
      </c>
      <c r="F43" s="360">
        <f t="shared" si="0"/>
        <v>5.3165583596140417E-2</v>
      </c>
      <c r="G43" s="34">
        <f>S45</f>
        <v>0.90527535536267667</v>
      </c>
      <c r="I43" s="438" t="s">
        <v>267</v>
      </c>
      <c r="J43" s="340">
        <f t="shared" si="1"/>
        <v>68116174</v>
      </c>
      <c r="K43" s="360">
        <f t="shared" si="2"/>
        <v>5.3165583596140417E-2</v>
      </c>
      <c r="L43" s="360">
        <f t="shared" si="3"/>
        <v>0.94438859080377269</v>
      </c>
      <c r="N43" t="s">
        <v>266</v>
      </c>
      <c r="P43" s="453">
        <v>15578466.927956199</v>
      </c>
      <c r="Q43" s="453">
        <v>16079931</v>
      </c>
      <c r="R43" s="454">
        <f t="shared" si="5"/>
        <v>16079931.400000002</v>
      </c>
      <c r="S43" s="32">
        <f t="shared" si="4"/>
        <v>0.99999997512427186</v>
      </c>
      <c r="U43" s="232" t="s">
        <v>746</v>
      </c>
      <c r="V43" s="232">
        <v>84916337</v>
      </c>
    </row>
    <row r="44" spans="1:22">
      <c r="A44" s="232" t="s">
        <v>272</v>
      </c>
      <c r="B44" s="232">
        <v>157213913</v>
      </c>
      <c r="D44" s="440" t="s">
        <v>724</v>
      </c>
      <c r="E44" s="439">
        <f>B50</f>
        <v>9866053.6999999993</v>
      </c>
      <c r="F44" s="360">
        <f t="shared" si="0"/>
        <v>7.7005866881390082E-3</v>
      </c>
      <c r="G44" s="34">
        <f>S44</f>
        <v>0.53668215741883951</v>
      </c>
      <c r="I44" s="438" t="s">
        <v>268</v>
      </c>
      <c r="J44" s="340">
        <f t="shared" si="1"/>
        <v>9866053.6999999993</v>
      </c>
      <c r="K44" s="360">
        <f t="shared" si="2"/>
        <v>7.7005866881390082E-3</v>
      </c>
      <c r="L44" s="360">
        <f t="shared" si="3"/>
        <v>0</v>
      </c>
      <c r="N44" t="s">
        <v>748</v>
      </c>
      <c r="O44" t="s">
        <v>742</v>
      </c>
      <c r="P44" s="453">
        <v>9866053.8742124401</v>
      </c>
      <c r="Q44" s="453">
        <v>5294934.9849261232</v>
      </c>
      <c r="R44" s="454">
        <f>V50</f>
        <v>9866053.6999999993</v>
      </c>
      <c r="S44" s="32">
        <f t="shared" si="4"/>
        <v>0.53668215741883951</v>
      </c>
      <c r="U44" s="232" t="s">
        <v>272</v>
      </c>
      <c r="V44" s="232">
        <v>157213913</v>
      </c>
    </row>
    <row r="45" spans="1:22">
      <c r="A45" s="232" t="s">
        <v>726</v>
      </c>
      <c r="B45" s="232">
        <v>53966740.100000001</v>
      </c>
      <c r="D45" s="439" t="str">
        <f t="shared" ref="D45:E47" si="6">A54</f>
        <v>School K-12</v>
      </c>
      <c r="E45" s="439">
        <f t="shared" si="6"/>
        <v>113565709.8</v>
      </c>
      <c r="F45" s="360">
        <f t="shared" si="0"/>
        <v>8.8639553331737675E-2</v>
      </c>
      <c r="G45" s="34">
        <f>S48</f>
        <v>0.96128535178408803</v>
      </c>
      <c r="I45" s="438" t="s">
        <v>726</v>
      </c>
      <c r="J45" s="340">
        <f t="shared" si="1"/>
        <v>113565709.8</v>
      </c>
      <c r="K45" s="360">
        <f t="shared" si="2"/>
        <v>8.8639553331737675E-2</v>
      </c>
      <c r="L45" s="360">
        <f t="shared" si="3"/>
        <v>0.8423386600487599</v>
      </c>
      <c r="O45" t="s">
        <v>743</v>
      </c>
      <c r="P45" s="453">
        <v>62095801.889099516</v>
      </c>
      <c r="Q45" s="453">
        <v>61663893.623795919</v>
      </c>
      <c r="R45" s="454">
        <f>V51</f>
        <v>68116174</v>
      </c>
      <c r="S45" s="32">
        <f t="shared" si="4"/>
        <v>0.90527535536267667</v>
      </c>
      <c r="U45" s="232" t="s">
        <v>726</v>
      </c>
      <c r="V45" s="232">
        <v>53966740.100000001</v>
      </c>
    </row>
    <row r="46" spans="1:22">
      <c r="A46" s="232" t="s">
        <v>266</v>
      </c>
      <c r="B46" s="232">
        <v>16079931.400000002</v>
      </c>
      <c r="D46" s="439" t="str">
        <f t="shared" si="6"/>
        <v>University</v>
      </c>
      <c r="E46" s="439">
        <f t="shared" si="6"/>
        <v>3318939.8</v>
      </c>
      <c r="F46" s="360">
        <f t="shared" si="0"/>
        <v>2.5904768430983446E-3</v>
      </c>
      <c r="I46" s="438" t="s">
        <v>311</v>
      </c>
      <c r="J46" s="340">
        <f t="shared" si="1"/>
        <v>3318939.8</v>
      </c>
      <c r="K46" s="360">
        <f t="shared" si="2"/>
        <v>2.5904768430983446E-3</v>
      </c>
      <c r="L46" s="360">
        <f t="shared" si="3"/>
        <v>0.91177234717447209</v>
      </c>
      <c r="O46" t="s">
        <v>744</v>
      </c>
      <c r="P46" s="453">
        <v>72646953.999999955</v>
      </c>
      <c r="Q46" s="453">
        <v>56070017.055878662</v>
      </c>
      <c r="R46" s="454">
        <f>V52</f>
        <v>72646954</v>
      </c>
      <c r="S46" s="32">
        <f t="shared" si="4"/>
        <v>0.77181511362305244</v>
      </c>
      <c r="U46" s="232" t="s">
        <v>266</v>
      </c>
      <c r="V46" s="232">
        <v>16079931.400000002</v>
      </c>
    </row>
    <row r="47" spans="1:22">
      <c r="A47" s="232" t="s">
        <v>742</v>
      </c>
      <c r="B47" s="232">
        <v>4744164.2</v>
      </c>
      <c r="D47" s="439" t="str">
        <f t="shared" si="6"/>
        <v>Warehouse</v>
      </c>
      <c r="E47" s="439">
        <f t="shared" si="6"/>
        <v>123337986.3</v>
      </c>
      <c r="F47" s="360">
        <f t="shared" si="0"/>
        <v>9.6266945662747752E-2</v>
      </c>
      <c r="G47" s="34">
        <f>S49</f>
        <v>0.18162271351024481</v>
      </c>
      <c r="I47" s="438" t="s">
        <v>272</v>
      </c>
      <c r="J47" s="340">
        <f t="shared" si="1"/>
        <v>123337986.3</v>
      </c>
      <c r="K47" s="360">
        <f t="shared" si="2"/>
        <v>9.6266945662747752E-2</v>
      </c>
      <c r="L47" s="360">
        <f t="shared" si="3"/>
        <v>0.87717751610580841</v>
      </c>
      <c r="O47" t="s">
        <v>746</v>
      </c>
      <c r="P47" s="453">
        <v>59225697.00000003</v>
      </c>
      <c r="Q47" s="453">
        <v>58401573.74898959</v>
      </c>
      <c r="R47" s="454">
        <f>V53</f>
        <v>59225697</v>
      </c>
      <c r="S47" s="32">
        <f t="shared" si="4"/>
        <v>0.98608503921852686</v>
      </c>
      <c r="U47" s="232" t="s">
        <v>742</v>
      </c>
      <c r="V47" s="232">
        <v>4744164.2</v>
      </c>
    </row>
    <row r="48" spans="1:22">
      <c r="A48" s="232" t="s">
        <v>743</v>
      </c>
      <c r="B48" s="232">
        <v>11335767.200000001</v>
      </c>
      <c r="E48" s="433">
        <f>SUM(E30:E47)</f>
        <v>1281208055.9000001</v>
      </c>
      <c r="J48" s="433">
        <f>SUM(J30:J47)</f>
        <v>1281208055.9000001</v>
      </c>
      <c r="K48" s="34">
        <f>SUM(K30:K47)</f>
        <v>1</v>
      </c>
      <c r="N48" t="s">
        <v>725</v>
      </c>
      <c r="P48" s="453">
        <v>110527499.14520694</v>
      </c>
      <c r="Q48" s="453">
        <v>109169053.29570265</v>
      </c>
      <c r="R48" s="454">
        <f>V54</f>
        <v>113565709.8</v>
      </c>
      <c r="S48" s="32">
        <f t="shared" si="4"/>
        <v>0.96128535178408803</v>
      </c>
      <c r="U48" s="232" t="s">
        <v>743</v>
      </c>
      <c r="V48" s="232">
        <v>11335767.200000001</v>
      </c>
    </row>
    <row r="49" spans="1:22">
      <c r="A49" s="232" t="s">
        <v>748</v>
      </c>
      <c r="B49" s="232">
        <v>209854878.69999999</v>
      </c>
      <c r="N49" t="s">
        <v>264</v>
      </c>
      <c r="P49" s="453">
        <v>84732711.903829709</v>
      </c>
      <c r="Q49" s="453">
        <v>22400979.7506954</v>
      </c>
      <c r="R49" s="454">
        <f>V56</f>
        <v>123337986.3</v>
      </c>
      <c r="S49" s="32">
        <f t="shared" si="4"/>
        <v>0.18162271351024481</v>
      </c>
      <c r="U49" s="232" t="s">
        <v>748</v>
      </c>
      <c r="V49" s="232">
        <v>209854878.69999999</v>
      </c>
    </row>
    <row r="50" spans="1:22">
      <c r="A50" s="232" t="s">
        <v>742</v>
      </c>
      <c r="B50" s="232">
        <v>9866053.6999999993</v>
      </c>
      <c r="N50" t="s">
        <v>747</v>
      </c>
      <c r="P50" s="453">
        <v>1118886484.6017523</v>
      </c>
      <c r="Q50" s="453">
        <v>1042255721.3553934</v>
      </c>
      <c r="R50" s="454">
        <f>V57</f>
        <v>1281208055.9000001</v>
      </c>
      <c r="S50" s="32">
        <f t="shared" si="4"/>
        <v>0.81349451133699613</v>
      </c>
      <c r="U50" s="232" t="s">
        <v>742</v>
      </c>
      <c r="V50" s="232">
        <v>9866053.6999999993</v>
      </c>
    </row>
    <row r="51" spans="1:22">
      <c r="A51" s="232" t="s">
        <v>743</v>
      </c>
      <c r="B51" s="232">
        <v>68116174</v>
      </c>
      <c r="U51" s="232" t="s">
        <v>743</v>
      </c>
      <c r="V51" s="232">
        <v>68116174</v>
      </c>
    </row>
    <row r="52" spans="1:22">
      <c r="A52" s="232" t="s">
        <v>744</v>
      </c>
      <c r="B52" s="232">
        <v>72646954</v>
      </c>
      <c r="U52" s="232" t="s">
        <v>744</v>
      </c>
      <c r="V52" s="232">
        <v>72646954</v>
      </c>
    </row>
    <row r="53" spans="1:22">
      <c r="A53" s="232" t="s">
        <v>746</v>
      </c>
      <c r="B53" s="232">
        <v>59225697</v>
      </c>
      <c r="U53" s="232" t="s">
        <v>746</v>
      </c>
      <c r="V53" s="232">
        <v>59225697</v>
      </c>
    </row>
    <row r="54" spans="1:22">
      <c r="A54" s="232" t="s">
        <v>725</v>
      </c>
      <c r="B54" s="232">
        <v>113565709.8</v>
      </c>
      <c r="U54" s="232" t="s">
        <v>725</v>
      </c>
      <c r="V54" s="232">
        <v>113565709.8</v>
      </c>
    </row>
    <row r="55" spans="1:22">
      <c r="A55" s="232" t="s">
        <v>273</v>
      </c>
      <c r="B55" s="232">
        <v>3318939.8</v>
      </c>
      <c r="U55" s="232" t="s">
        <v>273</v>
      </c>
      <c r="V55" s="232">
        <v>3318939.8</v>
      </c>
    </row>
    <row r="56" spans="1:22">
      <c r="A56" s="232" t="s">
        <v>264</v>
      </c>
      <c r="B56" s="232">
        <v>123337986.3</v>
      </c>
      <c r="U56" s="232" t="s">
        <v>264</v>
      </c>
      <c r="V56" s="232">
        <v>123337986.3</v>
      </c>
    </row>
    <row r="57" spans="1:22">
      <c r="A57" s="232" t="s">
        <v>747</v>
      </c>
      <c r="B57" s="232">
        <v>1281208055.9000001</v>
      </c>
      <c r="U57" s="232" t="s">
        <v>747</v>
      </c>
      <c r="V57" s="232">
        <v>1281208055.9000001</v>
      </c>
    </row>
    <row r="62" spans="1:22">
      <c r="A62" s="484" t="s">
        <v>907</v>
      </c>
      <c r="B62" s="483"/>
      <c r="C62" s="483"/>
      <c r="D62" s="483"/>
      <c r="E62" s="483"/>
      <c r="F62" s="483"/>
      <c r="G62" s="483"/>
      <c r="H62" s="483"/>
      <c r="I62" s="483"/>
      <c r="J62" s="483"/>
      <c r="K62" s="483"/>
      <c r="L62" s="483"/>
      <c r="M62" s="483"/>
      <c r="N62" s="483"/>
      <c r="O62" s="483"/>
      <c r="P62" s="483"/>
      <c r="Q62" s="483"/>
    </row>
    <row r="63" spans="1:22">
      <c r="A63" t="s">
        <v>785</v>
      </c>
      <c r="B63" t="s">
        <v>729</v>
      </c>
    </row>
    <row r="64" spans="1:22">
      <c r="A64" t="s">
        <v>786</v>
      </c>
      <c r="B64" t="s">
        <v>729</v>
      </c>
    </row>
    <row r="65" spans="1:18">
      <c r="A65" t="s">
        <v>787</v>
      </c>
      <c r="B65" t="s">
        <v>729</v>
      </c>
    </row>
    <row r="66" spans="1:18">
      <c r="A66" t="s">
        <v>789</v>
      </c>
      <c r="B66" t="s">
        <v>729</v>
      </c>
    </row>
    <row r="67" spans="1:18">
      <c r="A67" t="s">
        <v>683</v>
      </c>
      <c r="B67" t="s">
        <v>872</v>
      </c>
    </row>
    <row r="68" spans="1:18">
      <c r="A68" t="s">
        <v>793</v>
      </c>
      <c r="B68" t="s">
        <v>772</v>
      </c>
    </row>
    <row r="70" spans="1:18">
      <c r="A70" t="s">
        <v>790</v>
      </c>
      <c r="C70" t="s">
        <v>771</v>
      </c>
      <c r="F70" s="218" t="s">
        <v>222</v>
      </c>
    </row>
    <row r="71" spans="1:18">
      <c r="A71" t="s">
        <v>731</v>
      </c>
      <c r="B71" t="s">
        <v>791</v>
      </c>
      <c r="C71">
        <v>1</v>
      </c>
      <c r="D71">
        <v>3</v>
      </c>
      <c r="E71">
        <v>4</v>
      </c>
      <c r="F71">
        <v>5</v>
      </c>
      <c r="G71">
        <v>6</v>
      </c>
      <c r="H71">
        <v>8</v>
      </c>
      <c r="I71">
        <v>9</v>
      </c>
      <c r="J71">
        <v>10</v>
      </c>
      <c r="K71">
        <v>11</v>
      </c>
      <c r="L71">
        <v>12</v>
      </c>
      <c r="M71">
        <v>13</v>
      </c>
      <c r="N71" t="s">
        <v>878</v>
      </c>
      <c r="O71" t="s">
        <v>747</v>
      </c>
      <c r="P71" s="271" t="s">
        <v>792</v>
      </c>
      <c r="Q71" s="2" t="s">
        <v>222</v>
      </c>
      <c r="R71" s="2" t="s">
        <v>879</v>
      </c>
    </row>
    <row r="72" spans="1:18">
      <c r="A72" s="432" t="s">
        <v>311</v>
      </c>
      <c r="C72" s="385">
        <v>3.6534593810539057E-2</v>
      </c>
      <c r="D72" s="385">
        <v>9.6072243813068336E-2</v>
      </c>
      <c r="E72" s="385">
        <v>0</v>
      </c>
      <c r="F72" s="385">
        <v>0.50965114798682787</v>
      </c>
      <c r="G72" s="385">
        <v>3.1956647213604777E-2</v>
      </c>
      <c r="H72" s="385">
        <v>0</v>
      </c>
      <c r="I72" s="385">
        <v>0</v>
      </c>
      <c r="J72" s="385">
        <v>3.5497740342013101E-3</v>
      </c>
      <c r="K72" s="385">
        <v>5.8039414061002159E-4</v>
      </c>
      <c r="L72" s="385">
        <v>0</v>
      </c>
      <c r="M72" s="385">
        <v>0</v>
      </c>
      <c r="N72" s="385">
        <v>0.32165519900114858</v>
      </c>
      <c r="O72" s="385">
        <v>1</v>
      </c>
      <c r="P72" s="453">
        <f>F102</f>
        <v>323583577.89067554</v>
      </c>
      <c r="Q72" s="385">
        <f>F72</f>
        <v>0.50965114798682787</v>
      </c>
      <c r="R72" s="385">
        <f>1-Q72</f>
        <v>0.49034885201317213</v>
      </c>
    </row>
    <row r="73" spans="1:18">
      <c r="A73" s="432" t="s">
        <v>265</v>
      </c>
      <c r="B73" s="432" t="s">
        <v>742</v>
      </c>
      <c r="C73" s="385">
        <v>0</v>
      </c>
      <c r="D73" s="385">
        <v>0</v>
      </c>
      <c r="E73" s="385">
        <v>0.18622247697050309</v>
      </c>
      <c r="F73" s="385">
        <v>0.81377752302949691</v>
      </c>
      <c r="G73" s="385">
        <v>0</v>
      </c>
      <c r="H73" s="385">
        <v>0</v>
      </c>
      <c r="I73" s="385">
        <v>0</v>
      </c>
      <c r="J73" s="385">
        <v>0</v>
      </c>
      <c r="K73" s="385">
        <v>0</v>
      </c>
      <c r="L73" s="385">
        <v>0</v>
      </c>
      <c r="M73" s="385">
        <v>0</v>
      </c>
      <c r="N73" s="385">
        <v>0</v>
      </c>
      <c r="O73" s="385">
        <v>1</v>
      </c>
      <c r="P73" s="453">
        <f>F103</f>
        <v>9815889.4471183456</v>
      </c>
      <c r="Q73" s="385">
        <f t="shared" ref="Q73:Q91" si="7">F73</f>
        <v>0.81377752302949691</v>
      </c>
      <c r="R73" s="385">
        <f t="shared" ref="R73:R91" si="8">1-Q73</f>
        <v>0.18622247697050309</v>
      </c>
    </row>
    <row r="74" spans="1:18">
      <c r="B74" s="432" t="s">
        <v>743</v>
      </c>
      <c r="C74" s="385">
        <v>0.81202354242998354</v>
      </c>
      <c r="D74" s="385">
        <v>3.3971992626398925E-2</v>
      </c>
      <c r="E74" s="385">
        <v>0</v>
      </c>
      <c r="F74" s="385">
        <v>0.15400446494361758</v>
      </c>
      <c r="G74" s="385">
        <v>0</v>
      </c>
      <c r="H74" s="385">
        <v>0</v>
      </c>
      <c r="I74" s="385">
        <v>0</v>
      </c>
      <c r="J74" s="385">
        <v>0</v>
      </c>
      <c r="K74" s="385">
        <v>0</v>
      </c>
      <c r="L74" s="385">
        <v>0</v>
      </c>
      <c r="M74" s="385">
        <v>0</v>
      </c>
      <c r="N74" s="385">
        <v>0</v>
      </c>
      <c r="O74" s="385">
        <v>1</v>
      </c>
      <c r="P74" s="453">
        <f>F104</f>
        <v>16084444.905748043</v>
      </c>
      <c r="Q74" s="385">
        <f t="shared" si="7"/>
        <v>0.15400446494361758</v>
      </c>
      <c r="R74" s="385">
        <f t="shared" si="8"/>
        <v>0.84599553505638236</v>
      </c>
    </row>
    <row r="75" spans="1:18">
      <c r="B75" s="432" t="s">
        <v>744</v>
      </c>
      <c r="C75" s="385">
        <v>0</v>
      </c>
      <c r="D75" s="385">
        <v>0</v>
      </c>
      <c r="E75" s="385">
        <v>0</v>
      </c>
      <c r="F75" s="385">
        <v>0.18249203765273975</v>
      </c>
      <c r="G75" s="385">
        <v>0</v>
      </c>
      <c r="H75" s="385">
        <v>0</v>
      </c>
      <c r="I75" s="385">
        <v>0.8175079623472602</v>
      </c>
      <c r="J75" s="385">
        <v>0</v>
      </c>
      <c r="K75" s="385">
        <v>0</v>
      </c>
      <c r="L75" s="385">
        <v>0</v>
      </c>
      <c r="M75" s="385">
        <v>0</v>
      </c>
      <c r="N75" s="385">
        <v>0</v>
      </c>
      <c r="O75" s="385">
        <v>1</v>
      </c>
      <c r="P75" s="453">
        <f>F105</f>
        <v>23241500.137925949</v>
      </c>
      <c r="Q75" s="385">
        <f t="shared" si="7"/>
        <v>0.18249203765273975</v>
      </c>
      <c r="R75" s="385">
        <f t="shared" si="8"/>
        <v>0.81750796234726031</v>
      </c>
    </row>
    <row r="76" spans="1:18">
      <c r="A76" s="432" t="s">
        <v>267</v>
      </c>
      <c r="C76" s="385">
        <v>2.6830345435340821E-2</v>
      </c>
      <c r="D76" s="385">
        <v>1.3652575123708729E-2</v>
      </c>
      <c r="E76" s="385">
        <v>2.8001180638092205E-2</v>
      </c>
      <c r="F76" s="385">
        <v>0.18888064796136644</v>
      </c>
      <c r="G76" s="385">
        <v>0.57870617384054446</v>
      </c>
      <c r="H76" s="385">
        <v>0</v>
      </c>
      <c r="I76" s="385">
        <v>0</v>
      </c>
      <c r="J76" s="385">
        <v>7.5228886618891851E-3</v>
      </c>
      <c r="K76" s="385">
        <v>0.10945787462577937</v>
      </c>
      <c r="L76" s="385">
        <v>0</v>
      </c>
      <c r="M76" s="385">
        <v>0</v>
      </c>
      <c r="N76" s="385">
        <v>4.6948313713278858E-2</v>
      </c>
      <c r="O76" s="385">
        <v>1</v>
      </c>
      <c r="P76" s="453">
        <f t="shared" ref="P76:P91" si="9">F107</f>
        <v>158846349.10849831</v>
      </c>
      <c r="Q76" s="385">
        <f t="shared" si="7"/>
        <v>0.18888064796136644</v>
      </c>
      <c r="R76" s="385">
        <f t="shared" si="8"/>
        <v>0.8111193520386335</v>
      </c>
    </row>
    <row r="77" spans="1:18">
      <c r="A77" s="432" t="s">
        <v>256</v>
      </c>
      <c r="B77" s="432" t="s">
        <v>742</v>
      </c>
      <c r="C77" s="385">
        <v>0</v>
      </c>
      <c r="D77" s="385">
        <v>0.17664037080346631</v>
      </c>
      <c r="E77" s="385">
        <v>0</v>
      </c>
      <c r="F77" s="385">
        <v>0.52490452587958114</v>
      </c>
      <c r="G77" s="385">
        <v>0</v>
      </c>
      <c r="H77" s="385">
        <v>0</v>
      </c>
      <c r="I77" s="385">
        <v>0</v>
      </c>
      <c r="J77" s="385">
        <v>1.9787254337404303E-2</v>
      </c>
      <c r="K77" s="385">
        <v>0</v>
      </c>
      <c r="L77" s="385">
        <v>0</v>
      </c>
      <c r="M77" s="385">
        <v>0</v>
      </c>
      <c r="N77" s="385">
        <v>0.27866784897954844</v>
      </c>
      <c r="O77" s="385">
        <v>1</v>
      </c>
      <c r="P77" s="453">
        <f t="shared" si="9"/>
        <v>88922415.770519257</v>
      </c>
      <c r="Q77" s="385">
        <f t="shared" si="7"/>
        <v>0.52490452587958114</v>
      </c>
      <c r="R77" s="385">
        <f t="shared" si="8"/>
        <v>0.47509547412041886</v>
      </c>
    </row>
    <row r="78" spans="1:18">
      <c r="B78" s="432" t="s">
        <v>743</v>
      </c>
      <c r="C78" s="385">
        <v>0</v>
      </c>
      <c r="D78" s="385">
        <v>0</v>
      </c>
      <c r="E78" s="385">
        <v>4.3228968896827348E-2</v>
      </c>
      <c r="F78" s="385">
        <v>0.75611452678600732</v>
      </c>
      <c r="G78" s="385">
        <v>0</v>
      </c>
      <c r="H78" s="385">
        <v>0</v>
      </c>
      <c r="I78" s="385">
        <v>0</v>
      </c>
      <c r="J78" s="385">
        <v>0</v>
      </c>
      <c r="K78" s="385">
        <v>0</v>
      </c>
      <c r="L78" s="385">
        <v>3.0685926118516452E-2</v>
      </c>
      <c r="M78" s="385">
        <v>0</v>
      </c>
      <c r="N78" s="385">
        <v>0.16997057819864889</v>
      </c>
      <c r="O78" s="385">
        <v>1</v>
      </c>
      <c r="P78" s="453">
        <f t="shared" si="9"/>
        <v>154110090.46318847</v>
      </c>
      <c r="Q78" s="385">
        <f t="shared" si="7"/>
        <v>0.75611452678600732</v>
      </c>
      <c r="R78" s="385">
        <f t="shared" si="8"/>
        <v>0.24388547321399268</v>
      </c>
    </row>
    <row r="79" spans="1:18">
      <c r="B79" s="432" t="s">
        <v>744</v>
      </c>
      <c r="C79" s="385">
        <v>0.27157849224769093</v>
      </c>
      <c r="D79" s="385">
        <v>0.16108600680990617</v>
      </c>
      <c r="E79" s="385">
        <v>0</v>
      </c>
      <c r="F79" s="385">
        <v>0.48968672235722216</v>
      </c>
      <c r="G79" s="385">
        <v>4.2122637341405176E-4</v>
      </c>
      <c r="H79" s="385">
        <v>0</v>
      </c>
      <c r="I79" s="385">
        <v>0</v>
      </c>
      <c r="J79" s="385">
        <v>0</v>
      </c>
      <c r="K79" s="385">
        <v>0</v>
      </c>
      <c r="L79" s="385">
        <v>0</v>
      </c>
      <c r="M79" s="385">
        <v>0</v>
      </c>
      <c r="N79" s="385">
        <v>7.7227552211766498E-2</v>
      </c>
      <c r="O79" s="385">
        <v>1</v>
      </c>
      <c r="P79" s="453">
        <f t="shared" si="9"/>
        <v>121088778.65134136</v>
      </c>
      <c r="Q79" s="385">
        <f t="shared" si="7"/>
        <v>0.48968672235722216</v>
      </c>
      <c r="R79" s="385">
        <f t="shared" si="8"/>
        <v>0.5103132776427779</v>
      </c>
    </row>
    <row r="80" spans="1:18">
      <c r="B80" s="432" t="s">
        <v>745</v>
      </c>
      <c r="C80" s="385">
        <v>0</v>
      </c>
      <c r="D80" s="385">
        <v>0</v>
      </c>
      <c r="E80" s="385">
        <v>0</v>
      </c>
      <c r="F80" s="385">
        <v>0</v>
      </c>
      <c r="G80" s="385">
        <v>0</v>
      </c>
      <c r="H80" s="385">
        <v>0</v>
      </c>
      <c r="I80" s="385">
        <v>0</v>
      </c>
      <c r="J80" s="385">
        <v>0</v>
      </c>
      <c r="K80" s="385">
        <v>0</v>
      </c>
      <c r="L80" s="385">
        <v>0</v>
      </c>
      <c r="M80" s="385">
        <v>0</v>
      </c>
      <c r="N80" s="385">
        <v>1</v>
      </c>
      <c r="O80" s="385">
        <v>1</v>
      </c>
      <c r="P80" s="453">
        <f t="shared" si="9"/>
        <v>83126914.229880497</v>
      </c>
      <c r="Q80" s="385">
        <f t="shared" si="7"/>
        <v>0</v>
      </c>
      <c r="R80" s="385">
        <f t="shared" si="8"/>
        <v>1</v>
      </c>
    </row>
    <row r="81" spans="1:18">
      <c r="B81" s="432" t="s">
        <v>746</v>
      </c>
      <c r="C81" s="385">
        <v>0</v>
      </c>
      <c r="D81" s="385">
        <v>9.0247339982572464E-2</v>
      </c>
      <c r="E81" s="385">
        <v>0</v>
      </c>
      <c r="F81" s="385">
        <v>3.7300330925293994E-2</v>
      </c>
      <c r="G81" s="385">
        <v>0</v>
      </c>
      <c r="H81" s="385">
        <v>0</v>
      </c>
      <c r="I81" s="385">
        <v>0</v>
      </c>
      <c r="J81" s="385">
        <v>6.1086377136007814E-4</v>
      </c>
      <c r="K81" s="385">
        <v>0</v>
      </c>
      <c r="L81" s="385">
        <v>0</v>
      </c>
      <c r="M81" s="385">
        <v>0</v>
      </c>
      <c r="N81" s="385">
        <v>0.87184146532077345</v>
      </c>
      <c r="O81" s="385">
        <v>1</v>
      </c>
      <c r="P81" s="453">
        <f t="shared" si="9"/>
        <v>161400968.09734377</v>
      </c>
      <c r="Q81" s="385">
        <f t="shared" si="7"/>
        <v>3.7300330925293994E-2</v>
      </c>
      <c r="R81" s="385">
        <f t="shared" si="8"/>
        <v>0.96269966907470605</v>
      </c>
    </row>
    <row r="82" spans="1:18">
      <c r="A82" s="432" t="s">
        <v>272</v>
      </c>
      <c r="C82" s="385">
        <v>3.0358719899233007E-2</v>
      </c>
      <c r="D82" s="385">
        <v>7.9022624302837394E-2</v>
      </c>
      <c r="E82" s="385">
        <v>2.3915459988707082E-2</v>
      </c>
      <c r="F82" s="385">
        <v>0.41080265497275703</v>
      </c>
      <c r="G82" s="385">
        <v>5.4849597267194045E-2</v>
      </c>
      <c r="H82" s="385">
        <v>5.3229117383233899E-3</v>
      </c>
      <c r="I82" s="385">
        <v>9.1480776677612327E-2</v>
      </c>
      <c r="J82" s="385">
        <v>8.7343776958000094E-3</v>
      </c>
      <c r="K82" s="385">
        <v>0</v>
      </c>
      <c r="L82" s="385">
        <v>0</v>
      </c>
      <c r="M82" s="385">
        <v>0</v>
      </c>
      <c r="N82" s="385">
        <v>0.29551287745753574</v>
      </c>
      <c r="O82" s="385">
        <v>1</v>
      </c>
      <c r="P82" s="453">
        <f t="shared" si="9"/>
        <v>274835103.70914501</v>
      </c>
      <c r="Q82" s="385">
        <f t="shared" si="7"/>
        <v>0.41080265497275703</v>
      </c>
      <c r="R82" s="385">
        <f t="shared" si="8"/>
        <v>0.58919734502724297</v>
      </c>
    </row>
    <row r="83" spans="1:18">
      <c r="A83" s="432" t="s">
        <v>726</v>
      </c>
      <c r="C83" s="385">
        <v>4.8491951753153045E-2</v>
      </c>
      <c r="D83" s="385">
        <v>0</v>
      </c>
      <c r="E83" s="385">
        <v>7.2786406113312819E-3</v>
      </c>
      <c r="F83" s="385">
        <v>0.25160789616687884</v>
      </c>
      <c r="G83" s="385">
        <v>0.31248631124873866</v>
      </c>
      <c r="H83" s="385">
        <v>0</v>
      </c>
      <c r="I83" s="385">
        <v>0</v>
      </c>
      <c r="J83" s="385">
        <v>0.18360090438102558</v>
      </c>
      <c r="K83" s="385">
        <v>0.17776288985715782</v>
      </c>
      <c r="L83" s="385">
        <v>0</v>
      </c>
      <c r="M83" s="385">
        <v>1.383259321048938E-4</v>
      </c>
      <c r="N83" s="385">
        <v>1.863308004961009E-2</v>
      </c>
      <c r="O83" s="385">
        <v>1</v>
      </c>
      <c r="P83" s="453">
        <f t="shared" si="9"/>
        <v>117631709.17964283</v>
      </c>
      <c r="Q83" s="385">
        <f t="shared" si="7"/>
        <v>0.25160789616687884</v>
      </c>
      <c r="R83" s="385">
        <f t="shared" si="8"/>
        <v>0.74839210383312116</v>
      </c>
    </row>
    <row r="84" spans="1:18">
      <c r="A84" s="432" t="s">
        <v>266</v>
      </c>
      <c r="C84" s="385">
        <v>0</v>
      </c>
      <c r="D84" s="385">
        <v>0</v>
      </c>
      <c r="E84" s="385">
        <v>8.4985032383021089E-2</v>
      </c>
      <c r="F84" s="385">
        <v>0.8667911132476972</v>
      </c>
      <c r="G84" s="385">
        <v>0</v>
      </c>
      <c r="H84" s="385">
        <v>0</v>
      </c>
      <c r="I84" s="385">
        <v>0</v>
      </c>
      <c r="J84" s="385">
        <v>4.8223854369281734E-2</v>
      </c>
      <c r="K84" s="385">
        <v>0</v>
      </c>
      <c r="L84" s="385">
        <v>0</v>
      </c>
      <c r="M84" s="385">
        <v>0</v>
      </c>
      <c r="N84" s="385">
        <v>0</v>
      </c>
      <c r="O84" s="385">
        <v>1</v>
      </c>
      <c r="P84" s="453">
        <f t="shared" si="9"/>
        <v>47431959.763809502</v>
      </c>
      <c r="Q84" s="385">
        <f t="shared" si="7"/>
        <v>0.8667911132476972</v>
      </c>
      <c r="R84" s="385">
        <f t="shared" si="8"/>
        <v>0.1332088867523028</v>
      </c>
    </row>
    <row r="85" spans="1:18">
      <c r="A85" s="432" t="s">
        <v>748</v>
      </c>
      <c r="B85" s="432" t="s">
        <v>742</v>
      </c>
      <c r="C85" s="385">
        <v>0</v>
      </c>
      <c r="D85" s="385">
        <v>0.30228709576973001</v>
      </c>
      <c r="E85" s="385">
        <v>0</v>
      </c>
      <c r="F85" s="385">
        <v>0.6004457335185307</v>
      </c>
      <c r="G85" s="385">
        <v>0</v>
      </c>
      <c r="H85" s="385">
        <v>0</v>
      </c>
      <c r="I85" s="385">
        <v>0</v>
      </c>
      <c r="J85" s="385">
        <v>3.9538732283492091E-2</v>
      </c>
      <c r="K85" s="385">
        <v>5.7728438428247104E-2</v>
      </c>
      <c r="L85" s="385">
        <v>0</v>
      </c>
      <c r="M85" s="385">
        <v>0</v>
      </c>
      <c r="N85" s="385">
        <v>0</v>
      </c>
      <c r="O85" s="385">
        <v>1</v>
      </c>
      <c r="P85" s="453">
        <f t="shared" si="9"/>
        <v>45229806.543296024</v>
      </c>
      <c r="Q85" s="385">
        <f t="shared" si="7"/>
        <v>0.6004457335185307</v>
      </c>
      <c r="R85" s="385">
        <f t="shared" si="8"/>
        <v>0.3995542664814693</v>
      </c>
    </row>
    <row r="86" spans="1:18">
      <c r="B86" s="432" t="s">
        <v>743</v>
      </c>
      <c r="C86" s="385">
        <v>0.67420376757283751</v>
      </c>
      <c r="D86" s="385">
        <v>0</v>
      </c>
      <c r="E86" s="385">
        <v>0</v>
      </c>
      <c r="F86" s="385">
        <v>0.25959218292260067</v>
      </c>
      <c r="G86" s="385">
        <v>0</v>
      </c>
      <c r="H86" s="385">
        <v>0</v>
      </c>
      <c r="I86" s="385">
        <v>6.6204049504561782E-2</v>
      </c>
      <c r="J86" s="385">
        <v>0</v>
      </c>
      <c r="K86" s="385">
        <v>0</v>
      </c>
      <c r="L86" s="385">
        <v>0</v>
      </c>
      <c r="M86" s="385">
        <v>0</v>
      </c>
      <c r="N86" s="385">
        <v>0</v>
      </c>
      <c r="O86" s="385">
        <v>1</v>
      </c>
      <c r="P86" s="453">
        <f t="shared" si="9"/>
        <v>142334439.47546965</v>
      </c>
      <c r="Q86" s="385">
        <f t="shared" si="7"/>
        <v>0.25959218292260067</v>
      </c>
      <c r="R86" s="385">
        <f t="shared" si="8"/>
        <v>0.74040781707739933</v>
      </c>
    </row>
    <row r="87" spans="1:18">
      <c r="B87" s="432" t="s">
        <v>744</v>
      </c>
      <c r="C87" s="385">
        <v>0.44457384121018961</v>
      </c>
      <c r="D87" s="385">
        <v>0</v>
      </c>
      <c r="E87" s="385">
        <v>0</v>
      </c>
      <c r="F87" s="385">
        <v>0.52538539575341459</v>
      </c>
      <c r="G87" s="385">
        <v>0</v>
      </c>
      <c r="H87" s="385">
        <v>0</v>
      </c>
      <c r="I87" s="385">
        <v>0</v>
      </c>
      <c r="J87" s="385">
        <v>3.0040763036395728E-2</v>
      </c>
      <c r="K87" s="385">
        <v>0</v>
      </c>
      <c r="L87" s="385">
        <v>0</v>
      </c>
      <c r="M87" s="385">
        <v>0</v>
      </c>
      <c r="N87" s="385">
        <v>0</v>
      </c>
      <c r="O87" s="385">
        <v>1</v>
      </c>
      <c r="P87" s="453">
        <f t="shared" si="9"/>
        <v>150479652.53202388</v>
      </c>
      <c r="Q87" s="385">
        <f t="shared" si="7"/>
        <v>0.52538539575341459</v>
      </c>
      <c r="R87" s="385">
        <f t="shared" si="8"/>
        <v>0.47461460424658541</v>
      </c>
    </row>
    <row r="88" spans="1:18">
      <c r="B88" s="432" t="s">
        <v>746</v>
      </c>
      <c r="C88" s="385">
        <v>0</v>
      </c>
      <c r="D88" s="385">
        <v>0</v>
      </c>
      <c r="E88" s="385">
        <v>0</v>
      </c>
      <c r="F88" s="385">
        <v>1</v>
      </c>
      <c r="G88" s="385">
        <v>0</v>
      </c>
      <c r="H88" s="385">
        <v>0</v>
      </c>
      <c r="I88" s="385">
        <v>0</v>
      </c>
      <c r="J88" s="385">
        <v>0</v>
      </c>
      <c r="K88" s="385">
        <v>0</v>
      </c>
      <c r="L88" s="385">
        <v>0</v>
      </c>
      <c r="M88" s="385">
        <v>0</v>
      </c>
      <c r="N88" s="385">
        <v>0</v>
      </c>
      <c r="O88" s="385">
        <v>1</v>
      </c>
      <c r="P88" s="453">
        <f t="shared" si="9"/>
        <v>29532449.302067615</v>
      </c>
      <c r="Q88" s="385">
        <f t="shared" si="7"/>
        <v>1</v>
      </c>
      <c r="R88" s="385">
        <f t="shared" si="8"/>
        <v>0</v>
      </c>
    </row>
    <row r="89" spans="1:18">
      <c r="A89" s="432" t="s">
        <v>725</v>
      </c>
      <c r="C89" s="385">
        <v>0</v>
      </c>
      <c r="D89" s="385">
        <v>0</v>
      </c>
      <c r="E89" s="385">
        <v>0</v>
      </c>
      <c r="F89" s="385">
        <v>0.60623284948217304</v>
      </c>
      <c r="G89" s="385">
        <v>0</v>
      </c>
      <c r="H89" s="385">
        <v>0</v>
      </c>
      <c r="I89" s="385">
        <v>0</v>
      </c>
      <c r="J89" s="385">
        <v>0</v>
      </c>
      <c r="K89" s="385">
        <v>0</v>
      </c>
      <c r="L89" s="385">
        <v>7.8006315859590558E-2</v>
      </c>
      <c r="M89" s="385">
        <v>0</v>
      </c>
      <c r="N89" s="385">
        <v>0.31576083465823634</v>
      </c>
      <c r="O89" s="385">
        <v>1</v>
      </c>
      <c r="P89" s="453">
        <f t="shared" si="9"/>
        <v>124562026.1368593</v>
      </c>
      <c r="Q89" s="385">
        <f t="shared" si="7"/>
        <v>0.60623284948217304</v>
      </c>
      <c r="R89" s="385">
        <f t="shared" si="8"/>
        <v>0.39376715051782696</v>
      </c>
    </row>
    <row r="90" spans="1:18">
      <c r="A90" s="432" t="s">
        <v>264</v>
      </c>
      <c r="C90" s="385">
        <v>0</v>
      </c>
      <c r="D90" s="385">
        <v>0</v>
      </c>
      <c r="E90" s="385">
        <v>0</v>
      </c>
      <c r="F90" s="385">
        <v>0.25284882715292539</v>
      </c>
      <c r="G90" s="385">
        <v>9.15963886801789E-2</v>
      </c>
      <c r="H90" s="385">
        <v>5.0434425613117444E-2</v>
      </c>
      <c r="I90" s="385">
        <v>0</v>
      </c>
      <c r="J90" s="385">
        <v>0.60086537417955166</v>
      </c>
      <c r="K90" s="385">
        <v>4.2549843742266929E-3</v>
      </c>
      <c r="L90" s="385">
        <v>0</v>
      </c>
      <c r="M90" s="385">
        <v>0</v>
      </c>
      <c r="N90" s="385">
        <v>0</v>
      </c>
      <c r="O90" s="385">
        <v>1</v>
      </c>
      <c r="P90" s="453">
        <f t="shared" si="9"/>
        <v>226752622.27380022</v>
      </c>
      <c r="Q90" s="385">
        <f t="shared" si="7"/>
        <v>0.25284882715292539</v>
      </c>
      <c r="R90" s="385">
        <f t="shared" si="8"/>
        <v>0.74715117284707455</v>
      </c>
    </row>
    <row r="91" spans="1:18">
      <c r="A91" s="432" t="s">
        <v>747</v>
      </c>
      <c r="C91" s="385">
        <v>9.1376585173836206E-2</v>
      </c>
      <c r="D91" s="385">
        <v>4.3578166262721339E-2</v>
      </c>
      <c r="E91" s="385">
        <v>1.5647501421037862E-2</v>
      </c>
      <c r="F91" s="385">
        <v>0.36751344938564412</v>
      </c>
      <c r="G91" s="385">
        <v>0.12676686309729684</v>
      </c>
      <c r="H91" s="385">
        <v>7.9239003385834128E-4</v>
      </c>
      <c r="I91" s="385">
        <v>1.6904134041812836E-2</v>
      </c>
      <c r="J91" s="385">
        <v>2.4251816992745853E-2</v>
      </c>
      <c r="K91" s="385">
        <v>3.4260457436102294E-2</v>
      </c>
      <c r="L91" s="385">
        <v>7.4496258356358891E-3</v>
      </c>
      <c r="M91" s="385">
        <v>1.3534357178331009E-5</v>
      </c>
      <c r="N91" s="385">
        <v>0.27144547596213026</v>
      </c>
      <c r="O91" s="385">
        <v>1</v>
      </c>
      <c r="P91" s="453">
        <f t="shared" si="9"/>
        <v>197062347.57176718</v>
      </c>
      <c r="Q91" s="385">
        <f t="shared" si="7"/>
        <v>0.36751344938564412</v>
      </c>
      <c r="R91" s="385">
        <f t="shared" si="8"/>
        <v>0.63248655061435588</v>
      </c>
    </row>
    <row r="93" spans="1:18">
      <c r="A93" t="s">
        <v>785</v>
      </c>
      <c r="B93" t="s">
        <v>729</v>
      </c>
    </row>
    <row r="94" spans="1:18">
      <c r="A94" t="s">
        <v>786</v>
      </c>
      <c r="B94" t="s">
        <v>729</v>
      </c>
    </row>
    <row r="95" spans="1:18">
      <c r="A95" t="s">
        <v>787</v>
      </c>
      <c r="B95" t="s">
        <v>729</v>
      </c>
    </row>
    <row r="96" spans="1:18">
      <c r="A96" t="s">
        <v>788</v>
      </c>
      <c r="B96" t="s">
        <v>729</v>
      </c>
    </row>
    <row r="97" spans="1:18">
      <c r="A97" t="s">
        <v>789</v>
      </c>
      <c r="B97" t="s">
        <v>729</v>
      </c>
    </row>
    <row r="98" spans="1:18">
      <c r="A98" t="s">
        <v>683</v>
      </c>
      <c r="B98" t="s">
        <v>872</v>
      </c>
    </row>
    <row r="100" spans="1:18">
      <c r="A100" s="386" t="s">
        <v>790</v>
      </c>
      <c r="C100" s="386" t="s">
        <v>771</v>
      </c>
      <c r="O100" s="483" t="s">
        <v>906</v>
      </c>
      <c r="P100" s="483"/>
      <c r="Q100" s="483"/>
      <c r="R100" s="483"/>
    </row>
    <row r="101" spans="1:18">
      <c r="A101" s="386" t="s">
        <v>731</v>
      </c>
      <c r="B101" s="386" t="s">
        <v>791</v>
      </c>
      <c r="C101" t="s">
        <v>772</v>
      </c>
      <c r="D101" t="s">
        <v>773</v>
      </c>
      <c r="E101" t="s">
        <v>747</v>
      </c>
      <c r="F101" s="218" t="s">
        <v>882</v>
      </c>
      <c r="O101" s="483"/>
      <c r="P101" s="483"/>
      <c r="Q101" s="483"/>
      <c r="R101" s="483"/>
    </row>
    <row r="102" spans="1:18">
      <c r="A102" s="432" t="s">
        <v>311</v>
      </c>
      <c r="C102" s="385">
        <v>0.19127215823254617</v>
      </c>
      <c r="D102" s="385">
        <v>0.80872784176745371</v>
      </c>
      <c r="E102" s="385">
        <v>1</v>
      </c>
      <c r="F102" s="232">
        <v>323583577.89067554</v>
      </c>
      <c r="I102" s="15"/>
      <c r="J102" s="451" t="s">
        <v>890</v>
      </c>
      <c r="K102" s="451" t="s">
        <v>881</v>
      </c>
      <c r="L102" s="266" t="s">
        <v>222</v>
      </c>
      <c r="M102" s="266" t="s">
        <v>879</v>
      </c>
      <c r="O102" s="455"/>
      <c r="P102" s="456" t="s">
        <v>889</v>
      </c>
      <c r="Q102" s="456" t="s">
        <v>879</v>
      </c>
      <c r="R102" s="457" t="s">
        <v>222</v>
      </c>
    </row>
    <row r="103" spans="1:18">
      <c r="A103" s="432" t="s">
        <v>265</v>
      </c>
      <c r="B103" s="432" t="s">
        <v>742</v>
      </c>
      <c r="C103" s="385">
        <v>0.34120957993445039</v>
      </c>
      <c r="D103" s="385">
        <v>0.65879042006554966</v>
      </c>
      <c r="E103" s="385">
        <v>1</v>
      </c>
      <c r="F103" s="232">
        <v>9815889.4471183456</v>
      </c>
      <c r="I103" s="439" t="s">
        <v>311</v>
      </c>
      <c r="J103" s="33">
        <f>C102</f>
        <v>0.19127215823254617</v>
      </c>
      <c r="K103" s="33">
        <f>D102</f>
        <v>0.80872784176745371</v>
      </c>
      <c r="L103" s="360">
        <f>Q72</f>
        <v>0.50965114798682787</v>
      </c>
      <c r="M103" s="360">
        <f>R72</f>
        <v>0.49034885201317213</v>
      </c>
      <c r="N103" s="34"/>
      <c r="O103" s="383" t="s">
        <v>274</v>
      </c>
      <c r="P103" s="360">
        <f>VLOOKUP($I103,$I$103:$M$120,3,FALSE)</f>
        <v>0.80872784176745371</v>
      </c>
      <c r="Q103" s="360">
        <f>VLOOKUP($I103,$I$103:$M$120,2,FALSE)*VLOOKUP($I103,$I$103:$M$120,5,FALSE)</f>
        <v>9.379008321141083E-2</v>
      </c>
      <c r="R103" s="360">
        <f>VLOOKUP($I103,$I$103:$M$120,2,FALSE)*VLOOKUP($I103,$I$103:$M$120,4,FALSE)</f>
        <v>9.7482075021135345E-2</v>
      </c>
    </row>
    <row r="104" spans="1:18">
      <c r="B104" s="432" t="s">
        <v>743</v>
      </c>
      <c r="C104" s="385">
        <v>0.20553132715572342</v>
      </c>
      <c r="D104" s="385">
        <v>0.79446867284427658</v>
      </c>
      <c r="E104" s="385">
        <v>1</v>
      </c>
      <c r="F104" s="232">
        <v>16084444.905748043</v>
      </c>
      <c r="I104" s="440" t="s">
        <v>278</v>
      </c>
      <c r="J104" s="33">
        <f>SUMPRODUCT(C104:C106,F104:F106)/SUM(F104:F106)</f>
        <v>6.8914388415774033E-2</v>
      </c>
      <c r="K104" s="33">
        <f>SUMPRODUCT(D104:D106,F104:F106)/SUM(F104:F106)</f>
        <v>0.93108561158422598</v>
      </c>
      <c r="L104" s="33">
        <f>SUMPRODUCT(Q74:Q75,$P74:$P75)/SUM($P74:$P75)</f>
        <v>0.17084052379262782</v>
      </c>
      <c r="M104" s="33">
        <f>SUMPRODUCT(R74:R75,$P74:$P75)/SUM($P74:$P75)</f>
        <v>0.82915947620737218</v>
      </c>
      <c r="N104" s="34"/>
      <c r="O104" s="383" t="s">
        <v>275</v>
      </c>
      <c r="P104" s="360">
        <f t="shared" ref="P104:P120" si="10">VLOOKUP($I104,$I$103:$M$120,3,FALSE)</f>
        <v>0.93108561158422598</v>
      </c>
      <c r="Q104" s="360">
        <f t="shared" ref="Q104:Q120" si="11">VLOOKUP($I104,$I$103:$M$120,2,FALSE)*VLOOKUP($I104,$I$103:$M$120,5,FALSE)</f>
        <v>5.7141018201974592E-2</v>
      </c>
      <c r="R104" s="360">
        <f t="shared" ref="R104:R120" si="12">VLOOKUP($I104,$I$103:$M$120,2,FALSE)*VLOOKUP($I104,$I$103:$M$120,4,FALSE)</f>
        <v>1.1773370213799438E-2</v>
      </c>
    </row>
    <row r="105" spans="1:18">
      <c r="B105" s="432" t="s">
        <v>744</v>
      </c>
      <c r="C105" s="385">
        <v>2.9445627872964144E-2</v>
      </c>
      <c r="D105" s="385">
        <v>0.97055437212703577</v>
      </c>
      <c r="E105" s="385">
        <v>1</v>
      </c>
      <c r="F105" s="232">
        <v>23241500.137925949</v>
      </c>
      <c r="I105" s="440" t="s">
        <v>876</v>
      </c>
      <c r="J105" s="33">
        <f>C103</f>
        <v>0.34120957993445039</v>
      </c>
      <c r="K105" s="33">
        <f>D103</f>
        <v>0.65879042006554966</v>
      </c>
      <c r="L105" s="360">
        <f>Q73</f>
        <v>0.81377752302949691</v>
      </c>
      <c r="M105" s="360">
        <f>R73</f>
        <v>0.18622247697050309</v>
      </c>
      <c r="N105" s="34"/>
      <c r="O105" s="383" t="s">
        <v>276</v>
      </c>
      <c r="P105" s="360">
        <f t="shared" si="10"/>
        <v>0.65879042006554966</v>
      </c>
      <c r="Q105" s="360">
        <f t="shared" si="11"/>
        <v>6.3540893141458221E-2</v>
      </c>
      <c r="R105" s="360">
        <f t="shared" si="12"/>
        <v>0.27766868679299217</v>
      </c>
    </row>
    <row r="106" spans="1:18">
      <c r="B106" s="432" t="s">
        <v>745</v>
      </c>
      <c r="C106" s="385">
        <v>0</v>
      </c>
      <c r="D106" s="385">
        <v>1</v>
      </c>
      <c r="E106" s="385">
        <v>1</v>
      </c>
      <c r="F106" s="232">
        <v>18575140.114893399</v>
      </c>
      <c r="I106" s="440" t="s">
        <v>268</v>
      </c>
      <c r="J106" s="450">
        <f>J112</f>
        <v>0.69635535044967534</v>
      </c>
      <c r="K106" s="450">
        <f>K112</f>
        <v>0.30364464955032466</v>
      </c>
      <c r="L106" s="450">
        <f>L112</f>
        <v>0.25160789616687884</v>
      </c>
      <c r="M106" s="450">
        <f>M112</f>
        <v>0.74839210383312116</v>
      </c>
      <c r="N106" s="34"/>
      <c r="O106" s="383" t="s">
        <v>721</v>
      </c>
      <c r="P106" s="360">
        <f t="shared" si="10"/>
        <v>0.30364464955032466</v>
      </c>
      <c r="Q106" s="360">
        <f t="shared" si="11"/>
        <v>0.52114684573848291</v>
      </c>
      <c r="R106" s="360">
        <f t="shared" si="12"/>
        <v>0.17520850471119245</v>
      </c>
    </row>
    <row r="107" spans="1:18">
      <c r="A107" s="432" t="s">
        <v>267</v>
      </c>
      <c r="C107" s="385">
        <v>0.79019796385281693</v>
      </c>
      <c r="D107" s="385">
        <v>0.20980203614718312</v>
      </c>
      <c r="E107" s="385">
        <v>1</v>
      </c>
      <c r="F107" s="232">
        <v>158846349.10849831</v>
      </c>
      <c r="I107" s="440" t="s">
        <v>267</v>
      </c>
      <c r="J107" s="33">
        <f>C107</f>
        <v>0.79019796385281693</v>
      </c>
      <c r="K107" s="33">
        <f>D107</f>
        <v>0.20980203614718312</v>
      </c>
      <c r="L107" s="360">
        <f>Q76</f>
        <v>0.18888064796136644</v>
      </c>
      <c r="M107" s="360">
        <f>R76</f>
        <v>0.8111193520386335</v>
      </c>
      <c r="N107" s="34"/>
      <c r="O107" s="383" t="s">
        <v>722</v>
      </c>
      <c r="P107" s="360">
        <f t="shared" si="10"/>
        <v>0.20980203614718312</v>
      </c>
      <c r="Q107" s="360">
        <f t="shared" si="11"/>
        <v>0.64094486042254439</v>
      </c>
      <c r="R107" s="360">
        <f t="shared" si="12"/>
        <v>0.14925310343027248</v>
      </c>
    </row>
    <row r="108" spans="1:18">
      <c r="A108" s="432" t="s">
        <v>256</v>
      </c>
      <c r="B108" s="432" t="s">
        <v>742</v>
      </c>
      <c r="C108" s="385">
        <v>0.46909449471346648</v>
      </c>
      <c r="D108" s="385">
        <v>0.53090550528653346</v>
      </c>
      <c r="E108" s="385">
        <v>1</v>
      </c>
      <c r="F108" s="232">
        <v>88922415.770519257</v>
      </c>
      <c r="I108" s="440" t="s">
        <v>274</v>
      </c>
      <c r="J108" s="33">
        <f>SUMPRODUCT(C111:C112,F111:F112)/SUM(F111:F112)</f>
        <v>0.57577270269147163</v>
      </c>
      <c r="K108" s="33">
        <f>SUMPRODUCT(D111:D112,F111:F112)/SUM(F111:F112)</f>
        <v>0.42422729730852854</v>
      </c>
      <c r="L108" s="33">
        <f>SUMPRODUCT(Q80:Q81,$P80:$P81)/SUM($P80:$P81)</f>
        <v>2.4620135194388326E-2</v>
      </c>
      <c r="M108" s="33">
        <f>SUMPRODUCT(R80:R81,$P80:$P81)/SUM($P80:$P81)</f>
        <v>0.97537986480561178</v>
      </c>
      <c r="N108" s="34"/>
      <c r="O108" s="383" t="s">
        <v>723</v>
      </c>
      <c r="P108" s="360">
        <f t="shared" si="10"/>
        <v>0.42422729730852854</v>
      </c>
      <c r="Q108" s="360">
        <f t="shared" si="11"/>
        <v>0.56159710090996928</v>
      </c>
      <c r="R108" s="360">
        <f t="shared" si="12"/>
        <v>1.4175601781502387E-2</v>
      </c>
    </row>
    <row r="109" spans="1:18">
      <c r="B109" s="432" t="s">
        <v>743</v>
      </c>
      <c r="C109" s="385">
        <v>0.71327493880016912</v>
      </c>
      <c r="D109" s="385">
        <v>0.28672506119983077</v>
      </c>
      <c r="E109" s="385">
        <v>1</v>
      </c>
      <c r="F109" s="232">
        <v>154110090.46318847</v>
      </c>
      <c r="I109" s="440" t="s">
        <v>275</v>
      </c>
      <c r="J109" s="33">
        <f>SUMPRODUCT(C109:C110,F109:F110)/SUM(F109:F110)</f>
        <v>0.55252560574833076</v>
      </c>
      <c r="K109" s="33">
        <f>SUMPRODUCT(D109:D110,F109:F110)/SUM(F109:F110)</f>
        <v>0.44747439425166918</v>
      </c>
      <c r="L109" s="33">
        <f>SUMPRODUCT(Q78:Q79,$P78:$P79)/SUM($P78:$P79)</f>
        <v>0.63888505727240341</v>
      </c>
      <c r="M109" s="33">
        <f>SUMPRODUCT(R78:R79,$P78:$P79)/SUM($P78:$P79)</f>
        <v>0.36111494272759653</v>
      </c>
      <c r="N109" s="34"/>
      <c r="O109" s="383" t="s">
        <v>724</v>
      </c>
      <c r="P109" s="360">
        <f t="shared" si="10"/>
        <v>0.44747439425166918</v>
      </c>
      <c r="Q109" s="360">
        <f t="shared" si="11"/>
        <v>0.19952525247533903</v>
      </c>
      <c r="R109" s="360">
        <f t="shared" si="12"/>
        <v>0.35300035327299167</v>
      </c>
    </row>
    <row r="110" spans="1:18">
      <c r="B110" s="432" t="s">
        <v>744</v>
      </c>
      <c r="C110" s="385">
        <v>0.34793939607281016</v>
      </c>
      <c r="D110" s="385">
        <v>0.6520606039271899</v>
      </c>
      <c r="E110" s="385">
        <v>1</v>
      </c>
      <c r="F110" s="232">
        <v>121088778.65134136</v>
      </c>
      <c r="I110" s="440" t="s">
        <v>276</v>
      </c>
      <c r="J110" s="33">
        <f>C108</f>
        <v>0.46909449471346648</v>
      </c>
      <c r="K110" s="33">
        <f>D108</f>
        <v>0.53090550528653346</v>
      </c>
      <c r="L110" s="360">
        <f>Q77</f>
        <v>0.52490452587958114</v>
      </c>
      <c r="M110" s="360">
        <f>R77</f>
        <v>0.47509547412041886</v>
      </c>
      <c r="N110" s="34"/>
      <c r="O110" s="383" t="s">
        <v>725</v>
      </c>
      <c r="P110" s="360">
        <f t="shared" si="10"/>
        <v>0.53090550528653346</v>
      </c>
      <c r="Q110" s="360">
        <f t="shared" si="11"/>
        <v>0.22286467137317267</v>
      </c>
      <c r="R110" s="360">
        <f t="shared" si="12"/>
        <v>0.24622982334029381</v>
      </c>
    </row>
    <row r="111" spans="1:18">
      <c r="B111" s="432" t="s">
        <v>745</v>
      </c>
      <c r="C111" s="385">
        <v>0.3310637482934789</v>
      </c>
      <c r="D111" s="385">
        <v>0.66893625170652105</v>
      </c>
      <c r="E111" s="385">
        <v>1</v>
      </c>
      <c r="F111" s="232">
        <v>83126914.229880497</v>
      </c>
      <c r="I111" s="440" t="s">
        <v>272</v>
      </c>
      <c r="J111" s="33">
        <f t="shared" ref="J111:K113" si="13">C113</f>
        <v>0.26961498794069311</v>
      </c>
      <c r="K111" s="33">
        <f t="shared" si="13"/>
        <v>0.73038501205930684</v>
      </c>
      <c r="L111" s="360">
        <f t="shared" ref="L111:M113" si="14">Q82</f>
        <v>0.41080265497275703</v>
      </c>
      <c r="M111" s="360">
        <f t="shared" si="14"/>
        <v>0.58919734502724297</v>
      </c>
      <c r="N111" s="34"/>
      <c r="O111" s="383" t="s">
        <v>273</v>
      </c>
      <c r="P111" s="360">
        <f t="shared" si="10"/>
        <v>0.73038501205930684</v>
      </c>
      <c r="Q111" s="360">
        <f t="shared" si="11"/>
        <v>0.15885643507420852</v>
      </c>
      <c r="R111" s="360">
        <f t="shared" si="12"/>
        <v>0.1107585528664846</v>
      </c>
    </row>
    <row r="112" spans="1:18">
      <c r="B112" s="432" t="s">
        <v>746</v>
      </c>
      <c r="C112" s="385">
        <v>0.70180602518837931</v>
      </c>
      <c r="D112" s="385">
        <v>0.29819397481162069</v>
      </c>
      <c r="E112" s="385">
        <v>1</v>
      </c>
      <c r="F112" s="232">
        <v>161400968.09734377</v>
      </c>
      <c r="I112" s="440" t="s">
        <v>877</v>
      </c>
      <c r="J112" s="33">
        <f t="shared" si="13"/>
        <v>0.69635535044967534</v>
      </c>
      <c r="K112" s="33">
        <f t="shared" si="13"/>
        <v>0.30364464955032466</v>
      </c>
      <c r="L112" s="360">
        <f t="shared" si="14"/>
        <v>0.25160789616687884</v>
      </c>
      <c r="M112" s="360">
        <f t="shared" si="14"/>
        <v>0.74839210383312116</v>
      </c>
      <c r="N112" s="34"/>
      <c r="O112" s="383" t="s">
        <v>264</v>
      </c>
      <c r="P112" s="360">
        <f t="shared" si="10"/>
        <v>0.30364464955032466</v>
      </c>
      <c r="Q112" s="360">
        <f t="shared" si="11"/>
        <v>0.52114684573848291</v>
      </c>
      <c r="R112" s="360">
        <f t="shared" si="12"/>
        <v>0.17520850471119245</v>
      </c>
    </row>
    <row r="113" spans="1:18">
      <c r="A113" s="432" t="s">
        <v>272</v>
      </c>
      <c r="C113" s="385">
        <v>0.26961498794069311</v>
      </c>
      <c r="D113" s="385">
        <v>0.73038501205930684</v>
      </c>
      <c r="E113" s="385">
        <v>1</v>
      </c>
      <c r="F113" s="232">
        <v>274835103.70914501</v>
      </c>
      <c r="I113" s="440" t="s">
        <v>266</v>
      </c>
      <c r="J113" s="33">
        <f t="shared" si="13"/>
        <v>0.11544136812444949</v>
      </c>
      <c r="K113" s="33">
        <f t="shared" si="13"/>
        <v>0.88455863187555051</v>
      </c>
      <c r="L113" s="360">
        <f t="shared" si="14"/>
        <v>0.8667911132476972</v>
      </c>
      <c r="M113" s="360">
        <f t="shared" si="14"/>
        <v>0.1332088867523028</v>
      </c>
      <c r="N113" s="34"/>
      <c r="O113" s="383" t="s">
        <v>278</v>
      </c>
      <c r="P113" s="360">
        <f t="shared" si="10"/>
        <v>0.88455863187555051</v>
      </c>
      <c r="Q113" s="360">
        <f t="shared" si="11"/>
        <v>1.5377816133020691E-2</v>
      </c>
      <c r="R113" s="360">
        <f t="shared" si="12"/>
        <v>0.1000635519914288</v>
      </c>
    </row>
    <row r="114" spans="1:18">
      <c r="A114" s="432" t="s">
        <v>726</v>
      </c>
      <c r="C114" s="385">
        <v>0.69635535044967534</v>
      </c>
      <c r="D114" s="385">
        <v>0.30364464955032466</v>
      </c>
      <c r="E114" s="385">
        <v>1</v>
      </c>
      <c r="F114" s="232">
        <v>117631709.17964283</v>
      </c>
      <c r="I114" s="440" t="s">
        <v>721</v>
      </c>
      <c r="J114" s="33">
        <f>C119</f>
        <v>3.7919073269764856E-3</v>
      </c>
      <c r="K114" s="33">
        <f>D119</f>
        <v>0.99620809267302346</v>
      </c>
      <c r="L114" s="33">
        <f>Q88</f>
        <v>1</v>
      </c>
      <c r="M114" s="360">
        <f>R88</f>
        <v>0</v>
      </c>
      <c r="N114" s="34"/>
      <c r="O114" s="383" t="s">
        <v>446</v>
      </c>
      <c r="P114" s="360">
        <f t="shared" si="10"/>
        <v>0.99620809267302346</v>
      </c>
      <c r="Q114" s="360">
        <f t="shared" si="11"/>
        <v>0</v>
      </c>
      <c r="R114" s="360">
        <f t="shared" si="12"/>
        <v>3.7919073269764856E-3</v>
      </c>
    </row>
    <row r="115" spans="1:18">
      <c r="A115" s="432" t="s">
        <v>266</v>
      </c>
      <c r="C115" s="385">
        <v>0.11544136812444949</v>
      </c>
      <c r="D115" s="385">
        <v>0.88455863187555051</v>
      </c>
      <c r="E115" s="385">
        <v>1</v>
      </c>
      <c r="F115" s="232">
        <v>47431959.763809502</v>
      </c>
      <c r="I115" s="440" t="s">
        <v>722</v>
      </c>
      <c r="J115" s="33">
        <f>C118</f>
        <v>0.11633093892826991</v>
      </c>
      <c r="K115" s="33">
        <f>D118</f>
        <v>0.88366906107173016</v>
      </c>
      <c r="L115" s="360">
        <f>Q87</f>
        <v>0.52538539575341459</v>
      </c>
      <c r="M115" s="360">
        <f>R87</f>
        <v>0.47461460424658541</v>
      </c>
      <c r="N115" s="34"/>
      <c r="O115" s="383" t="s">
        <v>266</v>
      </c>
      <c r="P115" s="360">
        <f t="shared" si="10"/>
        <v>0.88366906107173016</v>
      </c>
      <c r="Q115" s="360">
        <f t="shared" si="11"/>
        <v>5.5212362541074519E-2</v>
      </c>
      <c r="R115" s="360">
        <f t="shared" si="12"/>
        <v>6.1118576387195395E-2</v>
      </c>
    </row>
    <row r="116" spans="1:18">
      <c r="A116" s="432" t="s">
        <v>748</v>
      </c>
      <c r="B116" s="432" t="s">
        <v>742</v>
      </c>
      <c r="C116" s="385">
        <v>0.25807376864155529</v>
      </c>
      <c r="D116" s="385">
        <v>0.74192623135844471</v>
      </c>
      <c r="E116" s="385">
        <v>1</v>
      </c>
      <c r="F116" s="232">
        <v>45229806.543296024</v>
      </c>
      <c r="I116" s="440" t="s">
        <v>723</v>
      </c>
      <c r="J116" s="33">
        <f>C117</f>
        <v>0.46382631638129862</v>
      </c>
      <c r="K116" s="33">
        <f>D117</f>
        <v>0.53617368361870132</v>
      </c>
      <c r="L116" s="360">
        <f>Q86</f>
        <v>0.25959218292260067</v>
      </c>
      <c r="M116" s="360">
        <f>R86</f>
        <v>0.74040781707739933</v>
      </c>
      <c r="N116" s="34"/>
      <c r="O116" s="383" t="s">
        <v>267</v>
      </c>
      <c r="P116" s="360">
        <f t="shared" si="10"/>
        <v>0.53617368361870132</v>
      </c>
      <c r="Q116" s="360">
        <f t="shared" si="11"/>
        <v>0.34342063041492848</v>
      </c>
      <c r="R116" s="360">
        <f t="shared" si="12"/>
        <v>0.12040568596637012</v>
      </c>
    </row>
    <row r="117" spans="1:18">
      <c r="B117" s="432" t="s">
        <v>743</v>
      </c>
      <c r="C117" s="385">
        <v>0.46382631638129862</v>
      </c>
      <c r="D117" s="385">
        <v>0.53617368361870132</v>
      </c>
      <c r="E117" s="385">
        <v>1</v>
      </c>
      <c r="F117" s="232">
        <v>142334439.47546965</v>
      </c>
      <c r="I117" s="440" t="s">
        <v>724</v>
      </c>
      <c r="J117" s="33">
        <f>C116</f>
        <v>0.25807376864155529</v>
      </c>
      <c r="K117" s="33">
        <f>D116</f>
        <v>0.74192623135844471</v>
      </c>
      <c r="L117" s="360">
        <f>Q85</f>
        <v>0.6004457335185307</v>
      </c>
      <c r="M117" s="360">
        <f>R85</f>
        <v>0.3995542664814693</v>
      </c>
      <c r="N117" s="34"/>
      <c r="O117" s="383" t="s">
        <v>268</v>
      </c>
      <c r="P117" s="360">
        <f t="shared" si="10"/>
        <v>0.74192623135844471</v>
      </c>
      <c r="Q117" s="360">
        <f t="shared" si="11"/>
        <v>0.10311447532768504</v>
      </c>
      <c r="R117" s="360">
        <f t="shared" si="12"/>
        <v>0.15495929331387026</v>
      </c>
    </row>
    <row r="118" spans="1:18">
      <c r="B118" s="432" t="s">
        <v>744</v>
      </c>
      <c r="C118" s="385">
        <v>0.11633093892826991</v>
      </c>
      <c r="D118" s="385">
        <v>0.88366906107173016</v>
      </c>
      <c r="E118" s="385">
        <v>1</v>
      </c>
      <c r="F118" s="232">
        <v>150479652.53202388</v>
      </c>
      <c r="I118" s="439" t="s">
        <v>725</v>
      </c>
      <c r="J118" s="33">
        <f>C121</f>
        <v>1.4242837102056283E-2</v>
      </c>
      <c r="K118" s="33">
        <f>D121</f>
        <v>0.98575716289794368</v>
      </c>
      <c r="L118" s="360">
        <f>Q89</f>
        <v>0.60623284948217304</v>
      </c>
      <c r="M118" s="360">
        <f>R89</f>
        <v>0.39376715051782696</v>
      </c>
      <c r="N118" s="34"/>
      <c r="O118" s="383" t="s">
        <v>726</v>
      </c>
      <c r="P118" s="360">
        <f t="shared" si="10"/>
        <v>0.98575716289794368</v>
      </c>
      <c r="Q118" s="360">
        <f t="shared" si="11"/>
        <v>5.6083613809662864E-3</v>
      </c>
      <c r="R118" s="360">
        <f t="shared" si="12"/>
        <v>8.6344757210899958E-3</v>
      </c>
    </row>
    <row r="119" spans="1:18">
      <c r="B119" s="432" t="s">
        <v>746</v>
      </c>
      <c r="C119" s="385">
        <v>3.7919073269764856E-3</v>
      </c>
      <c r="D119" s="385">
        <v>0.99620809267302346</v>
      </c>
      <c r="E119" s="385">
        <v>1</v>
      </c>
      <c r="F119" s="232">
        <v>29532449.302067615</v>
      </c>
      <c r="I119" s="439" t="s">
        <v>273</v>
      </c>
      <c r="J119" s="450">
        <f>J118</f>
        <v>1.4242837102056283E-2</v>
      </c>
      <c r="K119" s="450">
        <f>K118</f>
        <v>0.98575716289794368</v>
      </c>
      <c r="L119" s="450">
        <f>L118</f>
        <v>0.60623284948217304</v>
      </c>
      <c r="M119" s="450">
        <f>M118</f>
        <v>0.39376715051782696</v>
      </c>
      <c r="N119" s="34"/>
      <c r="O119" s="383" t="s">
        <v>311</v>
      </c>
      <c r="P119" s="360">
        <f t="shared" si="10"/>
        <v>0.98575716289794368</v>
      </c>
      <c r="Q119" s="360">
        <f t="shared" si="11"/>
        <v>5.6083613809662864E-3</v>
      </c>
      <c r="R119" s="360">
        <f t="shared" si="12"/>
        <v>8.6344757210899958E-3</v>
      </c>
    </row>
    <row r="120" spans="1:18">
      <c r="A120" t="s">
        <v>725</v>
      </c>
      <c r="B120" s="432"/>
      <c r="C120" s="385">
        <v>0.10145234319280301</v>
      </c>
      <c r="D120" s="385">
        <v>0.89854765680719695</v>
      </c>
      <c r="E120" s="385">
        <v>1</v>
      </c>
      <c r="F120" s="232">
        <v>124562026.1368593</v>
      </c>
      <c r="I120" s="439" t="s">
        <v>264</v>
      </c>
      <c r="J120" s="33">
        <f>C122</f>
        <v>0.32163560456191009</v>
      </c>
      <c r="K120" s="33">
        <f>D122</f>
        <v>0.6783643954380898</v>
      </c>
      <c r="L120" s="360">
        <f>Q90</f>
        <v>0.25284882715292539</v>
      </c>
      <c r="M120" s="360">
        <f>R90</f>
        <v>0.74715117284707455</v>
      </c>
      <c r="N120" s="34"/>
      <c r="O120" s="383" t="s">
        <v>272</v>
      </c>
      <c r="P120" s="360">
        <f t="shared" si="10"/>
        <v>0.6783643954380898</v>
      </c>
      <c r="Q120" s="360">
        <f t="shared" si="11"/>
        <v>0.24031041917780901</v>
      </c>
      <c r="R120" s="360">
        <f t="shared" si="12"/>
        <v>8.1325185384101065E-2</v>
      </c>
    </row>
    <row r="121" spans="1:18">
      <c r="A121" s="432" t="s">
        <v>264</v>
      </c>
      <c r="C121" s="385">
        <v>1.4242837102056283E-2</v>
      </c>
      <c r="D121" s="385">
        <v>0.98575716289794368</v>
      </c>
      <c r="E121" s="385">
        <v>1</v>
      </c>
      <c r="F121" s="232">
        <v>226752622.27380022</v>
      </c>
      <c r="J121" s="433">
        <f>SUM(K103:K120)</f>
        <v>12.041101839402526</v>
      </c>
      <c r="O121" s="15"/>
      <c r="P121" s="15"/>
      <c r="Q121" s="15"/>
      <c r="R121" s="15"/>
    </row>
    <row r="122" spans="1:18">
      <c r="A122" s="432" t="s">
        <v>747</v>
      </c>
      <c r="C122" s="385">
        <v>0.32163560456191009</v>
      </c>
      <c r="D122" s="385">
        <v>0.6783643954380898</v>
      </c>
      <c r="E122" s="385">
        <v>1</v>
      </c>
      <c r="F122" s="232">
        <v>197062347.57176718</v>
      </c>
    </row>
    <row r="123" spans="1:18">
      <c r="A123" s="432"/>
      <c r="C123" s="385"/>
      <c r="D123" s="385"/>
      <c r="E123" s="385"/>
      <c r="F123" s="232"/>
    </row>
    <row r="134" spans="3:5">
      <c r="C134" s="32"/>
      <c r="D134" s="32"/>
      <c r="E134" s="32"/>
    </row>
    <row r="135" spans="3:5">
      <c r="C135" s="32"/>
      <c r="D135" s="32"/>
      <c r="E135" s="32"/>
    </row>
    <row r="136" spans="3:5">
      <c r="C136" s="32"/>
      <c r="D136" s="32"/>
      <c r="E136" s="32"/>
    </row>
    <row r="137" spans="3:5">
      <c r="C137" s="32"/>
      <c r="D137" s="32"/>
      <c r="E137" s="32"/>
    </row>
    <row r="138" spans="3:5">
      <c r="C138" s="32"/>
      <c r="D138" s="32"/>
      <c r="E138" s="32"/>
    </row>
    <row r="139" spans="3:5">
      <c r="C139" s="32"/>
      <c r="D139" s="32"/>
      <c r="E139" s="32"/>
    </row>
    <row r="140" spans="3:5">
      <c r="C140" s="32"/>
      <c r="D140" s="32"/>
      <c r="E140" s="32"/>
    </row>
    <row r="141" spans="3:5">
      <c r="C141" s="32"/>
      <c r="D141" s="32"/>
      <c r="E141" s="32"/>
    </row>
    <row r="142" spans="3:5">
      <c r="C142" s="32"/>
      <c r="D142" s="32"/>
      <c r="E142" s="32"/>
    </row>
    <row r="143" spans="3:5">
      <c r="C143" s="32"/>
      <c r="D143" s="32"/>
      <c r="E143" s="32"/>
    </row>
    <row r="144" spans="3:5">
      <c r="C144" s="32"/>
      <c r="D144" s="32"/>
      <c r="E144" s="32"/>
    </row>
    <row r="145" spans="3:5">
      <c r="C145" s="32"/>
      <c r="D145" s="32"/>
      <c r="E145" s="32"/>
    </row>
    <row r="146" spans="3:5">
      <c r="C146" s="32"/>
      <c r="D146" s="32"/>
      <c r="E146" s="32"/>
    </row>
    <row r="147" spans="3:5">
      <c r="C147" s="32"/>
      <c r="D147" s="32"/>
      <c r="E147" s="32"/>
    </row>
    <row r="148" spans="3:5">
      <c r="C148" s="32"/>
      <c r="D148" s="32"/>
      <c r="E148" s="32"/>
    </row>
    <row r="149" spans="3:5">
      <c r="C149" s="32"/>
      <c r="D149" s="32"/>
      <c r="E149" s="32"/>
    </row>
    <row r="150" spans="3:5">
      <c r="C150" s="32"/>
      <c r="D150" s="32"/>
      <c r="E150" s="32"/>
    </row>
    <row r="151" spans="3:5">
      <c r="C151" s="32"/>
      <c r="D151" s="32"/>
      <c r="E151" s="32"/>
    </row>
    <row r="152" spans="3:5">
      <c r="C152" s="32"/>
      <c r="D152" s="32"/>
      <c r="E152" s="32"/>
    </row>
    <row r="153" spans="3:5">
      <c r="C153" s="32"/>
      <c r="D153" s="32"/>
      <c r="E153" s="32"/>
    </row>
    <row r="154" spans="3:5">
      <c r="C154" s="32"/>
      <c r="D154" s="32"/>
      <c r="E154" s="32"/>
    </row>
  </sheetData>
  <pageMargins left="0.7" right="0.7" top="0.75" bottom="0.75" header="0.3" footer="0.3"/>
  <pageSetup orientation="portrait" r:id="rId1"/>
</worksheet>
</file>

<file path=xl/worksheets/sheet21.xml><?xml version="1.0" encoding="utf-8"?>
<worksheet xmlns="http://schemas.openxmlformats.org/spreadsheetml/2006/main" xmlns:r="http://schemas.openxmlformats.org/officeDocument/2006/relationships">
  <sheetPr codeName="Sheet19" filterMode="1">
    <tabColor theme="3" tint="-0.249977111117893"/>
  </sheetPr>
  <dimension ref="A1:D411"/>
  <sheetViews>
    <sheetView zoomScale="90" zoomScaleNormal="90" workbookViewId="0">
      <pane ySplit="1" topLeftCell="A136" activePane="bottomLeft" state="frozen"/>
      <selection activeCell="H8" sqref="H8:L43"/>
      <selection pane="bottomLeft" activeCell="D168" sqref="D168"/>
    </sheetView>
  </sheetViews>
  <sheetFormatPr defaultColWidth="41.5703125" defaultRowHeight="12.75"/>
  <cols>
    <col min="1" max="1" width="21.7109375" style="199" bestFit="1" customWidth="1"/>
    <col min="2" max="2" width="26" style="199" bestFit="1" customWidth="1"/>
    <col min="3" max="3" width="42.7109375" style="199" bestFit="1" customWidth="1"/>
    <col min="4" max="4" width="59.5703125" style="199" bestFit="1" customWidth="1"/>
    <col min="5" max="16384" width="41.5703125" style="199"/>
  </cols>
  <sheetData>
    <row r="1" spans="1:4" ht="13.5" thickBot="1">
      <c r="A1" s="211" t="s">
        <v>989</v>
      </c>
      <c r="B1" s="211" t="s">
        <v>990</v>
      </c>
      <c r="C1" s="211" t="s">
        <v>648</v>
      </c>
      <c r="D1" s="211" t="s">
        <v>649</v>
      </c>
    </row>
    <row r="2" spans="1:4" ht="13.5" hidden="1" thickTop="1">
      <c r="A2" s="199" t="s">
        <v>991</v>
      </c>
      <c r="B2" s="199" t="s">
        <v>453</v>
      </c>
      <c r="C2" s="199" t="s">
        <v>509</v>
      </c>
      <c r="D2" s="199" t="s">
        <v>510</v>
      </c>
    </row>
    <row r="3" spans="1:4" ht="13.5" hidden="1" thickTop="1">
      <c r="A3" s="199" t="s">
        <v>991</v>
      </c>
      <c r="B3" s="199" t="s">
        <v>453</v>
      </c>
      <c r="C3" s="199" t="s">
        <v>509</v>
      </c>
      <c r="D3" s="199" t="s">
        <v>511</v>
      </c>
    </row>
    <row r="4" spans="1:4" ht="13.5" hidden="1" thickTop="1">
      <c r="A4" s="199" t="s">
        <v>991</v>
      </c>
      <c r="B4" s="199" t="s">
        <v>453</v>
      </c>
      <c r="C4" s="199" t="s">
        <v>512</v>
      </c>
      <c r="D4" s="199" t="s">
        <v>513</v>
      </c>
    </row>
    <row r="5" spans="1:4" ht="13.5" hidden="1" thickTop="1">
      <c r="A5" s="199" t="s">
        <v>991</v>
      </c>
      <c r="B5" s="199" t="s">
        <v>453</v>
      </c>
      <c r="C5" s="199" t="s">
        <v>512</v>
      </c>
      <c r="D5" s="199" t="s">
        <v>514</v>
      </c>
    </row>
    <row r="6" spans="1:4" ht="13.5" hidden="1" thickTop="1">
      <c r="A6" s="199" t="s">
        <v>991</v>
      </c>
      <c r="B6" s="199" t="s">
        <v>453</v>
      </c>
      <c r="C6" s="199" t="s">
        <v>512</v>
      </c>
      <c r="D6" s="199" t="s">
        <v>515</v>
      </c>
    </row>
    <row r="7" spans="1:4" ht="13.5" hidden="1" thickTop="1">
      <c r="A7" s="199" t="s">
        <v>991</v>
      </c>
      <c r="B7" s="199" t="s">
        <v>453</v>
      </c>
      <c r="C7" s="199" t="s">
        <v>512</v>
      </c>
      <c r="D7" s="199" t="s">
        <v>516</v>
      </c>
    </row>
    <row r="8" spans="1:4" ht="13.5" hidden="1" thickTop="1">
      <c r="A8" s="199" t="s">
        <v>991</v>
      </c>
      <c r="B8" s="199" t="s">
        <v>453</v>
      </c>
      <c r="C8" s="199" t="s">
        <v>512</v>
      </c>
      <c r="D8" s="199" t="s">
        <v>517</v>
      </c>
    </row>
    <row r="9" spans="1:4" ht="13.5" hidden="1" thickTop="1">
      <c r="A9" s="199" t="s">
        <v>991</v>
      </c>
      <c r="B9" s="199" t="s">
        <v>453</v>
      </c>
      <c r="C9" s="199" t="s">
        <v>512</v>
      </c>
      <c r="D9" s="199" t="s">
        <v>518</v>
      </c>
    </row>
    <row r="10" spans="1:4" ht="13.5" hidden="1" thickTop="1">
      <c r="A10" s="199" t="s">
        <v>991</v>
      </c>
      <c r="B10" s="199" t="s">
        <v>453</v>
      </c>
      <c r="C10" s="199" t="s">
        <v>512</v>
      </c>
      <c r="D10" s="199" t="s">
        <v>519</v>
      </c>
    </row>
    <row r="11" spans="1:4" ht="13.5" hidden="1" thickTop="1">
      <c r="A11" s="199" t="s">
        <v>991</v>
      </c>
      <c r="B11" s="199" t="s">
        <v>453</v>
      </c>
      <c r="C11" s="199" t="s">
        <v>512</v>
      </c>
      <c r="D11" s="199" t="s">
        <v>520</v>
      </c>
    </row>
    <row r="12" spans="1:4" ht="13.5" hidden="1" thickTop="1">
      <c r="A12" s="533" t="s">
        <v>991</v>
      </c>
      <c r="B12" s="533" t="s">
        <v>453</v>
      </c>
      <c r="C12" s="533" t="s">
        <v>512</v>
      </c>
      <c r="D12" s="533" t="s">
        <v>992</v>
      </c>
    </row>
    <row r="13" spans="1:4" ht="13.5" hidden="1" thickTop="1">
      <c r="A13" s="199" t="s">
        <v>991</v>
      </c>
      <c r="B13" s="199" t="s">
        <v>453</v>
      </c>
      <c r="C13" s="199" t="s">
        <v>521</v>
      </c>
      <c r="D13" s="199" t="s">
        <v>522</v>
      </c>
    </row>
    <row r="14" spans="1:4" ht="13.5" hidden="1" thickTop="1">
      <c r="A14" s="533" t="s">
        <v>991</v>
      </c>
      <c r="B14" s="533" t="s">
        <v>250</v>
      </c>
      <c r="C14" s="533" t="s">
        <v>546</v>
      </c>
      <c r="D14" s="533" t="s">
        <v>553</v>
      </c>
    </row>
    <row r="15" spans="1:4" ht="13.5" hidden="1" thickTop="1">
      <c r="A15" s="199" t="s">
        <v>991</v>
      </c>
      <c r="B15" s="199" t="s">
        <v>993</v>
      </c>
      <c r="C15" s="199" t="s">
        <v>994</v>
      </c>
      <c r="D15" s="199" t="s">
        <v>995</v>
      </c>
    </row>
    <row r="16" spans="1:4" ht="13.5" hidden="1" thickTop="1">
      <c r="A16" s="199" t="s">
        <v>991</v>
      </c>
      <c r="B16" s="199" t="s">
        <v>993</v>
      </c>
      <c r="C16" s="199" t="s">
        <v>994</v>
      </c>
      <c r="D16" s="199" t="s">
        <v>996</v>
      </c>
    </row>
    <row r="17" spans="1:4" ht="13.5" hidden="1" thickTop="1">
      <c r="A17" s="199" t="s">
        <v>991</v>
      </c>
      <c r="B17" s="199" t="s">
        <v>993</v>
      </c>
      <c r="C17" s="199" t="s">
        <v>994</v>
      </c>
      <c r="D17" s="199" t="s">
        <v>997</v>
      </c>
    </row>
    <row r="18" spans="1:4" ht="13.5" hidden="1" thickTop="1">
      <c r="A18" s="199" t="s">
        <v>991</v>
      </c>
      <c r="B18" s="199" t="s">
        <v>993</v>
      </c>
      <c r="C18" s="199" t="s">
        <v>994</v>
      </c>
      <c r="D18" s="199" t="s">
        <v>998</v>
      </c>
    </row>
    <row r="19" spans="1:4" ht="13.5" hidden="1" thickTop="1">
      <c r="A19" s="199" t="s">
        <v>991</v>
      </c>
      <c r="B19" s="199" t="s">
        <v>993</v>
      </c>
      <c r="C19" s="199" t="s">
        <v>994</v>
      </c>
      <c r="D19" s="199" t="s">
        <v>999</v>
      </c>
    </row>
    <row r="20" spans="1:4" ht="13.5" hidden="1" thickTop="1">
      <c r="A20" s="199" t="s">
        <v>991</v>
      </c>
      <c r="B20" s="199" t="s">
        <v>993</v>
      </c>
      <c r="C20" s="199" t="s">
        <v>994</v>
      </c>
      <c r="D20" s="199" t="s">
        <v>1000</v>
      </c>
    </row>
    <row r="21" spans="1:4" ht="13.5" hidden="1" thickTop="1">
      <c r="A21" s="199" t="s">
        <v>991</v>
      </c>
      <c r="B21" s="199" t="s">
        <v>993</v>
      </c>
      <c r="C21" s="199" t="s">
        <v>1001</v>
      </c>
      <c r="D21" s="199" t="s">
        <v>1002</v>
      </c>
    </row>
    <row r="22" spans="1:4" ht="13.5" hidden="1" thickTop="1">
      <c r="A22" s="199" t="s">
        <v>991</v>
      </c>
      <c r="B22" s="199" t="s">
        <v>993</v>
      </c>
      <c r="C22" s="199" t="s">
        <v>1001</v>
      </c>
      <c r="D22" s="199" t="s">
        <v>1003</v>
      </c>
    </row>
    <row r="23" spans="1:4" ht="13.5" hidden="1" thickTop="1">
      <c r="A23" s="199" t="s">
        <v>991</v>
      </c>
      <c r="B23" s="199" t="s">
        <v>993</v>
      </c>
      <c r="C23" s="199" t="s">
        <v>1001</v>
      </c>
      <c r="D23" s="199" t="s">
        <v>1004</v>
      </c>
    </row>
    <row r="24" spans="1:4" ht="13.5" hidden="1" thickTop="1">
      <c r="A24" s="199" t="s">
        <v>991</v>
      </c>
      <c r="B24" s="199" t="s">
        <v>993</v>
      </c>
      <c r="C24" s="199" t="s">
        <v>1001</v>
      </c>
      <c r="D24" s="199" t="s">
        <v>1005</v>
      </c>
    </row>
    <row r="25" spans="1:4" ht="13.5" hidden="1" thickTop="1">
      <c r="A25" s="199" t="s">
        <v>991</v>
      </c>
      <c r="B25" s="199" t="s">
        <v>993</v>
      </c>
      <c r="C25" s="199" t="s">
        <v>1001</v>
      </c>
      <c r="D25" s="199" t="s">
        <v>1006</v>
      </c>
    </row>
    <row r="26" spans="1:4" ht="13.5" hidden="1" thickTop="1">
      <c r="A26" s="199" t="s">
        <v>991</v>
      </c>
      <c r="B26" s="199" t="s">
        <v>993</v>
      </c>
      <c r="C26" s="199" t="s">
        <v>1001</v>
      </c>
      <c r="D26" s="199" t="s">
        <v>1007</v>
      </c>
    </row>
    <row r="27" spans="1:4" ht="13.5" hidden="1" thickTop="1">
      <c r="A27" s="199" t="s">
        <v>991</v>
      </c>
      <c r="B27" s="199" t="s">
        <v>993</v>
      </c>
      <c r="C27" s="199" t="s">
        <v>1001</v>
      </c>
      <c r="D27" s="199" t="s">
        <v>1008</v>
      </c>
    </row>
    <row r="28" spans="1:4" ht="13.5" hidden="1" thickTop="1">
      <c r="A28" s="199" t="s">
        <v>991</v>
      </c>
      <c r="B28" s="199" t="s">
        <v>993</v>
      </c>
      <c r="C28" s="199" t="s">
        <v>1009</v>
      </c>
      <c r="D28" s="199" t="s">
        <v>996</v>
      </c>
    </row>
    <row r="29" spans="1:4" ht="13.5" hidden="1" thickTop="1">
      <c r="A29" s="199" t="s">
        <v>991</v>
      </c>
      <c r="B29" s="199" t="s">
        <v>993</v>
      </c>
      <c r="C29" s="199" t="s">
        <v>1009</v>
      </c>
      <c r="D29" s="199" t="s">
        <v>998</v>
      </c>
    </row>
    <row r="30" spans="1:4" ht="13.5" hidden="1" thickTop="1">
      <c r="A30" s="199" t="s">
        <v>991</v>
      </c>
      <c r="B30" s="199" t="s">
        <v>993</v>
      </c>
      <c r="C30" s="199" t="s">
        <v>1009</v>
      </c>
      <c r="D30" s="199" t="s">
        <v>999</v>
      </c>
    </row>
    <row r="31" spans="1:4" ht="13.5" hidden="1" thickTop="1">
      <c r="A31" s="199" t="s">
        <v>991</v>
      </c>
      <c r="B31" s="199" t="s">
        <v>993</v>
      </c>
      <c r="C31" s="199" t="s">
        <v>1009</v>
      </c>
      <c r="D31" s="199" t="s">
        <v>1000</v>
      </c>
    </row>
    <row r="32" spans="1:4" ht="13.5" hidden="1" thickTop="1">
      <c r="A32" s="199" t="s">
        <v>991</v>
      </c>
      <c r="B32" s="199" t="s">
        <v>993</v>
      </c>
      <c r="C32" s="199" t="s">
        <v>1010</v>
      </c>
      <c r="D32" s="199" t="s">
        <v>1011</v>
      </c>
    </row>
    <row r="33" spans="1:4" ht="13.5" hidden="1" thickTop="1">
      <c r="A33" s="199" t="s">
        <v>991</v>
      </c>
      <c r="B33" s="199" t="s">
        <v>993</v>
      </c>
      <c r="C33" s="199" t="s">
        <v>1010</v>
      </c>
      <c r="D33" s="199" t="s">
        <v>1012</v>
      </c>
    </row>
    <row r="34" spans="1:4" ht="13.5" hidden="1" thickTop="1">
      <c r="A34" s="199" t="s">
        <v>991</v>
      </c>
      <c r="B34" s="199" t="s">
        <v>993</v>
      </c>
      <c r="C34" s="199" t="s">
        <v>1010</v>
      </c>
      <c r="D34" s="199" t="s">
        <v>625</v>
      </c>
    </row>
    <row r="35" spans="1:4" ht="13.5" hidden="1" thickTop="1">
      <c r="A35" s="199" t="s">
        <v>991</v>
      </c>
      <c r="B35" s="199" t="s">
        <v>993</v>
      </c>
      <c r="C35" s="199" t="s">
        <v>1010</v>
      </c>
      <c r="D35" s="199" t="s">
        <v>1013</v>
      </c>
    </row>
    <row r="36" spans="1:4" ht="13.5" hidden="1" thickTop="1">
      <c r="A36" s="199" t="s">
        <v>991</v>
      </c>
      <c r="B36" s="199" t="s">
        <v>993</v>
      </c>
      <c r="C36" s="199" t="s">
        <v>1010</v>
      </c>
      <c r="D36" s="199" t="s">
        <v>1014</v>
      </c>
    </row>
    <row r="37" spans="1:4" ht="13.5" hidden="1" thickTop="1">
      <c r="A37" s="199" t="s">
        <v>991</v>
      </c>
      <c r="B37" s="199" t="s">
        <v>993</v>
      </c>
      <c r="C37" s="199" t="s">
        <v>1010</v>
      </c>
      <c r="D37" s="199" t="s">
        <v>1015</v>
      </c>
    </row>
    <row r="38" spans="1:4" ht="13.5" hidden="1" thickTop="1">
      <c r="A38" s="199" t="s">
        <v>991</v>
      </c>
      <c r="B38" s="199" t="s">
        <v>993</v>
      </c>
      <c r="C38" s="199" t="s">
        <v>1010</v>
      </c>
      <c r="D38" s="199" t="s">
        <v>1016</v>
      </c>
    </row>
    <row r="39" spans="1:4" ht="13.5" hidden="1" thickTop="1">
      <c r="A39" s="199" t="s">
        <v>991</v>
      </c>
      <c r="B39" s="199" t="s">
        <v>993</v>
      </c>
      <c r="C39" s="199" t="s">
        <v>1010</v>
      </c>
      <c r="D39" s="199" t="s">
        <v>1017</v>
      </c>
    </row>
    <row r="40" spans="1:4" ht="13.5" hidden="1" thickTop="1">
      <c r="A40" s="199" t="s">
        <v>991</v>
      </c>
      <c r="B40" s="199" t="s">
        <v>993</v>
      </c>
      <c r="C40" s="199" t="s">
        <v>1010</v>
      </c>
      <c r="D40" s="199" t="s">
        <v>1007</v>
      </c>
    </row>
    <row r="41" spans="1:4" ht="13.5" hidden="1" thickTop="1">
      <c r="A41" s="199" t="s">
        <v>991</v>
      </c>
      <c r="B41" s="199" t="s">
        <v>993</v>
      </c>
      <c r="C41" s="199" t="s">
        <v>1010</v>
      </c>
      <c r="D41" s="199" t="s">
        <v>1018</v>
      </c>
    </row>
    <row r="42" spans="1:4" ht="13.5" hidden="1" thickTop="1">
      <c r="A42" s="199" t="s">
        <v>991</v>
      </c>
      <c r="B42" s="199" t="s">
        <v>993</v>
      </c>
      <c r="C42" s="199" t="s">
        <v>1010</v>
      </c>
      <c r="D42" s="199" t="s">
        <v>1019</v>
      </c>
    </row>
    <row r="43" spans="1:4" ht="13.5" hidden="1" thickTop="1">
      <c r="A43" s="199" t="s">
        <v>991</v>
      </c>
      <c r="B43" s="199" t="s">
        <v>993</v>
      </c>
      <c r="C43" s="199" t="s">
        <v>1010</v>
      </c>
      <c r="D43" s="199" t="s">
        <v>1020</v>
      </c>
    </row>
    <row r="44" spans="1:4" ht="13.5" hidden="1" thickTop="1">
      <c r="A44" s="199" t="s">
        <v>991</v>
      </c>
      <c r="B44" s="199" t="s">
        <v>993</v>
      </c>
      <c r="C44" s="199" t="s">
        <v>1021</v>
      </c>
      <c r="D44" s="199" t="s">
        <v>1022</v>
      </c>
    </row>
    <row r="45" spans="1:4" ht="13.5" hidden="1" thickTop="1">
      <c r="A45" s="199" t="s">
        <v>991</v>
      </c>
      <c r="B45" s="199" t="s">
        <v>993</v>
      </c>
      <c r="C45" s="199" t="s">
        <v>1021</v>
      </c>
      <c r="D45" s="199" t="s">
        <v>1021</v>
      </c>
    </row>
    <row r="46" spans="1:4" ht="13.5" hidden="1" thickTop="1">
      <c r="A46" s="199" t="s">
        <v>991</v>
      </c>
      <c r="B46" s="199" t="s">
        <v>993</v>
      </c>
      <c r="C46" s="199" t="s">
        <v>1021</v>
      </c>
      <c r="D46" s="199" t="s">
        <v>1023</v>
      </c>
    </row>
    <row r="47" spans="1:4" ht="13.5" hidden="1" thickTop="1">
      <c r="A47" s="199" t="s">
        <v>991</v>
      </c>
      <c r="B47" s="199" t="s">
        <v>993</v>
      </c>
      <c r="C47" s="199" t="s">
        <v>1024</v>
      </c>
      <c r="D47" s="199" t="s">
        <v>1025</v>
      </c>
    </row>
    <row r="48" spans="1:4" ht="13.5" hidden="1" thickTop="1">
      <c r="A48" s="199" t="s">
        <v>991</v>
      </c>
      <c r="B48" s="199" t="s">
        <v>993</v>
      </c>
      <c r="C48" s="199" t="s">
        <v>1024</v>
      </c>
      <c r="D48" s="199" t="s">
        <v>1026</v>
      </c>
    </row>
    <row r="49" spans="1:4" ht="13.5" hidden="1" thickTop="1">
      <c r="A49" s="199" t="s">
        <v>991</v>
      </c>
      <c r="B49" s="199" t="s">
        <v>993</v>
      </c>
      <c r="C49" s="199" t="s">
        <v>1024</v>
      </c>
      <c r="D49" s="199" t="s">
        <v>1027</v>
      </c>
    </row>
    <row r="50" spans="1:4" ht="13.5" hidden="1" thickTop="1">
      <c r="A50" s="199" t="s">
        <v>991</v>
      </c>
      <c r="B50" s="199" t="s">
        <v>993</v>
      </c>
      <c r="C50" s="199" t="s">
        <v>1024</v>
      </c>
      <c r="D50" s="199" t="s">
        <v>997</v>
      </c>
    </row>
    <row r="51" spans="1:4" ht="13.5" hidden="1" thickTop="1">
      <c r="A51" s="199" t="s">
        <v>991</v>
      </c>
      <c r="B51" s="199" t="s">
        <v>993</v>
      </c>
      <c r="C51" s="199" t="s">
        <v>1024</v>
      </c>
      <c r="D51" s="199" t="s">
        <v>998</v>
      </c>
    </row>
    <row r="52" spans="1:4" ht="13.5" hidden="1" thickTop="1">
      <c r="A52" s="199" t="s">
        <v>991</v>
      </c>
      <c r="B52" s="199" t="s">
        <v>993</v>
      </c>
      <c r="C52" s="199" t="s">
        <v>1024</v>
      </c>
      <c r="D52" s="199" t="s">
        <v>999</v>
      </c>
    </row>
    <row r="53" spans="1:4" ht="13.5" hidden="1" thickTop="1">
      <c r="A53" s="199" t="s">
        <v>991</v>
      </c>
      <c r="B53" s="199" t="s">
        <v>993</v>
      </c>
      <c r="C53" s="199" t="s">
        <v>1024</v>
      </c>
      <c r="D53" s="199" t="s">
        <v>1000</v>
      </c>
    </row>
    <row r="54" spans="1:4" ht="13.5" hidden="1" thickTop="1">
      <c r="A54" s="199" t="s">
        <v>991</v>
      </c>
      <c r="B54" s="199" t="s">
        <v>993</v>
      </c>
      <c r="C54" s="199" t="s">
        <v>586</v>
      </c>
      <c r="D54" s="199" t="s">
        <v>596</v>
      </c>
    </row>
    <row r="55" spans="1:4" ht="13.5" hidden="1" thickTop="1">
      <c r="A55" s="199" t="s">
        <v>991</v>
      </c>
      <c r="B55" s="199" t="s">
        <v>993</v>
      </c>
      <c r="C55" s="199" t="s">
        <v>586</v>
      </c>
      <c r="D55" s="199" t="s">
        <v>1028</v>
      </c>
    </row>
    <row r="56" spans="1:4" ht="13.5" hidden="1" thickTop="1">
      <c r="A56" s="199" t="s">
        <v>991</v>
      </c>
      <c r="B56" s="199" t="s">
        <v>993</v>
      </c>
      <c r="C56" s="199" t="s">
        <v>586</v>
      </c>
      <c r="D56" s="199" t="s">
        <v>599</v>
      </c>
    </row>
    <row r="57" spans="1:4" ht="13.5" hidden="1" thickTop="1">
      <c r="A57" s="199" t="s">
        <v>991</v>
      </c>
      <c r="B57" s="199" t="s">
        <v>993</v>
      </c>
      <c r="C57" s="199" t="s">
        <v>586</v>
      </c>
      <c r="D57" s="199" t="s">
        <v>600</v>
      </c>
    </row>
    <row r="58" spans="1:4" ht="13.5" hidden="1" thickTop="1">
      <c r="A58" s="199" t="s">
        <v>991</v>
      </c>
      <c r="B58" s="199" t="s">
        <v>993</v>
      </c>
      <c r="C58" s="199" t="s">
        <v>1029</v>
      </c>
      <c r="D58" s="199" t="s">
        <v>1030</v>
      </c>
    </row>
    <row r="59" spans="1:4" ht="13.5" hidden="1" thickTop="1">
      <c r="A59" s="199" t="s">
        <v>991</v>
      </c>
      <c r="B59" s="199" t="s">
        <v>993</v>
      </c>
      <c r="C59" s="199" t="s">
        <v>1029</v>
      </c>
      <c r="D59" s="199" t="s">
        <v>997</v>
      </c>
    </row>
    <row r="60" spans="1:4" ht="13.5" hidden="1" thickTop="1">
      <c r="A60" s="199" t="s">
        <v>991</v>
      </c>
      <c r="B60" s="199" t="s">
        <v>993</v>
      </c>
      <c r="C60" s="199" t="s">
        <v>1029</v>
      </c>
      <c r="D60" s="199" t="s">
        <v>998</v>
      </c>
    </row>
    <row r="61" spans="1:4" ht="13.5" hidden="1" thickTop="1">
      <c r="A61" s="199" t="s">
        <v>991</v>
      </c>
      <c r="B61" s="199" t="s">
        <v>993</v>
      </c>
      <c r="C61" s="199" t="s">
        <v>1029</v>
      </c>
      <c r="D61" s="199" t="s">
        <v>999</v>
      </c>
    </row>
    <row r="62" spans="1:4" ht="13.5" hidden="1" thickTop="1">
      <c r="A62" s="199" t="s">
        <v>991</v>
      </c>
      <c r="B62" s="199" t="s">
        <v>993</v>
      </c>
      <c r="C62" s="199" t="s">
        <v>1031</v>
      </c>
      <c r="D62" s="199" t="s">
        <v>1032</v>
      </c>
    </row>
    <row r="63" spans="1:4" ht="13.5" hidden="1" thickTop="1">
      <c r="A63" s="199" t="s">
        <v>991</v>
      </c>
      <c r="B63" s="199" t="s">
        <v>456</v>
      </c>
      <c r="C63" s="199" t="s">
        <v>562</v>
      </c>
      <c r="D63" s="199" t="s">
        <v>562</v>
      </c>
    </row>
    <row r="64" spans="1:4" ht="13.5" hidden="1" thickTop="1">
      <c r="A64" s="199" t="s">
        <v>991</v>
      </c>
      <c r="B64" s="199" t="s">
        <v>456</v>
      </c>
      <c r="C64" s="199" t="s">
        <v>563</v>
      </c>
      <c r="D64" s="199" t="s">
        <v>564</v>
      </c>
    </row>
    <row r="65" spans="1:4" ht="13.5" hidden="1" thickTop="1">
      <c r="A65" s="199" t="s">
        <v>991</v>
      </c>
      <c r="B65" s="199" t="s">
        <v>456</v>
      </c>
      <c r="C65" s="199" t="s">
        <v>563</v>
      </c>
      <c r="D65" s="199" t="s">
        <v>565</v>
      </c>
    </row>
    <row r="66" spans="1:4" ht="13.5" hidden="1" thickTop="1">
      <c r="A66" s="199" t="s">
        <v>991</v>
      </c>
      <c r="B66" s="199" t="s">
        <v>456</v>
      </c>
      <c r="C66" s="199" t="s">
        <v>563</v>
      </c>
      <c r="D66" s="199" t="s">
        <v>566</v>
      </c>
    </row>
    <row r="67" spans="1:4" ht="13.5" hidden="1" thickTop="1">
      <c r="A67" s="199" t="s">
        <v>991</v>
      </c>
      <c r="B67" s="199" t="s">
        <v>456</v>
      </c>
      <c r="C67" s="199" t="s">
        <v>563</v>
      </c>
      <c r="D67" s="199" t="s">
        <v>567</v>
      </c>
    </row>
    <row r="68" spans="1:4" ht="13.5" hidden="1" thickTop="1">
      <c r="A68" s="199" t="s">
        <v>991</v>
      </c>
      <c r="B68" s="199" t="s">
        <v>456</v>
      </c>
      <c r="C68" s="199" t="s">
        <v>563</v>
      </c>
      <c r="D68" s="199" t="s">
        <v>563</v>
      </c>
    </row>
    <row r="69" spans="1:4" ht="13.5" hidden="1" thickTop="1">
      <c r="A69" s="199" t="s">
        <v>991</v>
      </c>
      <c r="B69" s="199" t="s">
        <v>456</v>
      </c>
      <c r="C69" s="199" t="s">
        <v>563</v>
      </c>
      <c r="D69" s="199" t="s">
        <v>568</v>
      </c>
    </row>
    <row r="70" spans="1:4" ht="13.5" hidden="1" thickTop="1">
      <c r="A70" s="199" t="s">
        <v>991</v>
      </c>
      <c r="B70" s="199" t="s">
        <v>456</v>
      </c>
      <c r="C70" s="199" t="s">
        <v>563</v>
      </c>
      <c r="D70" s="199" t="s">
        <v>569</v>
      </c>
    </row>
    <row r="71" spans="1:4" ht="13.5" hidden="1" thickTop="1">
      <c r="A71" s="199" t="s">
        <v>991</v>
      </c>
      <c r="B71" s="199" t="s">
        <v>456</v>
      </c>
      <c r="C71" s="199" t="s">
        <v>563</v>
      </c>
      <c r="D71" s="199" t="s">
        <v>570</v>
      </c>
    </row>
    <row r="72" spans="1:4" ht="13.5" hidden="1" thickTop="1">
      <c r="A72" s="199" t="s">
        <v>991</v>
      </c>
      <c r="B72" s="199" t="s">
        <v>456</v>
      </c>
      <c r="C72" s="199" t="s">
        <v>563</v>
      </c>
      <c r="D72" s="199" t="s">
        <v>1033</v>
      </c>
    </row>
    <row r="73" spans="1:4" ht="13.5" hidden="1" thickTop="1">
      <c r="A73" s="199" t="s">
        <v>991</v>
      </c>
      <c r="B73" s="199" t="s">
        <v>456</v>
      </c>
      <c r="C73" s="199" t="s">
        <v>571</v>
      </c>
      <c r="D73" s="199" t="s">
        <v>572</v>
      </c>
    </row>
    <row r="74" spans="1:4" ht="13.5" hidden="1" thickTop="1">
      <c r="A74" s="199" t="s">
        <v>991</v>
      </c>
      <c r="B74" s="199" t="s">
        <v>456</v>
      </c>
      <c r="C74" s="199" t="s">
        <v>571</v>
      </c>
      <c r="D74" s="199" t="s">
        <v>573</v>
      </c>
    </row>
    <row r="75" spans="1:4" ht="13.5" hidden="1" thickTop="1">
      <c r="A75" s="199" t="s">
        <v>991</v>
      </c>
      <c r="B75" s="199" t="s">
        <v>456</v>
      </c>
      <c r="C75" s="199" t="s">
        <v>571</v>
      </c>
      <c r="D75" s="199" t="s">
        <v>574</v>
      </c>
    </row>
    <row r="76" spans="1:4" ht="13.5" hidden="1" thickTop="1">
      <c r="A76" s="199" t="s">
        <v>991</v>
      </c>
      <c r="B76" s="199" t="s">
        <v>456</v>
      </c>
      <c r="C76" s="199" t="s">
        <v>571</v>
      </c>
      <c r="D76" s="199" t="s">
        <v>575</v>
      </c>
    </row>
    <row r="77" spans="1:4" ht="13.5" hidden="1" thickTop="1">
      <c r="A77" s="199" t="s">
        <v>991</v>
      </c>
      <c r="B77" s="199" t="s">
        <v>456</v>
      </c>
      <c r="C77" s="199" t="s">
        <v>571</v>
      </c>
      <c r="D77" s="199" t="s">
        <v>576</v>
      </c>
    </row>
    <row r="78" spans="1:4" ht="13.5" hidden="1" thickTop="1">
      <c r="A78" s="199" t="s">
        <v>991</v>
      </c>
      <c r="B78" s="199" t="s">
        <v>456</v>
      </c>
      <c r="C78" s="199" t="s">
        <v>577</v>
      </c>
      <c r="D78" s="199" t="s">
        <v>578</v>
      </c>
    </row>
    <row r="79" spans="1:4" ht="13.5" hidden="1" thickTop="1">
      <c r="A79" s="199" t="s">
        <v>991</v>
      </c>
      <c r="B79" s="199" t="s">
        <v>457</v>
      </c>
      <c r="C79" s="199" t="s">
        <v>512</v>
      </c>
      <c r="D79" s="199" t="s">
        <v>1034</v>
      </c>
    </row>
    <row r="80" spans="1:4" ht="13.5" hidden="1" thickTop="1">
      <c r="A80" s="199" t="s">
        <v>991</v>
      </c>
      <c r="B80" s="199" t="s">
        <v>457</v>
      </c>
      <c r="C80" s="199" t="s">
        <v>580</v>
      </c>
      <c r="D80" s="199" t="s">
        <v>581</v>
      </c>
    </row>
    <row r="81" spans="1:4" ht="13.5" hidden="1" thickTop="1">
      <c r="A81" s="199" t="s">
        <v>991</v>
      </c>
      <c r="B81" s="199" t="s">
        <v>457</v>
      </c>
      <c r="C81" s="199" t="s">
        <v>580</v>
      </c>
      <c r="D81" s="199" t="s">
        <v>580</v>
      </c>
    </row>
    <row r="82" spans="1:4" ht="13.5" hidden="1" thickTop="1">
      <c r="A82" s="199" t="s">
        <v>991</v>
      </c>
      <c r="B82" s="199" t="s">
        <v>457</v>
      </c>
      <c r="C82" s="199" t="s">
        <v>582</v>
      </c>
      <c r="D82" s="199" t="s">
        <v>1035</v>
      </c>
    </row>
    <row r="83" spans="1:4" ht="13.5" hidden="1" thickTop="1">
      <c r="A83" s="199" t="s">
        <v>991</v>
      </c>
      <c r="B83" s="199" t="s">
        <v>457</v>
      </c>
      <c r="C83" s="199" t="s">
        <v>582</v>
      </c>
      <c r="D83" s="199" t="s">
        <v>583</v>
      </c>
    </row>
    <row r="84" spans="1:4" ht="13.5" hidden="1" thickTop="1">
      <c r="A84" s="199" t="s">
        <v>991</v>
      </c>
      <c r="B84" s="199" t="s">
        <v>457</v>
      </c>
      <c r="C84" s="199" t="s">
        <v>582</v>
      </c>
      <c r="D84" s="199" t="s">
        <v>541</v>
      </c>
    </row>
    <row r="85" spans="1:4" ht="13.5" hidden="1" thickTop="1">
      <c r="A85" s="199" t="s">
        <v>991</v>
      </c>
      <c r="B85" s="199" t="s">
        <v>457</v>
      </c>
      <c r="C85" s="199" t="s">
        <v>582</v>
      </c>
      <c r="D85" s="199" t="s">
        <v>584</v>
      </c>
    </row>
    <row r="86" spans="1:4" ht="13.5" hidden="1" thickTop="1">
      <c r="A86" s="199" t="s">
        <v>991</v>
      </c>
      <c r="B86" s="199" t="s">
        <v>457</v>
      </c>
      <c r="C86" s="199" t="s">
        <v>582</v>
      </c>
      <c r="D86" s="199" t="s">
        <v>585</v>
      </c>
    </row>
    <row r="87" spans="1:4" ht="13.5" hidden="1" thickTop="1">
      <c r="A87" s="199" t="s">
        <v>991</v>
      </c>
      <c r="B87" s="199" t="s">
        <v>457</v>
      </c>
      <c r="C87" s="199" t="s">
        <v>586</v>
      </c>
      <c r="D87" s="199" t="s">
        <v>587</v>
      </c>
    </row>
    <row r="88" spans="1:4" ht="13.5" hidden="1" thickTop="1">
      <c r="A88" s="199" t="s">
        <v>991</v>
      </c>
      <c r="B88" s="199" t="s">
        <v>457</v>
      </c>
      <c r="C88" s="199" t="s">
        <v>586</v>
      </c>
      <c r="D88" s="199" t="s">
        <v>1036</v>
      </c>
    </row>
    <row r="89" spans="1:4" ht="13.5" hidden="1" thickTop="1">
      <c r="A89" s="199" t="s">
        <v>991</v>
      </c>
      <c r="B89" s="199" t="s">
        <v>457</v>
      </c>
      <c r="C89" s="199" t="s">
        <v>586</v>
      </c>
      <c r="D89" s="199" t="s">
        <v>588</v>
      </c>
    </row>
    <row r="90" spans="1:4" ht="13.5" hidden="1" thickTop="1">
      <c r="A90" s="199" t="s">
        <v>991</v>
      </c>
      <c r="B90" s="199" t="s">
        <v>458</v>
      </c>
      <c r="C90" s="199" t="s">
        <v>1037</v>
      </c>
      <c r="D90" s="199" t="s">
        <v>1038</v>
      </c>
    </row>
    <row r="91" spans="1:4" ht="13.5" hidden="1" thickTop="1">
      <c r="A91" s="199" t="s">
        <v>991</v>
      </c>
      <c r="B91" s="199" t="s">
        <v>458</v>
      </c>
      <c r="C91" s="199" t="s">
        <v>594</v>
      </c>
      <c r="D91" s="199" t="s">
        <v>595</v>
      </c>
    </row>
    <row r="92" spans="1:4" ht="13.5" hidden="1" thickTop="1">
      <c r="A92" s="199" t="s">
        <v>991</v>
      </c>
      <c r="B92" s="199" t="s">
        <v>458</v>
      </c>
      <c r="C92" s="199" t="s">
        <v>586</v>
      </c>
      <c r="D92" s="199" t="s">
        <v>596</v>
      </c>
    </row>
    <row r="93" spans="1:4" ht="13.5" hidden="1" thickTop="1">
      <c r="A93" s="199" t="s">
        <v>991</v>
      </c>
      <c r="B93" s="199" t="s">
        <v>458</v>
      </c>
      <c r="C93" s="199" t="s">
        <v>586</v>
      </c>
      <c r="D93" s="199" t="s">
        <v>597</v>
      </c>
    </row>
    <row r="94" spans="1:4" ht="13.5" hidden="1" thickTop="1">
      <c r="A94" s="199" t="s">
        <v>991</v>
      </c>
      <c r="B94" s="199" t="s">
        <v>458</v>
      </c>
      <c r="C94" s="199" t="s">
        <v>586</v>
      </c>
      <c r="D94" s="199" t="s">
        <v>598</v>
      </c>
    </row>
    <row r="95" spans="1:4" ht="13.5" hidden="1" thickTop="1">
      <c r="A95" s="199" t="s">
        <v>991</v>
      </c>
      <c r="B95" s="199" t="s">
        <v>458</v>
      </c>
      <c r="C95" s="199" t="s">
        <v>586</v>
      </c>
      <c r="D95" s="199" t="s">
        <v>599</v>
      </c>
    </row>
    <row r="96" spans="1:4" ht="13.5" hidden="1" thickTop="1">
      <c r="A96" s="199" t="s">
        <v>991</v>
      </c>
      <c r="B96" s="199" t="s">
        <v>458</v>
      </c>
      <c r="C96" s="199" t="s">
        <v>586</v>
      </c>
      <c r="D96" s="199" t="s">
        <v>600</v>
      </c>
    </row>
    <row r="97" spans="1:4" ht="13.5" hidden="1" thickTop="1">
      <c r="A97" s="199" t="s">
        <v>991</v>
      </c>
      <c r="B97" s="199" t="s">
        <v>459</v>
      </c>
      <c r="C97" s="199" t="s">
        <v>1039</v>
      </c>
      <c r="D97" s="199" t="s">
        <v>522</v>
      </c>
    </row>
    <row r="98" spans="1:4" ht="13.5" hidden="1" thickTop="1">
      <c r="A98" s="199" t="s">
        <v>991</v>
      </c>
      <c r="B98" s="199" t="s">
        <v>459</v>
      </c>
      <c r="C98" s="199" t="s">
        <v>1039</v>
      </c>
      <c r="D98" s="199" t="s">
        <v>1040</v>
      </c>
    </row>
    <row r="99" spans="1:4" ht="13.5" hidden="1" thickTop="1">
      <c r="A99" s="199" t="s">
        <v>991</v>
      </c>
      <c r="B99" s="199" t="s">
        <v>459</v>
      </c>
      <c r="C99" s="199" t="s">
        <v>521</v>
      </c>
      <c r="D99" s="199" t="s">
        <v>522</v>
      </c>
    </row>
    <row r="100" spans="1:4" ht="13.5" hidden="1" thickTop="1">
      <c r="A100" s="199" t="s">
        <v>991</v>
      </c>
      <c r="B100" s="199" t="s">
        <v>459</v>
      </c>
      <c r="C100" s="199" t="s">
        <v>601</v>
      </c>
      <c r="D100" s="199" t="s">
        <v>605</v>
      </c>
    </row>
    <row r="101" spans="1:4" ht="13.5" hidden="1" thickTop="1">
      <c r="A101" s="199" t="s">
        <v>991</v>
      </c>
      <c r="B101" s="199" t="s">
        <v>459</v>
      </c>
      <c r="C101" s="199" t="s">
        <v>586</v>
      </c>
      <c r="D101" s="199" t="s">
        <v>609</v>
      </c>
    </row>
    <row r="102" spans="1:4" ht="13.5" hidden="1" thickTop="1">
      <c r="A102" s="199" t="s">
        <v>991</v>
      </c>
      <c r="B102" s="199" t="s">
        <v>459</v>
      </c>
      <c r="C102" s="199" t="s">
        <v>586</v>
      </c>
      <c r="D102" s="199" t="s">
        <v>610</v>
      </c>
    </row>
    <row r="103" spans="1:4" ht="13.5" hidden="1" thickTop="1">
      <c r="A103" s="199" t="s">
        <v>991</v>
      </c>
      <c r="B103" s="199" t="s">
        <v>459</v>
      </c>
      <c r="C103" s="199" t="s">
        <v>586</v>
      </c>
      <c r="D103" s="199" t="s">
        <v>611</v>
      </c>
    </row>
    <row r="104" spans="1:4" ht="13.5" hidden="1" thickTop="1">
      <c r="A104" s="199" t="s">
        <v>991</v>
      </c>
      <c r="B104" s="199" t="s">
        <v>459</v>
      </c>
      <c r="C104" s="199" t="s">
        <v>612</v>
      </c>
      <c r="D104" s="199" t="s">
        <v>613</v>
      </c>
    </row>
    <row r="105" spans="1:4" ht="13.5" hidden="1" thickTop="1">
      <c r="A105" s="199" t="s">
        <v>991</v>
      </c>
      <c r="B105" s="199" t="s">
        <v>459</v>
      </c>
      <c r="C105" s="199" t="s">
        <v>612</v>
      </c>
      <c r="D105" s="199" t="s">
        <v>615</v>
      </c>
    </row>
    <row r="106" spans="1:4" ht="13.5" hidden="1" thickTop="1">
      <c r="A106" s="199" t="s">
        <v>991</v>
      </c>
      <c r="B106" s="199" t="s">
        <v>459</v>
      </c>
      <c r="C106" s="199" t="s">
        <v>612</v>
      </c>
      <c r="D106" s="199" t="s">
        <v>616</v>
      </c>
    </row>
    <row r="107" spans="1:4" ht="13.5" hidden="1" thickTop="1">
      <c r="A107" s="199" t="s">
        <v>991</v>
      </c>
      <c r="B107" s="199" t="s">
        <v>459</v>
      </c>
      <c r="C107" s="199" t="s">
        <v>617</v>
      </c>
      <c r="D107" s="199" t="s">
        <v>622</v>
      </c>
    </row>
    <row r="108" spans="1:4" ht="13.5" hidden="1" thickTop="1">
      <c r="A108" s="199" t="s">
        <v>991</v>
      </c>
      <c r="B108" s="199" t="s">
        <v>459</v>
      </c>
      <c r="C108" s="199" t="s">
        <v>617</v>
      </c>
      <c r="D108" s="199" t="s">
        <v>626</v>
      </c>
    </row>
    <row r="109" spans="1:4" ht="13.5" hidden="1" thickTop="1">
      <c r="A109" s="199" t="s">
        <v>991</v>
      </c>
      <c r="B109" s="199" t="s">
        <v>459</v>
      </c>
      <c r="C109" s="199" t="s">
        <v>617</v>
      </c>
      <c r="D109" s="199" t="s">
        <v>627</v>
      </c>
    </row>
    <row r="110" spans="1:4" ht="13.5" hidden="1" thickTop="1">
      <c r="A110" s="199" t="s">
        <v>991</v>
      </c>
      <c r="B110" s="199" t="s">
        <v>1041</v>
      </c>
      <c r="C110" s="199" t="s">
        <v>1042</v>
      </c>
      <c r="D110" s="199" t="s">
        <v>1043</v>
      </c>
    </row>
    <row r="111" spans="1:4" ht="13.5" hidden="1" thickTop="1">
      <c r="A111" s="199" t="s">
        <v>991</v>
      </c>
      <c r="B111" s="199" t="s">
        <v>183</v>
      </c>
      <c r="C111" s="199" t="s">
        <v>521</v>
      </c>
      <c r="D111" s="199" t="s">
        <v>522</v>
      </c>
    </row>
    <row r="112" spans="1:4" ht="13.5" hidden="1" thickTop="1">
      <c r="A112" s="199" t="s">
        <v>991</v>
      </c>
      <c r="B112" s="199" t="s">
        <v>183</v>
      </c>
      <c r="C112" s="199" t="s">
        <v>634</v>
      </c>
      <c r="D112" s="199" t="s">
        <v>626</v>
      </c>
    </row>
    <row r="113" spans="1:4" ht="13.5" hidden="1" thickTop="1">
      <c r="A113" s="199" t="s">
        <v>991</v>
      </c>
      <c r="B113" s="199" t="s">
        <v>183</v>
      </c>
      <c r="C113" s="199" t="s">
        <v>635</v>
      </c>
      <c r="D113" s="199" t="s">
        <v>635</v>
      </c>
    </row>
    <row r="114" spans="1:4" ht="13.5" hidden="1" thickTop="1">
      <c r="A114" s="199" t="s">
        <v>991</v>
      </c>
      <c r="B114" s="199" t="s">
        <v>460</v>
      </c>
      <c r="C114" s="199" t="s">
        <v>645</v>
      </c>
      <c r="D114" s="199" t="s">
        <v>646</v>
      </c>
    </row>
    <row r="115" spans="1:4" ht="13.5" thickTop="1">
      <c r="A115" s="199" t="s">
        <v>1044</v>
      </c>
      <c r="B115" s="199" t="s">
        <v>453</v>
      </c>
      <c r="C115" s="199" t="s">
        <v>509</v>
      </c>
      <c r="D115" s="199" t="s">
        <v>510</v>
      </c>
    </row>
    <row r="116" spans="1:4">
      <c r="A116" s="199" t="s">
        <v>1044</v>
      </c>
      <c r="B116" s="199" t="s">
        <v>453</v>
      </c>
      <c r="C116" s="199" t="s">
        <v>509</v>
      </c>
      <c r="D116" s="199" t="s">
        <v>511</v>
      </c>
    </row>
    <row r="117" spans="1:4">
      <c r="A117" s="199" t="s">
        <v>1044</v>
      </c>
      <c r="B117" s="199" t="s">
        <v>453</v>
      </c>
      <c r="C117" s="199" t="s">
        <v>512</v>
      </c>
      <c r="D117" s="199" t="s">
        <v>513</v>
      </c>
    </row>
    <row r="118" spans="1:4">
      <c r="A118" s="199" t="s">
        <v>1044</v>
      </c>
      <c r="B118" s="199" t="s">
        <v>453</v>
      </c>
      <c r="C118" s="199" t="s">
        <v>512</v>
      </c>
      <c r="D118" s="199" t="s">
        <v>514</v>
      </c>
    </row>
    <row r="119" spans="1:4">
      <c r="A119" s="199" t="s">
        <v>1044</v>
      </c>
      <c r="B119" s="199" t="s">
        <v>453</v>
      </c>
      <c r="C119" s="199" t="s">
        <v>512</v>
      </c>
      <c r="D119" s="199" t="s">
        <v>515</v>
      </c>
    </row>
    <row r="120" spans="1:4">
      <c r="A120" s="199" t="s">
        <v>1044</v>
      </c>
      <c r="B120" s="199" t="s">
        <v>453</v>
      </c>
      <c r="C120" s="199" t="s">
        <v>512</v>
      </c>
      <c r="D120" s="199" t="s">
        <v>516</v>
      </c>
    </row>
    <row r="121" spans="1:4">
      <c r="A121" s="199" t="s">
        <v>1044</v>
      </c>
      <c r="B121" s="199" t="s">
        <v>453</v>
      </c>
      <c r="C121" s="199" t="s">
        <v>512</v>
      </c>
      <c r="D121" s="199" t="s">
        <v>517</v>
      </c>
    </row>
    <row r="122" spans="1:4">
      <c r="A122" s="199" t="s">
        <v>1044</v>
      </c>
      <c r="B122" s="199" t="s">
        <v>453</v>
      </c>
      <c r="C122" s="199" t="s">
        <v>512</v>
      </c>
      <c r="D122" s="199" t="s">
        <v>518</v>
      </c>
    </row>
    <row r="123" spans="1:4">
      <c r="A123" s="199" t="s">
        <v>1044</v>
      </c>
      <c r="B123" s="199" t="s">
        <v>453</v>
      </c>
      <c r="C123" s="199" t="s">
        <v>512</v>
      </c>
      <c r="D123" s="199" t="s">
        <v>519</v>
      </c>
    </row>
    <row r="124" spans="1:4">
      <c r="A124" s="199" t="s">
        <v>1044</v>
      </c>
      <c r="B124" s="199" t="s">
        <v>453</v>
      </c>
      <c r="C124" s="199" t="s">
        <v>512</v>
      </c>
      <c r="D124" s="199" t="s">
        <v>520</v>
      </c>
    </row>
    <row r="125" spans="1:4">
      <c r="A125" s="199" t="s">
        <v>1044</v>
      </c>
      <c r="B125" s="199" t="s">
        <v>453</v>
      </c>
      <c r="C125" s="199" t="s">
        <v>521</v>
      </c>
      <c r="D125" s="199" t="s">
        <v>522</v>
      </c>
    </row>
    <row r="126" spans="1:4">
      <c r="A126" s="199" t="s">
        <v>1044</v>
      </c>
      <c r="B126" s="199" t="s">
        <v>454</v>
      </c>
      <c r="C126" s="199" t="s">
        <v>523</v>
      </c>
      <c r="D126" s="199" t="s">
        <v>524</v>
      </c>
    </row>
    <row r="127" spans="1:4">
      <c r="A127" s="199" t="s">
        <v>1044</v>
      </c>
      <c r="B127" s="199" t="s">
        <v>454</v>
      </c>
      <c r="C127" s="199" t="s">
        <v>523</v>
      </c>
      <c r="D127" s="199" t="s">
        <v>525</v>
      </c>
    </row>
    <row r="128" spans="1:4">
      <c r="A128" s="199" t="s">
        <v>1044</v>
      </c>
      <c r="B128" s="199" t="s">
        <v>454</v>
      </c>
      <c r="C128" s="199" t="s">
        <v>523</v>
      </c>
      <c r="D128" s="199" t="s">
        <v>526</v>
      </c>
    </row>
    <row r="129" spans="1:4">
      <c r="A129" s="199" t="s">
        <v>1044</v>
      </c>
      <c r="B129" s="199" t="s">
        <v>454</v>
      </c>
      <c r="C129" s="199" t="s">
        <v>523</v>
      </c>
      <c r="D129" s="199" t="s">
        <v>527</v>
      </c>
    </row>
    <row r="130" spans="1:4">
      <c r="A130" s="199" t="s">
        <v>1044</v>
      </c>
      <c r="B130" s="199" t="s">
        <v>454</v>
      </c>
      <c r="C130" s="199" t="s">
        <v>528</v>
      </c>
      <c r="D130" s="199" t="s">
        <v>529</v>
      </c>
    </row>
    <row r="131" spans="1:4">
      <c r="A131" s="199" t="s">
        <v>1044</v>
      </c>
      <c r="B131" s="199" t="s">
        <v>455</v>
      </c>
      <c r="C131" s="199" t="s">
        <v>530</v>
      </c>
      <c r="D131" s="199" t="s">
        <v>99</v>
      </c>
    </row>
    <row r="132" spans="1:4">
      <c r="A132" s="199" t="s">
        <v>1044</v>
      </c>
      <c r="B132" s="199" t="s">
        <v>455</v>
      </c>
      <c r="C132" s="199" t="s">
        <v>530</v>
      </c>
      <c r="D132" s="199" t="s">
        <v>531</v>
      </c>
    </row>
    <row r="133" spans="1:4">
      <c r="A133" s="199" t="s">
        <v>1044</v>
      </c>
      <c r="B133" s="199" t="s">
        <v>455</v>
      </c>
      <c r="C133" s="199" t="s">
        <v>530</v>
      </c>
      <c r="D133" s="199" t="s">
        <v>532</v>
      </c>
    </row>
    <row r="134" spans="1:4">
      <c r="A134" s="199" t="s">
        <v>1044</v>
      </c>
      <c r="B134" s="199" t="s">
        <v>455</v>
      </c>
      <c r="C134" s="199" t="s">
        <v>530</v>
      </c>
      <c r="D134" s="199" t="s">
        <v>533</v>
      </c>
    </row>
    <row r="135" spans="1:4">
      <c r="A135" s="199" t="s">
        <v>1044</v>
      </c>
      <c r="B135" s="199" t="s">
        <v>455</v>
      </c>
      <c r="C135" s="199" t="s">
        <v>530</v>
      </c>
      <c r="D135" s="199" t="s">
        <v>534</v>
      </c>
    </row>
    <row r="136" spans="1:4">
      <c r="A136" s="199" t="s">
        <v>1044</v>
      </c>
      <c r="B136" s="199" t="s">
        <v>455</v>
      </c>
      <c r="C136" s="199" t="s">
        <v>530</v>
      </c>
      <c r="D136" s="199" t="s">
        <v>535</v>
      </c>
    </row>
    <row r="137" spans="1:4">
      <c r="A137" s="199" t="s">
        <v>1044</v>
      </c>
      <c r="B137" s="199" t="s">
        <v>250</v>
      </c>
      <c r="C137" s="199" t="s">
        <v>536</v>
      </c>
      <c r="D137" s="199" t="s">
        <v>537</v>
      </c>
    </row>
    <row r="138" spans="1:4">
      <c r="A138" s="199" t="s">
        <v>1044</v>
      </c>
      <c r="B138" s="199" t="s">
        <v>250</v>
      </c>
      <c r="C138" s="199" t="s">
        <v>536</v>
      </c>
      <c r="D138" s="199" t="s">
        <v>538</v>
      </c>
    </row>
    <row r="139" spans="1:4">
      <c r="A139" s="199" t="s">
        <v>1044</v>
      </c>
      <c r="B139" s="199" t="s">
        <v>250</v>
      </c>
      <c r="C139" s="199" t="s">
        <v>536</v>
      </c>
      <c r="D139" s="199" t="s">
        <v>7</v>
      </c>
    </row>
    <row r="140" spans="1:4">
      <c r="A140" s="199" t="s">
        <v>1044</v>
      </c>
      <c r="B140" s="199" t="s">
        <v>250</v>
      </c>
      <c r="C140" s="199" t="s">
        <v>521</v>
      </c>
      <c r="D140" s="199" t="s">
        <v>522</v>
      </c>
    </row>
    <row r="141" spans="1:4">
      <c r="A141" s="199" t="s">
        <v>1044</v>
      </c>
      <c r="B141" s="199" t="s">
        <v>250</v>
      </c>
      <c r="C141" s="199" t="s">
        <v>521</v>
      </c>
      <c r="D141" s="199" t="s">
        <v>539</v>
      </c>
    </row>
    <row r="142" spans="1:4">
      <c r="A142" s="199" t="s">
        <v>1044</v>
      </c>
      <c r="B142" s="199" t="s">
        <v>250</v>
      </c>
      <c r="C142" s="199" t="s">
        <v>540</v>
      </c>
      <c r="D142" s="199" t="s">
        <v>541</v>
      </c>
    </row>
    <row r="143" spans="1:4">
      <c r="A143" s="199" t="s">
        <v>1044</v>
      </c>
      <c r="B143" s="199" t="s">
        <v>250</v>
      </c>
      <c r="C143" s="199" t="s">
        <v>540</v>
      </c>
      <c r="D143" s="199" t="s">
        <v>542</v>
      </c>
    </row>
    <row r="144" spans="1:4">
      <c r="A144" s="199" t="s">
        <v>1044</v>
      </c>
      <c r="B144" s="199" t="s">
        <v>250</v>
      </c>
      <c r="C144" s="199" t="s">
        <v>540</v>
      </c>
      <c r="D144" s="199" t="s">
        <v>543</v>
      </c>
    </row>
    <row r="145" spans="1:4">
      <c r="A145" s="199" t="s">
        <v>1044</v>
      </c>
      <c r="B145" s="199" t="s">
        <v>250</v>
      </c>
      <c r="C145" s="199" t="s">
        <v>540</v>
      </c>
      <c r="D145" s="199" t="s">
        <v>544</v>
      </c>
    </row>
    <row r="146" spans="1:4">
      <c r="A146" s="199" t="s">
        <v>1044</v>
      </c>
      <c r="B146" s="199" t="s">
        <v>250</v>
      </c>
      <c r="C146" s="199" t="s">
        <v>540</v>
      </c>
      <c r="D146" s="199" t="s">
        <v>545</v>
      </c>
    </row>
    <row r="147" spans="1:4">
      <c r="A147" s="199" t="s">
        <v>1044</v>
      </c>
      <c r="B147" s="199" t="s">
        <v>250</v>
      </c>
      <c r="C147" s="199" t="s">
        <v>546</v>
      </c>
      <c r="D147" s="199" t="s">
        <v>547</v>
      </c>
    </row>
    <row r="148" spans="1:4">
      <c r="A148" s="199" t="s">
        <v>1044</v>
      </c>
      <c r="B148" s="199" t="s">
        <v>250</v>
      </c>
      <c r="C148" s="199" t="s">
        <v>546</v>
      </c>
      <c r="D148" s="199" t="s">
        <v>548</v>
      </c>
    </row>
    <row r="149" spans="1:4">
      <c r="A149" s="199" t="s">
        <v>1044</v>
      </c>
      <c r="B149" s="199" t="s">
        <v>250</v>
      </c>
      <c r="C149" s="199" t="s">
        <v>546</v>
      </c>
      <c r="D149" s="199" t="s">
        <v>549</v>
      </c>
    </row>
    <row r="150" spans="1:4">
      <c r="A150" s="199" t="s">
        <v>1044</v>
      </c>
      <c r="B150" s="199" t="s">
        <v>250</v>
      </c>
      <c r="C150" s="199" t="s">
        <v>546</v>
      </c>
      <c r="D150" s="199" t="s">
        <v>550</v>
      </c>
    </row>
    <row r="151" spans="1:4">
      <c r="A151" s="199" t="s">
        <v>1044</v>
      </c>
      <c r="B151" s="199" t="s">
        <v>250</v>
      </c>
      <c r="C151" s="199" t="s">
        <v>546</v>
      </c>
      <c r="D151" s="199" t="s">
        <v>551</v>
      </c>
    </row>
    <row r="152" spans="1:4">
      <c r="A152" s="199" t="s">
        <v>1044</v>
      </c>
      <c r="B152" s="199" t="s">
        <v>250</v>
      </c>
      <c r="C152" s="199" t="s">
        <v>546</v>
      </c>
      <c r="D152" s="199" t="s">
        <v>552</v>
      </c>
    </row>
    <row r="153" spans="1:4">
      <c r="A153" s="199" t="s">
        <v>1044</v>
      </c>
      <c r="B153" s="199" t="s">
        <v>250</v>
      </c>
      <c r="C153" s="199" t="s">
        <v>546</v>
      </c>
      <c r="D153" s="199" t="s">
        <v>553</v>
      </c>
    </row>
    <row r="154" spans="1:4">
      <c r="A154" s="199" t="s">
        <v>1044</v>
      </c>
      <c r="B154" s="199" t="s">
        <v>250</v>
      </c>
      <c r="C154" s="199" t="s">
        <v>546</v>
      </c>
      <c r="D154" s="199" t="s">
        <v>554</v>
      </c>
    </row>
    <row r="155" spans="1:4">
      <c r="A155" s="199" t="s">
        <v>1044</v>
      </c>
      <c r="B155" s="199" t="s">
        <v>250</v>
      </c>
      <c r="C155" s="199" t="s">
        <v>546</v>
      </c>
      <c r="D155" s="199" t="s">
        <v>555</v>
      </c>
    </row>
    <row r="156" spans="1:4">
      <c r="A156" s="199" t="s">
        <v>1044</v>
      </c>
      <c r="B156" s="199" t="s">
        <v>250</v>
      </c>
      <c r="C156" s="199" t="s">
        <v>546</v>
      </c>
      <c r="D156" s="199" t="s">
        <v>556</v>
      </c>
    </row>
    <row r="157" spans="1:4">
      <c r="A157" s="199" t="s">
        <v>1044</v>
      </c>
      <c r="B157" s="199" t="s">
        <v>250</v>
      </c>
      <c r="C157" s="199" t="s">
        <v>546</v>
      </c>
      <c r="D157" s="199" t="s">
        <v>557</v>
      </c>
    </row>
    <row r="158" spans="1:4">
      <c r="A158" s="199" t="s">
        <v>1044</v>
      </c>
      <c r="B158" s="199" t="s">
        <v>250</v>
      </c>
      <c r="C158" s="199" t="s">
        <v>546</v>
      </c>
      <c r="D158" s="199" t="s">
        <v>558</v>
      </c>
    </row>
    <row r="159" spans="1:4">
      <c r="A159" s="199" t="s">
        <v>1044</v>
      </c>
      <c r="B159" s="199" t="s">
        <v>250</v>
      </c>
      <c r="C159" s="199" t="s">
        <v>546</v>
      </c>
      <c r="D159" s="199" t="s">
        <v>559</v>
      </c>
    </row>
    <row r="160" spans="1:4">
      <c r="A160" s="199" t="s">
        <v>1044</v>
      </c>
      <c r="B160" s="199" t="s">
        <v>250</v>
      </c>
      <c r="C160" s="199" t="s">
        <v>546</v>
      </c>
      <c r="D160" s="199" t="s">
        <v>560</v>
      </c>
    </row>
    <row r="161" spans="1:4">
      <c r="A161" s="199" t="s">
        <v>1044</v>
      </c>
      <c r="B161" s="199" t="s">
        <v>250</v>
      </c>
      <c r="C161" s="199" t="s">
        <v>546</v>
      </c>
      <c r="D161" s="199" t="s">
        <v>561</v>
      </c>
    </row>
    <row r="162" spans="1:4">
      <c r="A162" s="199" t="s">
        <v>1044</v>
      </c>
      <c r="B162" s="199" t="s">
        <v>456</v>
      </c>
      <c r="C162" s="199" t="s">
        <v>562</v>
      </c>
      <c r="D162" s="199" t="s">
        <v>562</v>
      </c>
    </row>
    <row r="163" spans="1:4">
      <c r="A163" s="199" t="s">
        <v>1044</v>
      </c>
      <c r="B163" s="199" t="s">
        <v>456</v>
      </c>
      <c r="C163" s="199" t="s">
        <v>563</v>
      </c>
      <c r="D163" s="199" t="s">
        <v>564</v>
      </c>
    </row>
    <row r="164" spans="1:4">
      <c r="A164" s="199" t="s">
        <v>1044</v>
      </c>
      <c r="B164" s="199" t="s">
        <v>456</v>
      </c>
      <c r="C164" s="199" t="s">
        <v>563</v>
      </c>
      <c r="D164" s="199" t="s">
        <v>565</v>
      </c>
    </row>
    <row r="165" spans="1:4">
      <c r="A165" s="199" t="s">
        <v>1044</v>
      </c>
      <c r="B165" s="199" t="s">
        <v>456</v>
      </c>
      <c r="C165" s="199" t="s">
        <v>563</v>
      </c>
      <c r="D165" s="199" t="s">
        <v>566</v>
      </c>
    </row>
    <row r="166" spans="1:4">
      <c r="A166" s="199" t="s">
        <v>1044</v>
      </c>
      <c r="B166" s="199" t="s">
        <v>456</v>
      </c>
      <c r="C166" s="199" t="s">
        <v>563</v>
      </c>
      <c r="D166" s="199" t="s">
        <v>567</v>
      </c>
    </row>
    <row r="167" spans="1:4">
      <c r="A167" s="199" t="s">
        <v>1044</v>
      </c>
      <c r="B167" s="199" t="s">
        <v>456</v>
      </c>
      <c r="C167" s="199" t="s">
        <v>563</v>
      </c>
      <c r="D167" s="199" t="s">
        <v>563</v>
      </c>
    </row>
    <row r="168" spans="1:4">
      <c r="A168" s="199" t="s">
        <v>1044</v>
      </c>
      <c r="B168" s="199" t="s">
        <v>456</v>
      </c>
      <c r="C168" s="199" t="s">
        <v>563</v>
      </c>
      <c r="D168" s="199" t="s">
        <v>568</v>
      </c>
    </row>
    <row r="169" spans="1:4">
      <c r="A169" s="199" t="s">
        <v>1044</v>
      </c>
      <c r="B169" s="199" t="s">
        <v>456</v>
      </c>
      <c r="C169" s="199" t="s">
        <v>563</v>
      </c>
      <c r="D169" s="199" t="s">
        <v>569</v>
      </c>
    </row>
    <row r="170" spans="1:4">
      <c r="A170" s="199" t="s">
        <v>1044</v>
      </c>
      <c r="B170" s="199" t="s">
        <v>456</v>
      </c>
      <c r="C170" s="199" t="s">
        <v>563</v>
      </c>
      <c r="D170" s="199" t="s">
        <v>570</v>
      </c>
    </row>
    <row r="171" spans="1:4">
      <c r="A171" s="199" t="s">
        <v>1044</v>
      </c>
      <c r="B171" s="199" t="s">
        <v>456</v>
      </c>
      <c r="C171" s="199" t="s">
        <v>571</v>
      </c>
      <c r="D171" s="199" t="s">
        <v>572</v>
      </c>
    </row>
    <row r="172" spans="1:4">
      <c r="A172" s="199" t="s">
        <v>1044</v>
      </c>
      <c r="B172" s="199" t="s">
        <v>456</v>
      </c>
      <c r="C172" s="199" t="s">
        <v>571</v>
      </c>
      <c r="D172" s="199" t="s">
        <v>573</v>
      </c>
    </row>
    <row r="173" spans="1:4">
      <c r="A173" s="199" t="s">
        <v>1044</v>
      </c>
      <c r="B173" s="199" t="s">
        <v>456</v>
      </c>
      <c r="C173" s="199" t="s">
        <v>571</v>
      </c>
      <c r="D173" s="199" t="s">
        <v>574</v>
      </c>
    </row>
    <row r="174" spans="1:4">
      <c r="A174" s="199" t="s">
        <v>1044</v>
      </c>
      <c r="B174" s="199" t="s">
        <v>456</v>
      </c>
      <c r="C174" s="199" t="s">
        <v>571</v>
      </c>
      <c r="D174" s="199" t="s">
        <v>575</v>
      </c>
    </row>
    <row r="175" spans="1:4">
      <c r="A175" s="199" t="s">
        <v>1044</v>
      </c>
      <c r="B175" s="199" t="s">
        <v>456</v>
      </c>
      <c r="C175" s="199" t="s">
        <v>571</v>
      </c>
      <c r="D175" s="199" t="s">
        <v>576</v>
      </c>
    </row>
    <row r="176" spans="1:4">
      <c r="A176" s="199" t="s">
        <v>1044</v>
      </c>
      <c r="B176" s="199" t="s">
        <v>456</v>
      </c>
      <c r="C176" s="199" t="s">
        <v>577</v>
      </c>
      <c r="D176" s="199" t="s">
        <v>578</v>
      </c>
    </row>
    <row r="177" spans="1:4">
      <c r="A177" s="199" t="s">
        <v>1044</v>
      </c>
      <c r="B177" s="199" t="s">
        <v>456</v>
      </c>
      <c r="C177" s="199" t="s">
        <v>577</v>
      </c>
      <c r="D177" s="199" t="s">
        <v>579</v>
      </c>
    </row>
    <row r="178" spans="1:4">
      <c r="A178" s="199" t="s">
        <v>1044</v>
      </c>
      <c r="B178" s="199" t="s">
        <v>457</v>
      </c>
      <c r="C178" s="199" t="s">
        <v>580</v>
      </c>
      <c r="D178" s="199" t="s">
        <v>581</v>
      </c>
    </row>
    <row r="179" spans="1:4">
      <c r="A179" s="199" t="s">
        <v>1044</v>
      </c>
      <c r="B179" s="199" t="s">
        <v>457</v>
      </c>
      <c r="C179" s="199" t="s">
        <v>580</v>
      </c>
      <c r="D179" s="199" t="s">
        <v>580</v>
      </c>
    </row>
    <row r="180" spans="1:4">
      <c r="A180" s="199" t="s">
        <v>1044</v>
      </c>
      <c r="B180" s="199" t="s">
        <v>457</v>
      </c>
      <c r="C180" s="199" t="s">
        <v>582</v>
      </c>
      <c r="D180" s="199" t="s">
        <v>583</v>
      </c>
    </row>
    <row r="181" spans="1:4">
      <c r="A181" s="199" t="s">
        <v>1044</v>
      </c>
      <c r="B181" s="199" t="s">
        <v>457</v>
      </c>
      <c r="C181" s="199" t="s">
        <v>582</v>
      </c>
      <c r="D181" s="199" t="s">
        <v>541</v>
      </c>
    </row>
    <row r="182" spans="1:4">
      <c r="A182" s="199" t="s">
        <v>1044</v>
      </c>
      <c r="B182" s="199" t="s">
        <v>457</v>
      </c>
      <c r="C182" s="199" t="s">
        <v>582</v>
      </c>
      <c r="D182" s="199" t="s">
        <v>584</v>
      </c>
    </row>
    <row r="183" spans="1:4">
      <c r="A183" s="199" t="s">
        <v>1044</v>
      </c>
      <c r="B183" s="199" t="s">
        <v>457</v>
      </c>
      <c r="C183" s="199" t="s">
        <v>582</v>
      </c>
      <c r="D183" s="199" t="s">
        <v>585</v>
      </c>
    </row>
    <row r="184" spans="1:4">
      <c r="A184" s="199" t="s">
        <v>1044</v>
      </c>
      <c r="B184" s="199" t="s">
        <v>457</v>
      </c>
      <c r="C184" s="199" t="s">
        <v>586</v>
      </c>
      <c r="D184" s="199" t="s">
        <v>587</v>
      </c>
    </row>
    <row r="185" spans="1:4">
      <c r="A185" s="199" t="s">
        <v>1044</v>
      </c>
      <c r="B185" s="199" t="s">
        <v>457</v>
      </c>
      <c r="C185" s="199" t="s">
        <v>586</v>
      </c>
      <c r="D185" s="199" t="s">
        <v>588</v>
      </c>
    </row>
    <row r="186" spans="1:4">
      <c r="A186" s="199" t="s">
        <v>1044</v>
      </c>
      <c r="B186" s="199" t="s">
        <v>458</v>
      </c>
      <c r="C186" s="199" t="s">
        <v>589</v>
      </c>
      <c r="D186" s="199" t="s">
        <v>589</v>
      </c>
    </row>
    <row r="187" spans="1:4">
      <c r="A187" s="199" t="s">
        <v>1044</v>
      </c>
      <c r="B187" s="199" t="s">
        <v>458</v>
      </c>
      <c r="C187" s="199" t="s">
        <v>590</v>
      </c>
      <c r="D187" s="199" t="s">
        <v>590</v>
      </c>
    </row>
    <row r="188" spans="1:4">
      <c r="A188" s="199" t="s">
        <v>1044</v>
      </c>
      <c r="B188" s="199" t="s">
        <v>458</v>
      </c>
      <c r="C188" s="199" t="s">
        <v>521</v>
      </c>
      <c r="D188" s="199" t="s">
        <v>522</v>
      </c>
    </row>
    <row r="189" spans="1:4">
      <c r="A189" s="199" t="s">
        <v>1044</v>
      </c>
      <c r="B189" s="199" t="s">
        <v>458</v>
      </c>
      <c r="C189" s="199" t="s">
        <v>591</v>
      </c>
      <c r="D189" s="199" t="s">
        <v>592</v>
      </c>
    </row>
    <row r="190" spans="1:4">
      <c r="A190" s="199" t="s">
        <v>1044</v>
      </c>
      <c r="B190" s="199" t="s">
        <v>458</v>
      </c>
      <c r="C190" s="199" t="s">
        <v>591</v>
      </c>
      <c r="D190" s="199" t="s">
        <v>593</v>
      </c>
    </row>
    <row r="191" spans="1:4">
      <c r="A191" s="199" t="s">
        <v>1044</v>
      </c>
      <c r="B191" s="199" t="s">
        <v>458</v>
      </c>
      <c r="C191" s="199" t="s">
        <v>594</v>
      </c>
      <c r="D191" s="199" t="s">
        <v>595</v>
      </c>
    </row>
    <row r="192" spans="1:4">
      <c r="A192" s="199" t="s">
        <v>1044</v>
      </c>
      <c r="B192" s="199" t="s">
        <v>458</v>
      </c>
      <c r="C192" s="199" t="s">
        <v>586</v>
      </c>
      <c r="D192" s="199" t="s">
        <v>596</v>
      </c>
    </row>
    <row r="193" spans="1:4">
      <c r="A193" s="199" t="s">
        <v>1044</v>
      </c>
      <c r="B193" s="199" t="s">
        <v>458</v>
      </c>
      <c r="C193" s="199" t="s">
        <v>586</v>
      </c>
      <c r="D193" s="199" t="s">
        <v>597</v>
      </c>
    </row>
    <row r="194" spans="1:4">
      <c r="A194" s="199" t="s">
        <v>1044</v>
      </c>
      <c r="B194" s="199" t="s">
        <v>458</v>
      </c>
      <c r="C194" s="199" t="s">
        <v>586</v>
      </c>
      <c r="D194" s="199" t="s">
        <v>598</v>
      </c>
    </row>
    <row r="195" spans="1:4">
      <c r="A195" s="199" t="s">
        <v>1044</v>
      </c>
      <c r="B195" s="199" t="s">
        <v>458</v>
      </c>
      <c r="C195" s="199" t="s">
        <v>586</v>
      </c>
      <c r="D195" s="199" t="s">
        <v>599</v>
      </c>
    </row>
    <row r="196" spans="1:4">
      <c r="A196" s="199" t="s">
        <v>1044</v>
      </c>
      <c r="B196" s="199" t="s">
        <v>458</v>
      </c>
      <c r="C196" s="199" t="s">
        <v>586</v>
      </c>
      <c r="D196" s="199" t="s">
        <v>600</v>
      </c>
    </row>
    <row r="197" spans="1:4">
      <c r="A197" s="199" t="s">
        <v>1044</v>
      </c>
      <c r="B197" s="199" t="s">
        <v>459</v>
      </c>
      <c r="C197" s="199" t="s">
        <v>521</v>
      </c>
      <c r="D197" s="199" t="s">
        <v>522</v>
      </c>
    </row>
    <row r="198" spans="1:4">
      <c r="A198" s="199" t="s">
        <v>1044</v>
      </c>
      <c r="B198" s="199" t="s">
        <v>459</v>
      </c>
      <c r="C198" s="199" t="s">
        <v>601</v>
      </c>
      <c r="D198" s="199" t="s">
        <v>602</v>
      </c>
    </row>
    <row r="199" spans="1:4">
      <c r="A199" s="199" t="s">
        <v>1044</v>
      </c>
      <c r="B199" s="199" t="s">
        <v>459</v>
      </c>
      <c r="C199" s="199" t="s">
        <v>601</v>
      </c>
      <c r="D199" s="199" t="s">
        <v>603</v>
      </c>
    </row>
    <row r="200" spans="1:4">
      <c r="A200" s="199" t="s">
        <v>1044</v>
      </c>
      <c r="B200" s="199" t="s">
        <v>459</v>
      </c>
      <c r="C200" s="199" t="s">
        <v>601</v>
      </c>
      <c r="D200" s="199" t="s">
        <v>604</v>
      </c>
    </row>
    <row r="201" spans="1:4">
      <c r="A201" s="199" t="s">
        <v>1044</v>
      </c>
      <c r="B201" s="199" t="s">
        <v>459</v>
      </c>
      <c r="C201" s="199" t="s">
        <v>601</v>
      </c>
      <c r="D201" s="199" t="s">
        <v>605</v>
      </c>
    </row>
    <row r="202" spans="1:4">
      <c r="A202" s="199" t="s">
        <v>1044</v>
      </c>
      <c r="B202" s="199" t="s">
        <v>459</v>
      </c>
      <c r="C202" s="199" t="s">
        <v>601</v>
      </c>
      <c r="D202" s="199" t="s">
        <v>606</v>
      </c>
    </row>
    <row r="203" spans="1:4">
      <c r="A203" s="199" t="s">
        <v>1044</v>
      </c>
      <c r="B203" s="199" t="s">
        <v>459</v>
      </c>
      <c r="C203" s="199" t="s">
        <v>601</v>
      </c>
      <c r="D203" s="199" t="s">
        <v>607</v>
      </c>
    </row>
    <row r="204" spans="1:4">
      <c r="A204" s="199" t="s">
        <v>1044</v>
      </c>
      <c r="B204" s="199" t="s">
        <v>459</v>
      </c>
      <c r="C204" s="199" t="s">
        <v>601</v>
      </c>
      <c r="D204" s="199" t="s">
        <v>608</v>
      </c>
    </row>
    <row r="205" spans="1:4">
      <c r="A205" s="199" t="s">
        <v>1044</v>
      </c>
      <c r="B205" s="199" t="s">
        <v>459</v>
      </c>
      <c r="C205" s="199" t="s">
        <v>586</v>
      </c>
      <c r="D205" s="199" t="s">
        <v>609</v>
      </c>
    </row>
    <row r="206" spans="1:4">
      <c r="A206" s="199" t="s">
        <v>1044</v>
      </c>
      <c r="B206" s="199" t="s">
        <v>459</v>
      </c>
      <c r="C206" s="199" t="s">
        <v>586</v>
      </c>
      <c r="D206" s="199" t="s">
        <v>610</v>
      </c>
    </row>
    <row r="207" spans="1:4">
      <c r="A207" s="199" t="s">
        <v>1044</v>
      </c>
      <c r="B207" s="199" t="s">
        <v>459</v>
      </c>
      <c r="C207" s="199" t="s">
        <v>586</v>
      </c>
      <c r="D207" s="199" t="s">
        <v>611</v>
      </c>
    </row>
    <row r="208" spans="1:4">
      <c r="A208" s="199" t="s">
        <v>1044</v>
      </c>
      <c r="B208" s="199" t="s">
        <v>459</v>
      </c>
      <c r="C208" s="199" t="s">
        <v>612</v>
      </c>
      <c r="D208" s="199" t="s">
        <v>613</v>
      </c>
    </row>
    <row r="209" spans="1:4">
      <c r="A209" s="199" t="s">
        <v>1044</v>
      </c>
      <c r="B209" s="199" t="s">
        <v>459</v>
      </c>
      <c r="C209" s="199" t="s">
        <v>612</v>
      </c>
      <c r="D209" s="199" t="s">
        <v>614</v>
      </c>
    </row>
    <row r="210" spans="1:4">
      <c r="A210" s="199" t="s">
        <v>1044</v>
      </c>
      <c r="B210" s="199" t="s">
        <v>459</v>
      </c>
      <c r="C210" s="199" t="s">
        <v>612</v>
      </c>
      <c r="D210" s="199" t="s">
        <v>615</v>
      </c>
    </row>
    <row r="211" spans="1:4">
      <c r="A211" s="199" t="s">
        <v>1044</v>
      </c>
      <c r="B211" s="199" t="s">
        <v>459</v>
      </c>
      <c r="C211" s="199" t="s">
        <v>612</v>
      </c>
      <c r="D211" s="199" t="s">
        <v>616</v>
      </c>
    </row>
    <row r="212" spans="1:4">
      <c r="A212" s="199" t="s">
        <v>1044</v>
      </c>
      <c r="B212" s="199" t="s">
        <v>459</v>
      </c>
      <c r="C212" s="199" t="s">
        <v>617</v>
      </c>
      <c r="D212" s="199" t="s">
        <v>618</v>
      </c>
    </row>
    <row r="213" spans="1:4">
      <c r="A213" s="199" t="s">
        <v>1044</v>
      </c>
      <c r="B213" s="199" t="s">
        <v>459</v>
      </c>
      <c r="C213" s="199" t="s">
        <v>617</v>
      </c>
      <c r="D213" s="199" t="s">
        <v>548</v>
      </c>
    </row>
    <row r="214" spans="1:4">
      <c r="A214" s="199" t="s">
        <v>1044</v>
      </c>
      <c r="B214" s="199" t="s">
        <v>459</v>
      </c>
      <c r="C214" s="199" t="s">
        <v>617</v>
      </c>
      <c r="D214" s="199" t="s">
        <v>619</v>
      </c>
    </row>
    <row r="215" spans="1:4">
      <c r="A215" s="199" t="s">
        <v>1044</v>
      </c>
      <c r="B215" s="199" t="s">
        <v>459</v>
      </c>
      <c r="C215" s="199" t="s">
        <v>617</v>
      </c>
      <c r="D215" s="199" t="s">
        <v>620</v>
      </c>
    </row>
    <row r="216" spans="1:4">
      <c r="A216" s="199" t="s">
        <v>1044</v>
      </c>
      <c r="B216" s="199" t="s">
        <v>459</v>
      </c>
      <c r="C216" s="199" t="s">
        <v>617</v>
      </c>
      <c r="D216" s="199" t="s">
        <v>621</v>
      </c>
    </row>
    <row r="217" spans="1:4">
      <c r="A217" s="199" t="s">
        <v>1044</v>
      </c>
      <c r="B217" s="199" t="s">
        <v>459</v>
      </c>
      <c r="C217" s="199" t="s">
        <v>617</v>
      </c>
      <c r="D217" s="199" t="s">
        <v>622</v>
      </c>
    </row>
    <row r="218" spans="1:4">
      <c r="A218" s="199" t="s">
        <v>1044</v>
      </c>
      <c r="B218" s="199" t="s">
        <v>459</v>
      </c>
      <c r="C218" s="199" t="s">
        <v>617</v>
      </c>
      <c r="D218" s="199" t="s">
        <v>520</v>
      </c>
    </row>
    <row r="219" spans="1:4">
      <c r="A219" s="199" t="s">
        <v>1044</v>
      </c>
      <c r="B219" s="199" t="s">
        <v>459</v>
      </c>
      <c r="C219" s="199" t="s">
        <v>617</v>
      </c>
      <c r="D219" s="199" t="s">
        <v>623</v>
      </c>
    </row>
    <row r="220" spans="1:4">
      <c r="A220" s="199" t="s">
        <v>1044</v>
      </c>
      <c r="B220" s="199" t="s">
        <v>459</v>
      </c>
      <c r="C220" s="199" t="s">
        <v>617</v>
      </c>
      <c r="D220" s="199" t="s">
        <v>624</v>
      </c>
    </row>
    <row r="221" spans="1:4">
      <c r="A221" s="199" t="s">
        <v>1044</v>
      </c>
      <c r="B221" s="199" t="s">
        <v>459</v>
      </c>
      <c r="C221" s="199" t="s">
        <v>617</v>
      </c>
      <c r="D221" s="199" t="s">
        <v>625</v>
      </c>
    </row>
    <row r="222" spans="1:4">
      <c r="A222" s="199" t="s">
        <v>1044</v>
      </c>
      <c r="B222" s="199" t="s">
        <v>459</v>
      </c>
      <c r="C222" s="199" t="s">
        <v>617</v>
      </c>
      <c r="D222" s="199" t="s">
        <v>626</v>
      </c>
    </row>
    <row r="223" spans="1:4">
      <c r="A223" s="199" t="s">
        <v>1044</v>
      </c>
      <c r="B223" s="199" t="s">
        <v>459</v>
      </c>
      <c r="C223" s="199" t="s">
        <v>617</v>
      </c>
      <c r="D223" s="199" t="s">
        <v>627</v>
      </c>
    </row>
    <row r="224" spans="1:4">
      <c r="A224" s="199" t="s">
        <v>1044</v>
      </c>
      <c r="B224" s="199" t="s">
        <v>459</v>
      </c>
      <c r="C224" s="199" t="s">
        <v>617</v>
      </c>
      <c r="D224" s="199" t="s">
        <v>564</v>
      </c>
    </row>
    <row r="225" spans="1:4">
      <c r="A225" s="199" t="s">
        <v>1044</v>
      </c>
      <c r="B225" s="199" t="s">
        <v>459</v>
      </c>
      <c r="C225" s="199" t="s">
        <v>617</v>
      </c>
      <c r="D225" s="199" t="s">
        <v>628</v>
      </c>
    </row>
    <row r="226" spans="1:4">
      <c r="A226" s="199" t="s">
        <v>1044</v>
      </c>
      <c r="B226" s="199" t="s">
        <v>459</v>
      </c>
      <c r="C226" s="199" t="s">
        <v>617</v>
      </c>
      <c r="D226" s="199" t="s">
        <v>580</v>
      </c>
    </row>
    <row r="227" spans="1:4">
      <c r="A227" s="199" t="s">
        <v>1044</v>
      </c>
      <c r="B227" s="199" t="s">
        <v>459</v>
      </c>
      <c r="C227" s="199" t="s">
        <v>617</v>
      </c>
      <c r="D227" s="199" t="s">
        <v>629</v>
      </c>
    </row>
    <row r="228" spans="1:4">
      <c r="A228" s="199" t="s">
        <v>1044</v>
      </c>
      <c r="B228" s="199" t="s">
        <v>459</v>
      </c>
      <c r="C228" s="199" t="s">
        <v>617</v>
      </c>
      <c r="D228" s="199" t="s">
        <v>630</v>
      </c>
    </row>
    <row r="229" spans="1:4">
      <c r="A229" s="199" t="s">
        <v>1044</v>
      </c>
      <c r="B229" s="199" t="s">
        <v>459</v>
      </c>
      <c r="C229" s="199" t="s">
        <v>617</v>
      </c>
      <c r="D229" s="199" t="s">
        <v>631</v>
      </c>
    </row>
    <row r="230" spans="1:4">
      <c r="A230" s="199" t="s">
        <v>1044</v>
      </c>
      <c r="B230" s="199" t="s">
        <v>459</v>
      </c>
      <c r="C230" s="199" t="s">
        <v>617</v>
      </c>
      <c r="D230" s="199" t="s">
        <v>632</v>
      </c>
    </row>
    <row r="231" spans="1:4">
      <c r="A231" s="199" t="s">
        <v>1044</v>
      </c>
      <c r="B231" s="199" t="s">
        <v>183</v>
      </c>
      <c r="C231" s="199" t="s">
        <v>521</v>
      </c>
      <c r="D231" s="199" t="s">
        <v>522</v>
      </c>
    </row>
    <row r="232" spans="1:4">
      <c r="A232" s="199" t="s">
        <v>1044</v>
      </c>
      <c r="B232" s="199" t="s">
        <v>183</v>
      </c>
      <c r="C232" s="199" t="s">
        <v>633</v>
      </c>
      <c r="D232" s="199" t="s">
        <v>481</v>
      </c>
    </row>
    <row r="233" spans="1:4">
      <c r="A233" s="199" t="s">
        <v>1044</v>
      </c>
      <c r="B233" s="199" t="s">
        <v>183</v>
      </c>
      <c r="C233" s="199" t="s">
        <v>633</v>
      </c>
      <c r="D233" s="199" t="s">
        <v>633</v>
      </c>
    </row>
    <row r="234" spans="1:4">
      <c r="A234" s="199" t="s">
        <v>1044</v>
      </c>
      <c r="B234" s="199" t="s">
        <v>183</v>
      </c>
      <c r="C234" s="199" t="s">
        <v>634</v>
      </c>
      <c r="D234" s="199" t="s">
        <v>626</v>
      </c>
    </row>
    <row r="235" spans="1:4">
      <c r="A235" s="199" t="s">
        <v>1044</v>
      </c>
      <c r="B235" s="199" t="s">
        <v>183</v>
      </c>
      <c r="C235" s="199" t="s">
        <v>635</v>
      </c>
      <c r="D235" s="199" t="s">
        <v>635</v>
      </c>
    </row>
    <row r="236" spans="1:4">
      <c r="A236" s="199" t="s">
        <v>1044</v>
      </c>
      <c r="B236" s="199" t="s">
        <v>183</v>
      </c>
      <c r="C236" s="199" t="s">
        <v>636</v>
      </c>
      <c r="D236" s="199" t="s">
        <v>541</v>
      </c>
    </row>
    <row r="237" spans="1:4">
      <c r="A237" s="199" t="s">
        <v>1044</v>
      </c>
      <c r="B237" s="199" t="s">
        <v>183</v>
      </c>
      <c r="C237" s="199" t="s">
        <v>636</v>
      </c>
      <c r="D237" s="199" t="s">
        <v>637</v>
      </c>
    </row>
    <row r="238" spans="1:4">
      <c r="A238" s="199" t="s">
        <v>1044</v>
      </c>
      <c r="B238" s="199" t="s">
        <v>183</v>
      </c>
      <c r="C238" s="199" t="s">
        <v>636</v>
      </c>
      <c r="D238" s="199" t="s">
        <v>638</v>
      </c>
    </row>
    <row r="239" spans="1:4">
      <c r="A239" s="199" t="s">
        <v>1044</v>
      </c>
      <c r="B239" s="199" t="s">
        <v>183</v>
      </c>
      <c r="C239" s="199" t="s">
        <v>639</v>
      </c>
      <c r="D239" s="199" t="s">
        <v>640</v>
      </c>
    </row>
    <row r="240" spans="1:4">
      <c r="A240" s="199" t="s">
        <v>1044</v>
      </c>
      <c r="B240" s="199" t="s">
        <v>183</v>
      </c>
      <c r="C240" s="199" t="s">
        <v>639</v>
      </c>
      <c r="D240" s="199" t="s">
        <v>641</v>
      </c>
    </row>
    <row r="241" spans="1:4">
      <c r="A241" s="199" t="s">
        <v>1044</v>
      </c>
      <c r="B241" s="199" t="s">
        <v>183</v>
      </c>
      <c r="C241" s="199" t="s">
        <v>639</v>
      </c>
      <c r="D241" s="199" t="s">
        <v>642</v>
      </c>
    </row>
    <row r="242" spans="1:4">
      <c r="A242" s="199" t="s">
        <v>1044</v>
      </c>
      <c r="B242" s="199" t="s">
        <v>183</v>
      </c>
      <c r="C242" s="199" t="s">
        <v>639</v>
      </c>
      <c r="D242" s="199" t="s">
        <v>643</v>
      </c>
    </row>
    <row r="243" spans="1:4">
      <c r="A243" s="199" t="s">
        <v>1044</v>
      </c>
      <c r="B243" s="199" t="s">
        <v>183</v>
      </c>
      <c r="C243" s="199" t="s">
        <v>639</v>
      </c>
      <c r="D243" s="199" t="s">
        <v>644</v>
      </c>
    </row>
    <row r="244" spans="1:4">
      <c r="A244" s="199" t="s">
        <v>1044</v>
      </c>
      <c r="B244" s="199" t="s">
        <v>460</v>
      </c>
      <c r="C244" s="199" t="s">
        <v>645</v>
      </c>
      <c r="D244" s="199" t="s">
        <v>646</v>
      </c>
    </row>
    <row r="245" spans="1:4">
      <c r="A245" s="199" t="s">
        <v>1044</v>
      </c>
      <c r="B245" s="199" t="s">
        <v>460</v>
      </c>
      <c r="C245" s="199" t="s">
        <v>645</v>
      </c>
      <c r="D245" s="199" t="s">
        <v>647</v>
      </c>
    </row>
    <row r="246" spans="1:4" hidden="1">
      <c r="A246" s="199" t="s">
        <v>1045</v>
      </c>
      <c r="B246" s="199" t="s">
        <v>453</v>
      </c>
      <c r="C246" s="199" t="s">
        <v>509</v>
      </c>
      <c r="D246" s="199" t="s">
        <v>510</v>
      </c>
    </row>
    <row r="247" spans="1:4" hidden="1">
      <c r="A247" s="199" t="s">
        <v>1045</v>
      </c>
      <c r="B247" s="199" t="s">
        <v>453</v>
      </c>
      <c r="C247" s="199" t="s">
        <v>509</v>
      </c>
      <c r="D247" s="199" t="s">
        <v>511</v>
      </c>
    </row>
    <row r="248" spans="1:4" hidden="1">
      <c r="A248" s="199" t="s">
        <v>1045</v>
      </c>
      <c r="B248" s="199" t="s">
        <v>453</v>
      </c>
      <c r="C248" s="199" t="s">
        <v>512</v>
      </c>
      <c r="D248" s="199" t="s">
        <v>513</v>
      </c>
    </row>
    <row r="249" spans="1:4" hidden="1">
      <c r="A249" s="199" t="s">
        <v>1045</v>
      </c>
      <c r="B249" s="199" t="s">
        <v>453</v>
      </c>
      <c r="C249" s="199" t="s">
        <v>512</v>
      </c>
      <c r="D249" s="199" t="s">
        <v>514</v>
      </c>
    </row>
    <row r="250" spans="1:4" hidden="1">
      <c r="A250" s="199" t="s">
        <v>1045</v>
      </c>
      <c r="B250" s="199" t="s">
        <v>453</v>
      </c>
      <c r="C250" s="199" t="s">
        <v>512</v>
      </c>
      <c r="D250" s="199" t="s">
        <v>515</v>
      </c>
    </row>
    <row r="251" spans="1:4" hidden="1">
      <c r="A251" s="199" t="s">
        <v>1045</v>
      </c>
      <c r="B251" s="199" t="s">
        <v>453</v>
      </c>
      <c r="C251" s="199" t="s">
        <v>512</v>
      </c>
      <c r="D251" s="199" t="s">
        <v>516</v>
      </c>
    </row>
    <row r="252" spans="1:4" hidden="1">
      <c r="A252" s="199" t="s">
        <v>1045</v>
      </c>
      <c r="B252" s="199" t="s">
        <v>453</v>
      </c>
      <c r="C252" s="199" t="s">
        <v>512</v>
      </c>
      <c r="D252" s="199" t="s">
        <v>517</v>
      </c>
    </row>
    <row r="253" spans="1:4" hidden="1">
      <c r="A253" s="199" t="s">
        <v>1045</v>
      </c>
      <c r="B253" s="199" t="s">
        <v>453</v>
      </c>
      <c r="C253" s="199" t="s">
        <v>512</v>
      </c>
      <c r="D253" s="199" t="s">
        <v>518</v>
      </c>
    </row>
    <row r="254" spans="1:4" hidden="1">
      <c r="A254" s="199" t="s">
        <v>1045</v>
      </c>
      <c r="B254" s="199" t="s">
        <v>453</v>
      </c>
      <c r="C254" s="199" t="s">
        <v>512</v>
      </c>
      <c r="D254" s="199" t="s">
        <v>519</v>
      </c>
    </row>
    <row r="255" spans="1:4" hidden="1">
      <c r="A255" s="199" t="s">
        <v>1045</v>
      </c>
      <c r="B255" s="199" t="s">
        <v>453</v>
      </c>
      <c r="C255" s="199" t="s">
        <v>512</v>
      </c>
      <c r="D255" s="199" t="s">
        <v>520</v>
      </c>
    </row>
    <row r="256" spans="1:4" hidden="1">
      <c r="A256" s="199" t="s">
        <v>1045</v>
      </c>
      <c r="B256" s="199" t="s">
        <v>453</v>
      </c>
      <c r="C256" s="199" t="s">
        <v>521</v>
      </c>
      <c r="D256" s="199" t="s">
        <v>522</v>
      </c>
    </row>
    <row r="257" spans="1:4" hidden="1">
      <c r="A257" s="199" t="s">
        <v>1045</v>
      </c>
      <c r="B257" s="199" t="s">
        <v>1046</v>
      </c>
      <c r="C257" s="199" t="s">
        <v>1047</v>
      </c>
      <c r="D257" s="199" t="s">
        <v>1048</v>
      </c>
    </row>
    <row r="258" spans="1:4" hidden="1">
      <c r="A258" s="199" t="s">
        <v>1045</v>
      </c>
      <c r="B258" s="199" t="s">
        <v>1046</v>
      </c>
      <c r="C258" s="199" t="s">
        <v>1049</v>
      </c>
      <c r="D258" s="199" t="s">
        <v>1050</v>
      </c>
    </row>
    <row r="259" spans="1:4" hidden="1">
      <c r="A259" s="199" t="s">
        <v>1045</v>
      </c>
      <c r="B259" s="199" t="s">
        <v>1046</v>
      </c>
      <c r="C259" s="199" t="s">
        <v>1051</v>
      </c>
      <c r="D259" s="199" t="s">
        <v>1052</v>
      </c>
    </row>
    <row r="260" spans="1:4" hidden="1">
      <c r="A260" s="199" t="s">
        <v>1045</v>
      </c>
      <c r="B260" s="199" t="s">
        <v>1046</v>
      </c>
      <c r="C260" s="199" t="s">
        <v>1042</v>
      </c>
      <c r="D260" s="199" t="s">
        <v>1043</v>
      </c>
    </row>
    <row r="261" spans="1:4" hidden="1">
      <c r="A261" s="199" t="s">
        <v>1045</v>
      </c>
      <c r="B261" s="199" t="s">
        <v>1046</v>
      </c>
      <c r="C261" s="199" t="s">
        <v>1042</v>
      </c>
      <c r="D261" s="199" t="s">
        <v>1053</v>
      </c>
    </row>
    <row r="262" spans="1:4" hidden="1">
      <c r="A262" s="199" t="s">
        <v>1045</v>
      </c>
      <c r="B262" s="199" t="s">
        <v>1046</v>
      </c>
      <c r="C262" s="199" t="s">
        <v>1054</v>
      </c>
      <c r="D262" s="199" t="s">
        <v>1055</v>
      </c>
    </row>
    <row r="263" spans="1:4" hidden="1">
      <c r="A263" s="199" t="s">
        <v>1045</v>
      </c>
      <c r="B263" s="199" t="s">
        <v>250</v>
      </c>
      <c r="C263" s="199" t="s">
        <v>536</v>
      </c>
      <c r="D263" s="199" t="s">
        <v>537</v>
      </c>
    </row>
    <row r="264" spans="1:4" hidden="1">
      <c r="A264" s="199" t="s">
        <v>1045</v>
      </c>
      <c r="B264" s="199" t="s">
        <v>250</v>
      </c>
      <c r="C264" s="199" t="s">
        <v>536</v>
      </c>
      <c r="D264" s="199" t="s">
        <v>626</v>
      </c>
    </row>
    <row r="265" spans="1:4" hidden="1">
      <c r="A265" s="199" t="s">
        <v>1045</v>
      </c>
      <c r="B265" s="199" t="s">
        <v>250</v>
      </c>
      <c r="C265" s="199" t="s">
        <v>536</v>
      </c>
      <c r="D265" s="199" t="s">
        <v>7</v>
      </c>
    </row>
    <row r="266" spans="1:4" hidden="1">
      <c r="A266" s="199" t="s">
        <v>1045</v>
      </c>
      <c r="B266" s="199" t="s">
        <v>250</v>
      </c>
      <c r="C266" s="199" t="s">
        <v>521</v>
      </c>
      <c r="D266" s="199" t="s">
        <v>522</v>
      </c>
    </row>
    <row r="267" spans="1:4" hidden="1">
      <c r="A267" s="199" t="s">
        <v>1045</v>
      </c>
      <c r="B267" s="199" t="s">
        <v>250</v>
      </c>
      <c r="C267" s="199" t="s">
        <v>521</v>
      </c>
      <c r="D267" s="199" t="s">
        <v>539</v>
      </c>
    </row>
    <row r="268" spans="1:4" hidden="1">
      <c r="A268" s="199" t="s">
        <v>1045</v>
      </c>
      <c r="B268" s="199" t="s">
        <v>250</v>
      </c>
      <c r="C268" s="199" t="s">
        <v>540</v>
      </c>
      <c r="D268" s="199" t="s">
        <v>541</v>
      </c>
    </row>
    <row r="269" spans="1:4" hidden="1">
      <c r="A269" s="199" t="s">
        <v>1045</v>
      </c>
      <c r="B269" s="199" t="s">
        <v>250</v>
      </c>
      <c r="C269" s="199" t="s">
        <v>540</v>
      </c>
      <c r="D269" s="199" t="s">
        <v>542</v>
      </c>
    </row>
    <row r="270" spans="1:4" hidden="1">
      <c r="A270" s="199" t="s">
        <v>1045</v>
      </c>
      <c r="B270" s="199" t="s">
        <v>250</v>
      </c>
      <c r="C270" s="199" t="s">
        <v>540</v>
      </c>
      <c r="D270" s="199" t="s">
        <v>543</v>
      </c>
    </row>
    <row r="271" spans="1:4" hidden="1">
      <c r="A271" s="199" t="s">
        <v>1045</v>
      </c>
      <c r="B271" s="199" t="s">
        <v>250</v>
      </c>
      <c r="C271" s="199" t="s">
        <v>540</v>
      </c>
      <c r="D271" s="199" t="s">
        <v>544</v>
      </c>
    </row>
    <row r="272" spans="1:4" hidden="1">
      <c r="A272" s="199" t="s">
        <v>1045</v>
      </c>
      <c r="B272" s="199" t="s">
        <v>250</v>
      </c>
      <c r="C272" s="199" t="s">
        <v>540</v>
      </c>
      <c r="D272" s="199" t="s">
        <v>545</v>
      </c>
    </row>
    <row r="273" spans="1:4" hidden="1">
      <c r="A273" s="199" t="s">
        <v>1045</v>
      </c>
      <c r="B273" s="199" t="s">
        <v>250</v>
      </c>
      <c r="C273" s="199" t="s">
        <v>546</v>
      </c>
      <c r="D273" s="199" t="s">
        <v>547</v>
      </c>
    </row>
    <row r="274" spans="1:4" hidden="1">
      <c r="A274" s="199" t="s">
        <v>1045</v>
      </c>
      <c r="B274" s="199" t="s">
        <v>250</v>
      </c>
      <c r="C274" s="199" t="s">
        <v>546</v>
      </c>
      <c r="D274" s="199" t="s">
        <v>548</v>
      </c>
    </row>
    <row r="275" spans="1:4" hidden="1">
      <c r="A275" s="199" t="s">
        <v>1045</v>
      </c>
      <c r="B275" s="199" t="s">
        <v>250</v>
      </c>
      <c r="C275" s="199" t="s">
        <v>546</v>
      </c>
      <c r="D275" s="199" t="s">
        <v>549</v>
      </c>
    </row>
    <row r="276" spans="1:4" hidden="1">
      <c r="A276" s="199" t="s">
        <v>1045</v>
      </c>
      <c r="B276" s="199" t="s">
        <v>250</v>
      </c>
      <c r="C276" s="199" t="s">
        <v>546</v>
      </c>
      <c r="D276" s="199" t="s">
        <v>550</v>
      </c>
    </row>
    <row r="277" spans="1:4" hidden="1">
      <c r="A277" s="199" t="s">
        <v>1045</v>
      </c>
      <c r="B277" s="199" t="s">
        <v>250</v>
      </c>
      <c r="C277" s="199" t="s">
        <v>546</v>
      </c>
      <c r="D277" s="199" t="s">
        <v>551</v>
      </c>
    </row>
    <row r="278" spans="1:4" hidden="1">
      <c r="A278" s="199" t="s">
        <v>1045</v>
      </c>
      <c r="B278" s="199" t="s">
        <v>250</v>
      </c>
      <c r="C278" s="199" t="s">
        <v>546</v>
      </c>
      <c r="D278" s="199" t="s">
        <v>552</v>
      </c>
    </row>
    <row r="279" spans="1:4" hidden="1">
      <c r="A279" s="199" t="s">
        <v>1045</v>
      </c>
      <c r="B279" s="199" t="s">
        <v>250</v>
      </c>
      <c r="C279" s="199" t="s">
        <v>546</v>
      </c>
      <c r="D279" s="199" t="s">
        <v>553</v>
      </c>
    </row>
    <row r="280" spans="1:4" hidden="1">
      <c r="A280" s="199" t="s">
        <v>1045</v>
      </c>
      <c r="B280" s="199" t="s">
        <v>250</v>
      </c>
      <c r="C280" s="199" t="s">
        <v>546</v>
      </c>
      <c r="D280" s="199" t="s">
        <v>555</v>
      </c>
    </row>
    <row r="281" spans="1:4" hidden="1">
      <c r="A281" s="199" t="s">
        <v>1045</v>
      </c>
      <c r="B281" s="199" t="s">
        <v>250</v>
      </c>
      <c r="C281" s="199" t="s">
        <v>546</v>
      </c>
      <c r="D281" s="199" t="s">
        <v>556</v>
      </c>
    </row>
    <row r="282" spans="1:4" hidden="1">
      <c r="A282" s="199" t="s">
        <v>1045</v>
      </c>
      <c r="B282" s="199" t="s">
        <v>250</v>
      </c>
      <c r="C282" s="199" t="s">
        <v>546</v>
      </c>
      <c r="D282" s="199" t="s">
        <v>557</v>
      </c>
    </row>
    <row r="283" spans="1:4" hidden="1">
      <c r="A283" s="199" t="s">
        <v>1045</v>
      </c>
      <c r="B283" s="199" t="s">
        <v>250</v>
      </c>
      <c r="C283" s="199" t="s">
        <v>546</v>
      </c>
      <c r="D283" s="199" t="s">
        <v>558</v>
      </c>
    </row>
    <row r="284" spans="1:4" hidden="1">
      <c r="A284" s="199" t="s">
        <v>1045</v>
      </c>
      <c r="B284" s="199" t="s">
        <v>250</v>
      </c>
      <c r="C284" s="199" t="s">
        <v>546</v>
      </c>
      <c r="D284" s="199" t="s">
        <v>559</v>
      </c>
    </row>
    <row r="285" spans="1:4" hidden="1">
      <c r="A285" s="199" t="s">
        <v>1045</v>
      </c>
      <c r="B285" s="199" t="s">
        <v>250</v>
      </c>
      <c r="C285" s="199" t="s">
        <v>546</v>
      </c>
      <c r="D285" s="199" t="s">
        <v>560</v>
      </c>
    </row>
    <row r="286" spans="1:4" hidden="1">
      <c r="A286" s="199" t="s">
        <v>1045</v>
      </c>
      <c r="B286" s="199" t="s">
        <v>250</v>
      </c>
      <c r="C286" s="199" t="s">
        <v>546</v>
      </c>
      <c r="D286" s="199" t="s">
        <v>561</v>
      </c>
    </row>
    <row r="287" spans="1:4" hidden="1">
      <c r="A287" s="199" t="s">
        <v>1045</v>
      </c>
      <c r="B287" s="199" t="s">
        <v>456</v>
      </c>
      <c r="C287" s="199" t="s">
        <v>562</v>
      </c>
      <c r="D287" s="199" t="s">
        <v>562</v>
      </c>
    </row>
    <row r="288" spans="1:4" hidden="1">
      <c r="A288" s="199" t="s">
        <v>1045</v>
      </c>
      <c r="B288" s="199" t="s">
        <v>456</v>
      </c>
      <c r="C288" s="199" t="s">
        <v>563</v>
      </c>
      <c r="D288" s="199" t="s">
        <v>564</v>
      </c>
    </row>
    <row r="289" spans="1:4" hidden="1">
      <c r="A289" s="199" t="s">
        <v>1045</v>
      </c>
      <c r="B289" s="199" t="s">
        <v>456</v>
      </c>
      <c r="C289" s="199" t="s">
        <v>563</v>
      </c>
      <c r="D289" s="199" t="s">
        <v>565</v>
      </c>
    </row>
    <row r="290" spans="1:4" hidden="1">
      <c r="A290" s="199" t="s">
        <v>1045</v>
      </c>
      <c r="B290" s="199" t="s">
        <v>456</v>
      </c>
      <c r="C290" s="199" t="s">
        <v>563</v>
      </c>
      <c r="D290" s="199" t="s">
        <v>566</v>
      </c>
    </row>
    <row r="291" spans="1:4" hidden="1">
      <c r="A291" s="199" t="s">
        <v>1045</v>
      </c>
      <c r="B291" s="199" t="s">
        <v>456</v>
      </c>
      <c r="C291" s="199" t="s">
        <v>563</v>
      </c>
      <c r="D291" s="199" t="s">
        <v>567</v>
      </c>
    </row>
    <row r="292" spans="1:4" hidden="1">
      <c r="A292" s="199" t="s">
        <v>1045</v>
      </c>
      <c r="B292" s="199" t="s">
        <v>456</v>
      </c>
      <c r="C292" s="199" t="s">
        <v>563</v>
      </c>
      <c r="D292" s="199" t="s">
        <v>563</v>
      </c>
    </row>
    <row r="293" spans="1:4" hidden="1">
      <c r="A293" s="199" t="s">
        <v>1045</v>
      </c>
      <c r="B293" s="199" t="s">
        <v>456</v>
      </c>
      <c r="C293" s="199" t="s">
        <v>563</v>
      </c>
      <c r="D293" s="199" t="s">
        <v>568</v>
      </c>
    </row>
    <row r="294" spans="1:4" hidden="1">
      <c r="A294" s="199" t="s">
        <v>1045</v>
      </c>
      <c r="B294" s="199" t="s">
        <v>456</v>
      </c>
      <c r="C294" s="199" t="s">
        <v>563</v>
      </c>
      <c r="D294" s="199" t="s">
        <v>569</v>
      </c>
    </row>
    <row r="295" spans="1:4" hidden="1">
      <c r="A295" s="199" t="s">
        <v>1045</v>
      </c>
      <c r="B295" s="199" t="s">
        <v>456</v>
      </c>
      <c r="C295" s="199" t="s">
        <v>563</v>
      </c>
      <c r="D295" s="199" t="s">
        <v>570</v>
      </c>
    </row>
    <row r="296" spans="1:4" hidden="1">
      <c r="A296" s="199" t="s">
        <v>1045</v>
      </c>
      <c r="B296" s="199" t="s">
        <v>456</v>
      </c>
      <c r="C296" s="199" t="s">
        <v>571</v>
      </c>
      <c r="D296" s="199" t="s">
        <v>572</v>
      </c>
    </row>
    <row r="297" spans="1:4" hidden="1">
      <c r="A297" s="199" t="s">
        <v>1045</v>
      </c>
      <c r="B297" s="199" t="s">
        <v>456</v>
      </c>
      <c r="C297" s="199" t="s">
        <v>571</v>
      </c>
      <c r="D297" s="199" t="s">
        <v>573</v>
      </c>
    </row>
    <row r="298" spans="1:4" hidden="1">
      <c r="A298" s="199" t="s">
        <v>1045</v>
      </c>
      <c r="B298" s="199" t="s">
        <v>456</v>
      </c>
      <c r="C298" s="199" t="s">
        <v>571</v>
      </c>
      <c r="D298" s="199" t="s">
        <v>574</v>
      </c>
    </row>
    <row r="299" spans="1:4" hidden="1">
      <c r="A299" s="199" t="s">
        <v>1045</v>
      </c>
      <c r="B299" s="199" t="s">
        <v>456</v>
      </c>
      <c r="C299" s="199" t="s">
        <v>571</v>
      </c>
      <c r="D299" s="199" t="s">
        <v>575</v>
      </c>
    </row>
    <row r="300" spans="1:4" hidden="1">
      <c r="A300" s="199" t="s">
        <v>1045</v>
      </c>
      <c r="B300" s="199" t="s">
        <v>456</v>
      </c>
      <c r="C300" s="199" t="s">
        <v>571</v>
      </c>
      <c r="D300" s="199" t="s">
        <v>576</v>
      </c>
    </row>
    <row r="301" spans="1:4" hidden="1">
      <c r="A301" s="199" t="s">
        <v>1045</v>
      </c>
      <c r="B301" s="199" t="s">
        <v>456</v>
      </c>
      <c r="C301" s="199" t="s">
        <v>577</v>
      </c>
      <c r="D301" s="199" t="s">
        <v>578</v>
      </c>
    </row>
    <row r="302" spans="1:4" hidden="1">
      <c r="A302" s="199" t="s">
        <v>1045</v>
      </c>
      <c r="B302" s="199" t="s">
        <v>457</v>
      </c>
      <c r="C302" s="199" t="s">
        <v>580</v>
      </c>
      <c r="D302" s="199" t="s">
        <v>581</v>
      </c>
    </row>
    <row r="303" spans="1:4" hidden="1">
      <c r="A303" s="199" t="s">
        <v>1045</v>
      </c>
      <c r="B303" s="199" t="s">
        <v>457</v>
      </c>
      <c r="C303" s="199" t="s">
        <v>580</v>
      </c>
      <c r="D303" s="199" t="s">
        <v>580</v>
      </c>
    </row>
    <row r="304" spans="1:4" hidden="1">
      <c r="A304" s="199" t="s">
        <v>1045</v>
      </c>
      <c r="B304" s="199" t="s">
        <v>457</v>
      </c>
      <c r="C304" s="199" t="s">
        <v>582</v>
      </c>
      <c r="D304" s="199" t="s">
        <v>583</v>
      </c>
    </row>
    <row r="305" spans="1:4" hidden="1">
      <c r="A305" s="199" t="s">
        <v>1045</v>
      </c>
      <c r="B305" s="199" t="s">
        <v>457</v>
      </c>
      <c r="C305" s="199" t="s">
        <v>582</v>
      </c>
      <c r="D305" s="199" t="s">
        <v>541</v>
      </c>
    </row>
    <row r="306" spans="1:4" hidden="1">
      <c r="A306" s="199" t="s">
        <v>1045</v>
      </c>
      <c r="B306" s="199" t="s">
        <v>457</v>
      </c>
      <c r="C306" s="199" t="s">
        <v>582</v>
      </c>
      <c r="D306" s="199" t="s">
        <v>584</v>
      </c>
    </row>
    <row r="307" spans="1:4" hidden="1">
      <c r="A307" s="199" t="s">
        <v>1045</v>
      </c>
      <c r="B307" s="199" t="s">
        <v>457</v>
      </c>
      <c r="C307" s="199" t="s">
        <v>582</v>
      </c>
      <c r="D307" s="199" t="s">
        <v>585</v>
      </c>
    </row>
    <row r="308" spans="1:4" hidden="1">
      <c r="A308" s="199" t="s">
        <v>1045</v>
      </c>
      <c r="B308" s="199" t="s">
        <v>457</v>
      </c>
      <c r="C308" s="199" t="s">
        <v>586</v>
      </c>
      <c r="D308" s="199" t="s">
        <v>1056</v>
      </c>
    </row>
    <row r="309" spans="1:4" hidden="1">
      <c r="A309" s="199" t="s">
        <v>1045</v>
      </c>
      <c r="B309" s="199" t="s">
        <v>457</v>
      </c>
      <c r="C309" s="199" t="s">
        <v>586</v>
      </c>
      <c r="D309" s="199" t="s">
        <v>587</v>
      </c>
    </row>
    <row r="310" spans="1:4" hidden="1">
      <c r="A310" s="199" t="s">
        <v>1045</v>
      </c>
      <c r="B310" s="199" t="s">
        <v>457</v>
      </c>
      <c r="C310" s="199" t="s">
        <v>586</v>
      </c>
      <c r="D310" s="199" t="s">
        <v>588</v>
      </c>
    </row>
    <row r="311" spans="1:4" hidden="1">
      <c r="A311" s="199" t="s">
        <v>1045</v>
      </c>
      <c r="B311" s="199" t="s">
        <v>458</v>
      </c>
      <c r="C311" s="199" t="s">
        <v>521</v>
      </c>
      <c r="D311" s="199" t="s">
        <v>522</v>
      </c>
    </row>
    <row r="312" spans="1:4" hidden="1">
      <c r="A312" s="199" t="s">
        <v>1045</v>
      </c>
      <c r="B312" s="199" t="s">
        <v>458</v>
      </c>
      <c r="C312" s="199" t="s">
        <v>591</v>
      </c>
      <c r="D312" s="199" t="s">
        <v>592</v>
      </c>
    </row>
    <row r="313" spans="1:4" hidden="1">
      <c r="A313" s="199" t="s">
        <v>1045</v>
      </c>
      <c r="B313" s="199" t="s">
        <v>458</v>
      </c>
      <c r="C313" s="199" t="s">
        <v>591</v>
      </c>
      <c r="D313" s="199" t="s">
        <v>593</v>
      </c>
    </row>
    <row r="314" spans="1:4" hidden="1">
      <c r="A314" s="199" t="s">
        <v>1045</v>
      </c>
      <c r="B314" s="199" t="s">
        <v>458</v>
      </c>
      <c r="C314" s="199" t="s">
        <v>594</v>
      </c>
      <c r="D314" s="199" t="s">
        <v>595</v>
      </c>
    </row>
    <row r="315" spans="1:4" hidden="1">
      <c r="A315" s="199" t="s">
        <v>1045</v>
      </c>
      <c r="B315" s="199" t="s">
        <v>458</v>
      </c>
      <c r="C315" s="199" t="s">
        <v>586</v>
      </c>
      <c r="D315" s="199" t="s">
        <v>1057</v>
      </c>
    </row>
    <row r="316" spans="1:4" hidden="1">
      <c r="A316" s="199" t="s">
        <v>1045</v>
      </c>
      <c r="B316" s="199" t="s">
        <v>458</v>
      </c>
      <c r="C316" s="199" t="s">
        <v>586</v>
      </c>
      <c r="D316" s="199" t="s">
        <v>596</v>
      </c>
    </row>
    <row r="317" spans="1:4" hidden="1">
      <c r="A317" s="199" t="s">
        <v>1045</v>
      </c>
      <c r="B317" s="199" t="s">
        <v>458</v>
      </c>
      <c r="C317" s="199" t="s">
        <v>586</v>
      </c>
      <c r="D317" s="199" t="s">
        <v>597</v>
      </c>
    </row>
    <row r="318" spans="1:4" hidden="1">
      <c r="A318" s="199" t="s">
        <v>1045</v>
      </c>
      <c r="B318" s="199" t="s">
        <v>458</v>
      </c>
      <c r="C318" s="199" t="s">
        <v>586</v>
      </c>
      <c r="D318" s="199" t="s">
        <v>598</v>
      </c>
    </row>
    <row r="319" spans="1:4" hidden="1">
      <c r="A319" s="199" t="s">
        <v>1045</v>
      </c>
      <c r="B319" s="199" t="s">
        <v>458</v>
      </c>
      <c r="C319" s="199" t="s">
        <v>586</v>
      </c>
      <c r="D319" s="199" t="s">
        <v>599</v>
      </c>
    </row>
    <row r="320" spans="1:4" hidden="1">
      <c r="A320" s="199" t="s">
        <v>1045</v>
      </c>
      <c r="B320" s="199" t="s">
        <v>458</v>
      </c>
      <c r="C320" s="199" t="s">
        <v>586</v>
      </c>
      <c r="D320" s="199" t="s">
        <v>600</v>
      </c>
    </row>
    <row r="321" spans="1:4" hidden="1">
      <c r="A321" s="199" t="s">
        <v>1045</v>
      </c>
      <c r="B321" s="199" t="s">
        <v>458</v>
      </c>
      <c r="C321" s="199" t="s">
        <v>1058</v>
      </c>
      <c r="D321" s="199" t="s">
        <v>1059</v>
      </c>
    </row>
    <row r="322" spans="1:4" hidden="1">
      <c r="A322" s="199" t="s">
        <v>1045</v>
      </c>
      <c r="B322" s="199" t="s">
        <v>459</v>
      </c>
      <c r="C322" s="199" t="s">
        <v>521</v>
      </c>
      <c r="D322" s="199" t="s">
        <v>522</v>
      </c>
    </row>
    <row r="323" spans="1:4" hidden="1">
      <c r="A323" s="199" t="s">
        <v>1045</v>
      </c>
      <c r="B323" s="199" t="s">
        <v>459</v>
      </c>
      <c r="C323" s="199" t="s">
        <v>601</v>
      </c>
      <c r="D323" s="199" t="s">
        <v>605</v>
      </c>
    </row>
    <row r="324" spans="1:4" hidden="1">
      <c r="A324" s="199" t="s">
        <v>1045</v>
      </c>
      <c r="B324" s="199" t="s">
        <v>459</v>
      </c>
      <c r="C324" s="199" t="s">
        <v>586</v>
      </c>
      <c r="D324" s="199" t="s">
        <v>609</v>
      </c>
    </row>
    <row r="325" spans="1:4" hidden="1">
      <c r="A325" s="199" t="s">
        <v>1045</v>
      </c>
      <c r="B325" s="199" t="s">
        <v>459</v>
      </c>
      <c r="C325" s="199" t="s">
        <v>586</v>
      </c>
      <c r="D325" s="199" t="s">
        <v>610</v>
      </c>
    </row>
    <row r="326" spans="1:4" hidden="1">
      <c r="A326" s="199" t="s">
        <v>1045</v>
      </c>
      <c r="B326" s="199" t="s">
        <v>459</v>
      </c>
      <c r="C326" s="199" t="s">
        <v>586</v>
      </c>
      <c r="D326" s="199" t="s">
        <v>611</v>
      </c>
    </row>
    <row r="327" spans="1:4" hidden="1">
      <c r="A327" s="199" t="s">
        <v>1045</v>
      </c>
      <c r="B327" s="199" t="s">
        <v>459</v>
      </c>
      <c r="C327" s="199" t="s">
        <v>612</v>
      </c>
      <c r="D327" s="199" t="s">
        <v>613</v>
      </c>
    </row>
    <row r="328" spans="1:4" hidden="1">
      <c r="A328" s="199" t="s">
        <v>1045</v>
      </c>
      <c r="B328" s="199" t="s">
        <v>459</v>
      </c>
      <c r="C328" s="199" t="s">
        <v>612</v>
      </c>
      <c r="D328" s="199" t="s">
        <v>615</v>
      </c>
    </row>
    <row r="329" spans="1:4" hidden="1">
      <c r="A329" s="199" t="s">
        <v>1045</v>
      </c>
      <c r="B329" s="199" t="s">
        <v>459</v>
      </c>
      <c r="C329" s="199" t="s">
        <v>612</v>
      </c>
      <c r="D329" s="199" t="s">
        <v>616</v>
      </c>
    </row>
    <row r="330" spans="1:4" hidden="1">
      <c r="A330" s="199" t="s">
        <v>1045</v>
      </c>
      <c r="B330" s="199" t="s">
        <v>459</v>
      </c>
      <c r="C330" s="199" t="s">
        <v>617</v>
      </c>
      <c r="D330" s="199" t="s">
        <v>548</v>
      </c>
    </row>
    <row r="331" spans="1:4" hidden="1">
      <c r="A331" s="199" t="s">
        <v>1045</v>
      </c>
      <c r="B331" s="199" t="s">
        <v>459</v>
      </c>
      <c r="C331" s="199" t="s">
        <v>617</v>
      </c>
      <c r="D331" s="199" t="s">
        <v>622</v>
      </c>
    </row>
    <row r="332" spans="1:4" hidden="1">
      <c r="A332" s="199" t="s">
        <v>1045</v>
      </c>
      <c r="B332" s="199" t="s">
        <v>459</v>
      </c>
      <c r="C332" s="199" t="s">
        <v>617</v>
      </c>
      <c r="D332" s="199" t="s">
        <v>1060</v>
      </c>
    </row>
    <row r="333" spans="1:4" hidden="1">
      <c r="A333" s="199" t="s">
        <v>1045</v>
      </c>
      <c r="B333" s="199" t="s">
        <v>459</v>
      </c>
      <c r="C333" s="199" t="s">
        <v>617</v>
      </c>
      <c r="D333" s="199" t="s">
        <v>626</v>
      </c>
    </row>
    <row r="334" spans="1:4" hidden="1">
      <c r="A334" s="199" t="s">
        <v>1045</v>
      </c>
      <c r="B334" s="199" t="s">
        <v>459</v>
      </c>
      <c r="C334" s="199" t="s">
        <v>617</v>
      </c>
      <c r="D334" s="199" t="s">
        <v>627</v>
      </c>
    </row>
    <row r="335" spans="1:4" hidden="1">
      <c r="A335" s="199" t="s">
        <v>1045</v>
      </c>
      <c r="B335" s="199" t="s">
        <v>183</v>
      </c>
      <c r="C335" s="199" t="s">
        <v>521</v>
      </c>
      <c r="D335" s="199" t="s">
        <v>522</v>
      </c>
    </row>
    <row r="336" spans="1:4" hidden="1">
      <c r="A336" s="199" t="s">
        <v>1045</v>
      </c>
      <c r="B336" s="199" t="s">
        <v>183</v>
      </c>
      <c r="C336" s="199" t="s">
        <v>1061</v>
      </c>
      <c r="D336" s="199" t="s">
        <v>1061</v>
      </c>
    </row>
    <row r="337" spans="1:4" hidden="1">
      <c r="A337" s="199" t="s">
        <v>1045</v>
      </c>
      <c r="B337" s="199" t="s">
        <v>183</v>
      </c>
      <c r="C337" s="199" t="s">
        <v>634</v>
      </c>
      <c r="D337" s="199" t="s">
        <v>626</v>
      </c>
    </row>
    <row r="338" spans="1:4" hidden="1">
      <c r="A338" s="199" t="s">
        <v>1045</v>
      </c>
      <c r="B338" s="199" t="s">
        <v>183</v>
      </c>
      <c r="C338" s="199" t="s">
        <v>636</v>
      </c>
      <c r="D338" s="199" t="s">
        <v>541</v>
      </c>
    </row>
    <row r="339" spans="1:4" hidden="1">
      <c r="A339" s="199" t="s">
        <v>1045</v>
      </c>
      <c r="B339" s="199" t="s">
        <v>183</v>
      </c>
      <c r="C339" s="199" t="s">
        <v>636</v>
      </c>
      <c r="D339" s="199" t="s">
        <v>637</v>
      </c>
    </row>
    <row r="340" spans="1:4" hidden="1">
      <c r="A340" s="199" t="s">
        <v>1045</v>
      </c>
      <c r="B340" s="199" t="s">
        <v>183</v>
      </c>
      <c r="C340" s="199" t="s">
        <v>636</v>
      </c>
      <c r="D340" s="199" t="s">
        <v>638</v>
      </c>
    </row>
    <row r="341" spans="1:4" hidden="1">
      <c r="A341" s="199" t="s">
        <v>1045</v>
      </c>
      <c r="B341" s="199" t="s">
        <v>460</v>
      </c>
      <c r="C341" s="199" t="s">
        <v>645</v>
      </c>
      <c r="D341" s="199" t="s">
        <v>646</v>
      </c>
    </row>
    <row r="342" spans="1:4" hidden="1">
      <c r="A342" s="199" t="s">
        <v>1062</v>
      </c>
      <c r="B342" s="199" t="s">
        <v>454</v>
      </c>
      <c r="C342" s="199" t="s">
        <v>523</v>
      </c>
      <c r="D342" s="199" t="s">
        <v>524</v>
      </c>
    </row>
    <row r="343" spans="1:4" hidden="1">
      <c r="A343" s="199" t="s">
        <v>1062</v>
      </c>
      <c r="B343" s="199" t="s">
        <v>454</v>
      </c>
      <c r="C343" s="199" t="s">
        <v>1063</v>
      </c>
      <c r="D343" s="199" t="s">
        <v>1064</v>
      </c>
    </row>
    <row r="344" spans="1:4" hidden="1">
      <c r="A344" s="199" t="s">
        <v>1062</v>
      </c>
      <c r="B344" s="199" t="s">
        <v>454</v>
      </c>
      <c r="C344" s="199" t="s">
        <v>1063</v>
      </c>
      <c r="D344" s="199" t="s">
        <v>1065</v>
      </c>
    </row>
    <row r="345" spans="1:4" hidden="1">
      <c r="A345" s="199" t="s">
        <v>1062</v>
      </c>
      <c r="B345" s="199" t="s">
        <v>454</v>
      </c>
      <c r="C345" s="199" t="s">
        <v>528</v>
      </c>
      <c r="D345" s="199" t="s">
        <v>529</v>
      </c>
    </row>
    <row r="346" spans="1:4" hidden="1">
      <c r="A346" s="199" t="s">
        <v>1062</v>
      </c>
      <c r="B346" s="199" t="s">
        <v>455</v>
      </c>
      <c r="C346" s="199" t="s">
        <v>530</v>
      </c>
      <c r="D346" s="199" t="s">
        <v>1066</v>
      </c>
    </row>
    <row r="347" spans="1:4" hidden="1">
      <c r="A347" s="199" t="s">
        <v>1062</v>
      </c>
      <c r="B347" s="199" t="s">
        <v>250</v>
      </c>
      <c r="C347" s="199" t="s">
        <v>536</v>
      </c>
      <c r="D347" s="199" t="s">
        <v>537</v>
      </c>
    </row>
    <row r="348" spans="1:4" hidden="1">
      <c r="A348" s="199" t="s">
        <v>1062</v>
      </c>
      <c r="B348" s="199" t="s">
        <v>250</v>
      </c>
      <c r="C348" s="199" t="s">
        <v>536</v>
      </c>
      <c r="D348" s="199" t="s">
        <v>537</v>
      </c>
    </row>
    <row r="349" spans="1:4" hidden="1">
      <c r="A349" s="199" t="s">
        <v>1062</v>
      </c>
      <c r="B349" s="199" t="s">
        <v>250</v>
      </c>
      <c r="C349" s="199" t="s">
        <v>536</v>
      </c>
      <c r="D349" s="199" t="s">
        <v>626</v>
      </c>
    </row>
    <row r="350" spans="1:4" hidden="1">
      <c r="A350" s="199" t="s">
        <v>1062</v>
      </c>
      <c r="B350" s="199" t="s">
        <v>250</v>
      </c>
      <c r="C350" s="199" t="s">
        <v>536</v>
      </c>
      <c r="D350" s="199" t="s">
        <v>626</v>
      </c>
    </row>
    <row r="351" spans="1:4" hidden="1">
      <c r="A351" s="199" t="s">
        <v>1062</v>
      </c>
      <c r="B351" s="199" t="s">
        <v>250</v>
      </c>
      <c r="C351" s="199" t="s">
        <v>536</v>
      </c>
      <c r="D351" s="199" t="s">
        <v>7</v>
      </c>
    </row>
    <row r="352" spans="1:4" hidden="1">
      <c r="A352" s="199" t="s">
        <v>1062</v>
      </c>
      <c r="B352" s="199" t="s">
        <v>250</v>
      </c>
      <c r="C352" s="199" t="s">
        <v>536</v>
      </c>
      <c r="D352" s="199" t="s">
        <v>7</v>
      </c>
    </row>
    <row r="353" spans="1:4" hidden="1">
      <c r="A353" s="199" t="s">
        <v>1062</v>
      </c>
      <c r="B353" s="199" t="s">
        <v>250</v>
      </c>
      <c r="C353" s="199" t="s">
        <v>521</v>
      </c>
      <c r="D353" s="199" t="s">
        <v>522</v>
      </c>
    </row>
    <row r="354" spans="1:4" hidden="1">
      <c r="A354" s="199" t="s">
        <v>1062</v>
      </c>
      <c r="B354" s="199" t="s">
        <v>250</v>
      </c>
      <c r="C354" s="199" t="s">
        <v>1067</v>
      </c>
      <c r="D354" s="199" t="s">
        <v>1068</v>
      </c>
    </row>
    <row r="355" spans="1:4" hidden="1">
      <c r="A355" s="199" t="s">
        <v>1062</v>
      </c>
      <c r="B355" s="199" t="s">
        <v>250</v>
      </c>
      <c r="C355" s="199" t="s">
        <v>1067</v>
      </c>
      <c r="D355" s="199" t="s">
        <v>1069</v>
      </c>
    </row>
    <row r="356" spans="1:4" hidden="1">
      <c r="A356" s="199" t="s">
        <v>1062</v>
      </c>
      <c r="B356" s="199" t="s">
        <v>250</v>
      </c>
      <c r="C356" s="199" t="s">
        <v>1067</v>
      </c>
      <c r="D356" s="199" t="s">
        <v>1069</v>
      </c>
    </row>
    <row r="357" spans="1:4" hidden="1">
      <c r="A357" s="199" t="s">
        <v>1062</v>
      </c>
      <c r="B357" s="199" t="s">
        <v>250</v>
      </c>
      <c r="C357" s="199" t="s">
        <v>1067</v>
      </c>
      <c r="D357" s="199" t="s">
        <v>1070</v>
      </c>
    </row>
    <row r="358" spans="1:4" hidden="1">
      <c r="A358" s="199" t="s">
        <v>1062</v>
      </c>
      <c r="B358" s="199" t="s">
        <v>250</v>
      </c>
      <c r="C358" s="199" t="s">
        <v>1067</v>
      </c>
      <c r="D358" s="199" t="s">
        <v>1070</v>
      </c>
    </row>
    <row r="359" spans="1:4" hidden="1">
      <c r="A359" s="199" t="s">
        <v>1062</v>
      </c>
      <c r="B359" s="199" t="s">
        <v>250</v>
      </c>
      <c r="C359" s="199" t="s">
        <v>1067</v>
      </c>
      <c r="D359" s="199" t="s">
        <v>1071</v>
      </c>
    </row>
    <row r="360" spans="1:4" hidden="1">
      <c r="A360" s="199" t="s">
        <v>1062</v>
      </c>
      <c r="B360" s="199" t="s">
        <v>250</v>
      </c>
      <c r="C360" s="199" t="s">
        <v>1067</v>
      </c>
      <c r="D360" s="199" t="s">
        <v>1072</v>
      </c>
    </row>
    <row r="361" spans="1:4" hidden="1">
      <c r="A361" s="199" t="s">
        <v>1062</v>
      </c>
      <c r="B361" s="199" t="s">
        <v>250</v>
      </c>
      <c r="C361" s="199" t="s">
        <v>1067</v>
      </c>
      <c r="D361" s="199" t="s">
        <v>551</v>
      </c>
    </row>
    <row r="362" spans="1:4" hidden="1">
      <c r="A362" s="199" t="s">
        <v>1062</v>
      </c>
      <c r="B362" s="199" t="s">
        <v>250</v>
      </c>
      <c r="C362" s="199" t="s">
        <v>1073</v>
      </c>
      <c r="D362" s="199" t="s">
        <v>1074</v>
      </c>
    </row>
    <row r="363" spans="1:4" hidden="1">
      <c r="A363" s="199" t="s">
        <v>1062</v>
      </c>
      <c r="B363" s="199" t="s">
        <v>250</v>
      </c>
      <c r="C363" s="199" t="s">
        <v>1073</v>
      </c>
      <c r="D363" s="199" t="s">
        <v>1074</v>
      </c>
    </row>
    <row r="364" spans="1:4" hidden="1">
      <c r="A364" s="199" t="s">
        <v>1062</v>
      </c>
      <c r="B364" s="199" t="s">
        <v>250</v>
      </c>
      <c r="C364" s="199" t="s">
        <v>1067</v>
      </c>
      <c r="D364" s="199" t="s">
        <v>1075</v>
      </c>
    </row>
    <row r="365" spans="1:4" hidden="1">
      <c r="A365" s="199" t="s">
        <v>1062</v>
      </c>
      <c r="B365" s="199" t="s">
        <v>250</v>
      </c>
      <c r="C365" s="199" t="s">
        <v>1067</v>
      </c>
      <c r="D365" s="199" t="s">
        <v>1075</v>
      </c>
    </row>
    <row r="366" spans="1:4" hidden="1">
      <c r="A366" s="199" t="s">
        <v>1062</v>
      </c>
      <c r="B366" s="199" t="s">
        <v>250</v>
      </c>
      <c r="C366" s="199" t="s">
        <v>1067</v>
      </c>
      <c r="D366" s="199" t="s">
        <v>1076</v>
      </c>
    </row>
    <row r="367" spans="1:4" hidden="1">
      <c r="A367" s="199" t="s">
        <v>1062</v>
      </c>
      <c r="B367" s="199" t="s">
        <v>250</v>
      </c>
      <c r="C367" s="199" t="s">
        <v>1067</v>
      </c>
      <c r="D367" s="199" t="s">
        <v>1076</v>
      </c>
    </row>
    <row r="368" spans="1:4" hidden="1">
      <c r="A368" s="199" t="s">
        <v>1062</v>
      </c>
      <c r="B368" s="199" t="s">
        <v>250</v>
      </c>
      <c r="C368" s="199" t="s">
        <v>1067</v>
      </c>
      <c r="D368" s="199" t="s">
        <v>553</v>
      </c>
    </row>
    <row r="369" spans="1:4" hidden="1">
      <c r="A369" s="199" t="s">
        <v>1062</v>
      </c>
      <c r="B369" s="199" t="s">
        <v>250</v>
      </c>
      <c r="C369" s="199" t="s">
        <v>1073</v>
      </c>
      <c r="D369" s="199" t="s">
        <v>1077</v>
      </c>
    </row>
    <row r="370" spans="1:4" hidden="1">
      <c r="A370" s="199" t="s">
        <v>1062</v>
      </c>
      <c r="B370" s="199" t="s">
        <v>250</v>
      </c>
      <c r="C370" s="199" t="s">
        <v>1073</v>
      </c>
      <c r="D370" s="199" t="s">
        <v>1078</v>
      </c>
    </row>
    <row r="371" spans="1:4" hidden="1">
      <c r="A371" s="199" t="s">
        <v>1062</v>
      </c>
      <c r="B371" s="199" t="s">
        <v>250</v>
      </c>
      <c r="C371" s="199" t="s">
        <v>1067</v>
      </c>
      <c r="D371" s="199" t="s">
        <v>545</v>
      </c>
    </row>
    <row r="372" spans="1:4" hidden="1">
      <c r="A372" s="199" t="s">
        <v>1062</v>
      </c>
      <c r="B372" s="199" t="s">
        <v>250</v>
      </c>
      <c r="C372" s="199" t="s">
        <v>1073</v>
      </c>
      <c r="D372" s="199" t="s">
        <v>1079</v>
      </c>
    </row>
    <row r="373" spans="1:4" hidden="1">
      <c r="A373" s="199" t="s">
        <v>1062</v>
      </c>
      <c r="B373" s="199" t="s">
        <v>250</v>
      </c>
      <c r="C373" s="199" t="s">
        <v>1073</v>
      </c>
      <c r="D373" s="199" t="s">
        <v>1079</v>
      </c>
    </row>
    <row r="374" spans="1:4" hidden="1">
      <c r="A374" s="199" t="s">
        <v>1062</v>
      </c>
      <c r="B374" s="199" t="s">
        <v>456</v>
      </c>
      <c r="C374" s="199" t="s">
        <v>1080</v>
      </c>
      <c r="D374" s="199" t="s">
        <v>1081</v>
      </c>
    </row>
    <row r="375" spans="1:4" hidden="1">
      <c r="A375" s="199" t="s">
        <v>1062</v>
      </c>
      <c r="B375" s="199" t="s">
        <v>456</v>
      </c>
      <c r="C375" s="199" t="s">
        <v>1080</v>
      </c>
      <c r="D375" s="199" t="s">
        <v>1082</v>
      </c>
    </row>
    <row r="376" spans="1:4" hidden="1">
      <c r="A376" s="199" t="s">
        <v>1062</v>
      </c>
      <c r="B376" s="199" t="s">
        <v>456</v>
      </c>
      <c r="C376" s="199" t="s">
        <v>571</v>
      </c>
      <c r="D376" s="199" t="s">
        <v>571</v>
      </c>
    </row>
    <row r="377" spans="1:4" hidden="1">
      <c r="A377" s="199" t="s">
        <v>1062</v>
      </c>
      <c r="B377" s="199" t="s">
        <v>459</v>
      </c>
      <c r="C377" s="199" t="s">
        <v>603</v>
      </c>
      <c r="D377" s="199" t="s">
        <v>602</v>
      </c>
    </row>
    <row r="378" spans="1:4" hidden="1">
      <c r="A378" s="199" t="s">
        <v>1062</v>
      </c>
      <c r="B378" s="199" t="s">
        <v>459</v>
      </c>
      <c r="C378" s="199" t="s">
        <v>603</v>
      </c>
      <c r="D378" s="199" t="s">
        <v>603</v>
      </c>
    </row>
    <row r="379" spans="1:4" hidden="1">
      <c r="A379" s="199" t="s">
        <v>1062</v>
      </c>
      <c r="B379" s="199" t="s">
        <v>459</v>
      </c>
      <c r="C379" s="199" t="s">
        <v>607</v>
      </c>
      <c r="D379" s="199" t="s">
        <v>606</v>
      </c>
    </row>
    <row r="380" spans="1:4" hidden="1">
      <c r="A380" s="199" t="s">
        <v>1062</v>
      </c>
      <c r="B380" s="199" t="s">
        <v>459</v>
      </c>
      <c r="C380" s="199" t="s">
        <v>607</v>
      </c>
      <c r="D380" s="199" t="s">
        <v>607</v>
      </c>
    </row>
    <row r="381" spans="1:4" hidden="1">
      <c r="A381" s="199" t="s">
        <v>1062</v>
      </c>
      <c r="B381" s="199" t="s">
        <v>183</v>
      </c>
      <c r="C381" s="199" t="s">
        <v>521</v>
      </c>
      <c r="D381" s="199" t="s">
        <v>1083</v>
      </c>
    </row>
    <row r="382" spans="1:4" hidden="1">
      <c r="A382" s="199" t="s">
        <v>1062</v>
      </c>
      <c r="B382" s="199" t="s">
        <v>183</v>
      </c>
      <c r="C382" s="199" t="s">
        <v>1061</v>
      </c>
      <c r="D382" s="199" t="s">
        <v>1061</v>
      </c>
    </row>
    <row r="383" spans="1:4" hidden="1">
      <c r="A383" s="199" t="s">
        <v>1062</v>
      </c>
      <c r="B383" s="199" t="s">
        <v>183</v>
      </c>
      <c r="C383" s="199" t="s">
        <v>635</v>
      </c>
      <c r="D383" s="199" t="s">
        <v>1084</v>
      </c>
    </row>
    <row r="384" spans="1:4" hidden="1">
      <c r="A384" s="199" t="s">
        <v>1062</v>
      </c>
      <c r="B384" s="199" t="s">
        <v>183</v>
      </c>
      <c r="C384" s="199" t="s">
        <v>635</v>
      </c>
      <c r="D384" s="199" t="s">
        <v>635</v>
      </c>
    </row>
    <row r="385" spans="1:4" hidden="1">
      <c r="A385" s="199" t="s">
        <v>1062</v>
      </c>
      <c r="B385" s="199" t="s">
        <v>183</v>
      </c>
      <c r="C385" s="199" t="s">
        <v>639</v>
      </c>
      <c r="D385" s="199" t="s">
        <v>641</v>
      </c>
    </row>
    <row r="386" spans="1:4" hidden="1">
      <c r="A386" s="199" t="s">
        <v>1062</v>
      </c>
      <c r="B386" s="199" t="s">
        <v>183</v>
      </c>
      <c r="C386" s="199" t="s">
        <v>639</v>
      </c>
      <c r="D386" s="199" t="s">
        <v>642</v>
      </c>
    </row>
    <row r="387" spans="1:4" hidden="1">
      <c r="A387" s="199" t="s">
        <v>1062</v>
      </c>
      <c r="B387" s="199" t="s">
        <v>183</v>
      </c>
      <c r="C387" s="199" t="s">
        <v>639</v>
      </c>
      <c r="D387" s="199" t="s">
        <v>644</v>
      </c>
    </row>
    <row r="388" spans="1:4" hidden="1">
      <c r="A388" s="199" t="s">
        <v>1062</v>
      </c>
      <c r="B388" s="199" t="s">
        <v>460</v>
      </c>
      <c r="C388" s="199" t="s">
        <v>1085</v>
      </c>
      <c r="D388" s="199" t="s">
        <v>1086</v>
      </c>
    </row>
    <row r="389" spans="1:4" hidden="1">
      <c r="A389" s="199" t="s">
        <v>1062</v>
      </c>
      <c r="B389" s="199" t="s">
        <v>460</v>
      </c>
      <c r="C389" s="199" t="s">
        <v>1085</v>
      </c>
      <c r="D389" s="199" t="s">
        <v>1087</v>
      </c>
    </row>
    <row r="390" spans="1:4" hidden="1">
      <c r="A390" s="199" t="s">
        <v>1062</v>
      </c>
      <c r="B390" s="199" t="s">
        <v>460</v>
      </c>
      <c r="C390" s="199" t="s">
        <v>1085</v>
      </c>
      <c r="D390" s="199" t="s">
        <v>1088</v>
      </c>
    </row>
    <row r="391" spans="1:4" hidden="1">
      <c r="A391" s="199" t="s">
        <v>1062</v>
      </c>
      <c r="B391" s="199" t="s">
        <v>460</v>
      </c>
      <c r="C391" s="199" t="s">
        <v>1085</v>
      </c>
      <c r="D391" s="199" t="s">
        <v>1089</v>
      </c>
    </row>
    <row r="392" spans="1:4" hidden="1">
      <c r="A392" s="199" t="s">
        <v>1062</v>
      </c>
      <c r="B392" s="199" t="s">
        <v>460</v>
      </c>
      <c r="C392" s="199" t="s">
        <v>1085</v>
      </c>
      <c r="D392" s="199" t="s">
        <v>1090</v>
      </c>
    </row>
    <row r="393" spans="1:4" hidden="1">
      <c r="A393" s="199" t="s">
        <v>1062</v>
      </c>
      <c r="B393" s="199" t="s">
        <v>460</v>
      </c>
      <c r="C393" s="199" t="s">
        <v>645</v>
      </c>
      <c r="D393" s="199" t="s">
        <v>1091</v>
      </c>
    </row>
    <row r="394" spans="1:4" hidden="1">
      <c r="A394" s="199" t="s">
        <v>1092</v>
      </c>
      <c r="B394" s="199" t="s">
        <v>1093</v>
      </c>
      <c r="C394" s="199" t="s">
        <v>1047</v>
      </c>
      <c r="D394" s="199" t="s">
        <v>1048</v>
      </c>
    </row>
    <row r="395" spans="1:4" hidden="1">
      <c r="A395" s="199" t="s">
        <v>1092</v>
      </c>
      <c r="B395" s="199" t="s">
        <v>1041</v>
      </c>
      <c r="C395" s="199" t="s">
        <v>1049</v>
      </c>
      <c r="D395" s="199" t="s">
        <v>1050</v>
      </c>
    </row>
    <row r="396" spans="1:4" hidden="1">
      <c r="A396" s="199" t="s">
        <v>1092</v>
      </c>
      <c r="B396" s="199" t="s">
        <v>1041</v>
      </c>
      <c r="C396" s="199" t="s">
        <v>1094</v>
      </c>
      <c r="D396" s="199" t="s">
        <v>1094</v>
      </c>
    </row>
    <row r="397" spans="1:4" hidden="1">
      <c r="A397" s="199" t="s">
        <v>1092</v>
      </c>
      <c r="B397" s="199" t="s">
        <v>1041</v>
      </c>
      <c r="C397" s="199" t="s">
        <v>1051</v>
      </c>
      <c r="D397" s="199" t="s">
        <v>1095</v>
      </c>
    </row>
    <row r="398" spans="1:4" hidden="1">
      <c r="A398" s="199" t="s">
        <v>1092</v>
      </c>
      <c r="B398" s="199" t="s">
        <v>1041</v>
      </c>
      <c r="C398" s="199" t="s">
        <v>1051</v>
      </c>
      <c r="D398" s="199" t="s">
        <v>1096</v>
      </c>
    </row>
    <row r="399" spans="1:4" hidden="1">
      <c r="A399" s="199" t="s">
        <v>1092</v>
      </c>
      <c r="B399" s="199" t="s">
        <v>1041</v>
      </c>
      <c r="C399" s="199" t="s">
        <v>1042</v>
      </c>
      <c r="D399" s="199" t="s">
        <v>1097</v>
      </c>
    </row>
    <row r="400" spans="1:4" hidden="1">
      <c r="A400" s="199" t="s">
        <v>1092</v>
      </c>
      <c r="B400" s="199" t="s">
        <v>1041</v>
      </c>
      <c r="C400" s="199" t="s">
        <v>1042</v>
      </c>
      <c r="D400" s="199" t="s">
        <v>1053</v>
      </c>
    </row>
    <row r="401" spans="1:4" hidden="1">
      <c r="A401" s="199" t="s">
        <v>1092</v>
      </c>
      <c r="B401" s="199" t="s">
        <v>1041</v>
      </c>
      <c r="C401" s="199" t="s">
        <v>1098</v>
      </c>
      <c r="D401" s="199" t="s">
        <v>1099</v>
      </c>
    </row>
    <row r="402" spans="1:4" hidden="1">
      <c r="A402" s="199" t="s">
        <v>1092</v>
      </c>
      <c r="B402" s="199" t="s">
        <v>1041</v>
      </c>
      <c r="C402" s="199" t="s">
        <v>1098</v>
      </c>
      <c r="D402" s="199" t="s">
        <v>1100</v>
      </c>
    </row>
    <row r="403" spans="1:4" hidden="1">
      <c r="A403" s="199" t="s">
        <v>1092</v>
      </c>
      <c r="B403" s="199" t="s">
        <v>1101</v>
      </c>
      <c r="C403" s="199" t="s">
        <v>1098</v>
      </c>
      <c r="D403" s="199" t="s">
        <v>1102</v>
      </c>
    </row>
    <row r="404" spans="1:4" hidden="1">
      <c r="A404" s="199" t="s">
        <v>1092</v>
      </c>
      <c r="B404" s="199" t="s">
        <v>1103</v>
      </c>
      <c r="C404" s="199" t="s">
        <v>1104</v>
      </c>
      <c r="D404" s="199" t="s">
        <v>1105</v>
      </c>
    </row>
    <row r="405" spans="1:4" hidden="1">
      <c r="A405" s="199" t="s">
        <v>1092</v>
      </c>
      <c r="B405" s="199" t="s">
        <v>1106</v>
      </c>
      <c r="C405" s="199" t="s">
        <v>1047</v>
      </c>
      <c r="D405" s="199" t="s">
        <v>1105</v>
      </c>
    </row>
    <row r="406" spans="1:4" hidden="1">
      <c r="A406" s="199" t="s">
        <v>1092</v>
      </c>
      <c r="B406" s="199" t="s">
        <v>1106</v>
      </c>
      <c r="C406" s="199" t="s">
        <v>1049</v>
      </c>
      <c r="D406" s="199" t="s">
        <v>1050</v>
      </c>
    </row>
    <row r="407" spans="1:4" hidden="1">
      <c r="A407" s="199" t="s">
        <v>1092</v>
      </c>
      <c r="B407" s="199" t="s">
        <v>1106</v>
      </c>
      <c r="C407" s="199" t="s">
        <v>1094</v>
      </c>
      <c r="D407" s="199" t="s">
        <v>1105</v>
      </c>
    </row>
    <row r="408" spans="1:4" hidden="1">
      <c r="A408" s="199" t="s">
        <v>1092</v>
      </c>
      <c r="B408" s="199" t="s">
        <v>1106</v>
      </c>
      <c r="C408" s="199" t="s">
        <v>1051</v>
      </c>
      <c r="D408" s="199" t="s">
        <v>1096</v>
      </c>
    </row>
    <row r="409" spans="1:4" hidden="1">
      <c r="A409" s="199" t="s">
        <v>1092</v>
      </c>
      <c r="B409" s="199" t="s">
        <v>1106</v>
      </c>
      <c r="C409" s="199" t="s">
        <v>1042</v>
      </c>
      <c r="D409" s="199" t="s">
        <v>1097</v>
      </c>
    </row>
    <row r="410" spans="1:4" hidden="1">
      <c r="A410" s="199" t="s">
        <v>1092</v>
      </c>
      <c r="B410" s="199" t="s">
        <v>1106</v>
      </c>
      <c r="C410" s="199" t="s">
        <v>1042</v>
      </c>
      <c r="D410" s="199" t="s">
        <v>1053</v>
      </c>
    </row>
    <row r="411" spans="1:4" hidden="1">
      <c r="A411" s="199" t="s">
        <v>1092</v>
      </c>
      <c r="B411" s="199" t="s">
        <v>1106</v>
      </c>
      <c r="C411" s="199" t="s">
        <v>1054</v>
      </c>
      <c r="D411" s="199" t="s">
        <v>1055</v>
      </c>
    </row>
  </sheetData>
  <autoFilter ref="A1:D411">
    <filterColumn colId="0">
      <filters>
        <filter val="Commercial"/>
      </filters>
    </filterColumn>
    <sortState ref="A2:E411">
      <sortCondition ref="A2:A411"/>
      <sortCondition ref="B2:B411"/>
      <sortCondition ref="C2:C411"/>
      <sortCondition ref="D2:D411"/>
    </sortState>
  </autoFilter>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21</vt:i4>
      </vt:variant>
      <vt:variant>
        <vt:lpstr>Named Ranges</vt:lpstr>
      </vt:variant>
      <vt:variant>
        <vt:i4>17</vt:i4>
      </vt:variant>
    </vt:vector>
  </HeadingPairs>
  <TitlesOfParts>
    <vt:vector size="38" baseType="lpstr">
      <vt:lpstr>Overview</vt:lpstr>
      <vt:lpstr>MLIST</vt:lpstr>
      <vt:lpstr>FILES</vt:lpstr>
      <vt:lpstr>APPLIC</vt:lpstr>
      <vt:lpstr>BASE</vt:lpstr>
      <vt:lpstr>STOCK</vt:lpstr>
      <vt:lpstr>TURN</vt:lpstr>
      <vt:lpstr>ACHIEV</vt:lpstr>
      <vt:lpstr>FEAS</vt:lpstr>
      <vt:lpstr>RAMP</vt:lpstr>
      <vt:lpstr>CODE</vt:lpstr>
      <vt:lpstr>CHAR</vt:lpstr>
      <vt:lpstr>Floor</vt:lpstr>
      <vt:lpstr>Vars</vt:lpstr>
      <vt:lpstr>Labels</vt:lpstr>
      <vt:lpstr>Lookup</vt:lpstr>
      <vt:lpstr>EUI</vt:lpstr>
      <vt:lpstr>Measure Name List</vt:lpstr>
      <vt:lpstr>CBSA Data</vt:lpstr>
      <vt:lpstr>CBSA Data New</vt:lpstr>
      <vt:lpstr>BPA Taxonomy</vt:lpstr>
      <vt:lpstr>_PRE2013</vt:lpstr>
      <vt:lpstr>ACHIEV</vt:lpstr>
      <vt:lpstr>APPLIC</vt:lpstr>
      <vt:lpstr>BASE</vt:lpstr>
      <vt:lpstr>BLDGTYPE</vt:lpstr>
      <vt:lpstr>BTYPEMAP</vt:lpstr>
      <vt:lpstr>CHAR</vt:lpstr>
      <vt:lpstr>EUI</vt:lpstr>
      <vt:lpstr>FILELIST</vt:lpstr>
      <vt:lpstr>FloorA_PRE2006</vt:lpstr>
      <vt:lpstr>POST2013</vt:lpstr>
      <vt:lpstr>Labels!Print_Area</vt:lpstr>
      <vt:lpstr>Ramp_Names</vt:lpstr>
      <vt:lpstr>STOCK</vt:lpstr>
      <vt:lpstr>TURN!TURN</vt:lpstr>
      <vt:lpstr>V_PRE2013</vt:lpstr>
      <vt:lpstr>VSTOCK</vt:lpstr>
    </vt:vector>
  </TitlesOfParts>
  <Company>NW Power Planning Council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Charlie Grist</dc:creator>
  <cp:lastModifiedBy>Charlie Grist</cp:lastModifiedBy>
  <cp:lastPrinted>2015-01-20T23:20:39Z</cp:lastPrinted>
  <dcterms:created xsi:type="dcterms:W3CDTF">2003-01-30T22:25:59Z</dcterms:created>
  <dcterms:modified xsi:type="dcterms:W3CDTF">2015-03-25T10:02:17Z</dcterms:modified>
</cp:coreProperties>
</file>